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omments2.xml" ContentType="application/vnd.openxmlformats-officedocument.spreadsheetml.comments+xml"/>
  <Override PartName="/xl/drawings/drawing3.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ouvi\Documents\These\90_PresentationsAndWritting\90_Manuscript\5_Appendices\Appendix_F\"/>
    </mc:Choice>
  </mc:AlternateContent>
  <xr:revisionPtr revIDLastSave="0" documentId="13_ncr:1_{2BEB3CFC-E848-488C-9BD8-F76D0BFA4B2A}" xr6:coauthVersionLast="47" xr6:coauthVersionMax="47" xr10:uidLastSave="{00000000-0000-0000-0000-000000000000}"/>
  <bookViews>
    <workbookView xWindow="30" yWindow="30" windowWidth="28770" windowHeight="16170" xr2:uid="{127459FD-E70F-4873-A574-628D59FBC067}"/>
  </bookViews>
  <sheets>
    <sheet name="Introduction" sheetId="28" r:id="rId1"/>
    <sheet name="Hypotheses" sheetId="15" r:id="rId2"/>
    <sheet name="ResourcesEmissions" sheetId="17" r:id="rId3"/>
    <sheet name="PARIS" sheetId="9" r:id="rId4"/>
    <sheet name="Paris_Inflow" sheetId="12" r:id="rId5"/>
    <sheet name="Paris_Outflow" sheetId="18" r:id="rId6"/>
    <sheet name="Paris_Stock" sheetId="19" r:id="rId7"/>
    <sheet name="Paris_data4Graph" sheetId="20" r:id="rId8"/>
    <sheet name="Paris_Graph" sheetId="21" r:id="rId9"/>
    <sheet name="BXL" sheetId="3" r:id="rId10"/>
    <sheet name="Bxl_Inflow" sheetId="23" r:id="rId11"/>
    <sheet name="Bxl_Outflow" sheetId="24" r:id="rId12"/>
    <sheet name="Bxl_Stock" sheetId="25" r:id="rId13"/>
    <sheet name="Bxl_data4Graph" sheetId="26" r:id="rId14"/>
    <sheet name="Bxl_Graph" sheetId="27" r:id="rId15"/>
    <sheet name="DataAnalysis"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6" i="20" l="1"/>
  <c r="AD6" i="20"/>
  <c r="AE6" i="20"/>
  <c r="AC7" i="20"/>
  <c r="AD7" i="20"/>
  <c r="AE7" i="20"/>
  <c r="AC8" i="20"/>
  <c r="AD8" i="20"/>
  <c r="AE8" i="20"/>
  <c r="AC9" i="20"/>
  <c r="AD9" i="20"/>
  <c r="AE9" i="20"/>
  <c r="AC10" i="20"/>
  <c r="AD10" i="20"/>
  <c r="AE10" i="20"/>
  <c r="AC11" i="20"/>
  <c r="AD11" i="20"/>
  <c r="AE11" i="20"/>
  <c r="AC12" i="20"/>
  <c r="AD12" i="20"/>
  <c r="AE12" i="20"/>
  <c r="AC13" i="20"/>
  <c r="AD13" i="20"/>
  <c r="AE13" i="20"/>
  <c r="AC14" i="20"/>
  <c r="AD14" i="20"/>
  <c r="AE14" i="20"/>
  <c r="AC15" i="20"/>
  <c r="AD15" i="20"/>
  <c r="AE15" i="20"/>
  <c r="AC16" i="20"/>
  <c r="AD16" i="20"/>
  <c r="AE16" i="20"/>
  <c r="AC17" i="20"/>
  <c r="AD17" i="20"/>
  <c r="AE17" i="20"/>
  <c r="AC18" i="20"/>
  <c r="AD18" i="20"/>
  <c r="AE18" i="20"/>
  <c r="AC19" i="20"/>
  <c r="AD19" i="20"/>
  <c r="AE19" i="20"/>
  <c r="AC20" i="20"/>
  <c r="AD20" i="20"/>
  <c r="AE20" i="20"/>
  <c r="AC21" i="20"/>
  <c r="AD21" i="20"/>
  <c r="AE21" i="20"/>
  <c r="AC22" i="20"/>
  <c r="AD22" i="20"/>
  <c r="AE22" i="20"/>
  <c r="AC23" i="20"/>
  <c r="AD23" i="20"/>
  <c r="AE23" i="20"/>
  <c r="AC24" i="20"/>
  <c r="AD24" i="20"/>
  <c r="AE24" i="20"/>
  <c r="AC25" i="20"/>
  <c r="AD25" i="20"/>
  <c r="AE25" i="20"/>
  <c r="AC26" i="20"/>
  <c r="AD26" i="20"/>
  <c r="AE26" i="20"/>
  <c r="AC27" i="20"/>
  <c r="AD27" i="20"/>
  <c r="AE27" i="20"/>
  <c r="AC28" i="20"/>
  <c r="AD28" i="20"/>
  <c r="AE28" i="20"/>
  <c r="AC29" i="20"/>
  <c r="AD29" i="20"/>
  <c r="AE29" i="20"/>
  <c r="AC30" i="20"/>
  <c r="AD30" i="20"/>
  <c r="AE30" i="20"/>
  <c r="AC31" i="20"/>
  <c r="AD31" i="20"/>
  <c r="AE31" i="20"/>
  <c r="AC32" i="20"/>
  <c r="AD32" i="20"/>
  <c r="AE32" i="20"/>
  <c r="AC33" i="20"/>
  <c r="AD33" i="20"/>
  <c r="AE33" i="20"/>
  <c r="AC34" i="20"/>
  <c r="AD34" i="20"/>
  <c r="AE34" i="20"/>
  <c r="AC35" i="20"/>
  <c r="AD35" i="20"/>
  <c r="AE35" i="20"/>
  <c r="AC36" i="20"/>
  <c r="AD36" i="20"/>
  <c r="AE36" i="20"/>
  <c r="AC37" i="20"/>
  <c r="AD37" i="20"/>
  <c r="AE37" i="20"/>
  <c r="AC38" i="20"/>
  <c r="AD38" i="20"/>
  <c r="AE38" i="20"/>
  <c r="AC39" i="20"/>
  <c r="AD39" i="20"/>
  <c r="AE39" i="20"/>
  <c r="AC40" i="20"/>
  <c r="AD40" i="20"/>
  <c r="AE40" i="20"/>
  <c r="AC41" i="20"/>
  <c r="AD41" i="20"/>
  <c r="AE41" i="20"/>
  <c r="AC42" i="20"/>
  <c r="AD42" i="20"/>
  <c r="AE42" i="20"/>
  <c r="AC43" i="20"/>
  <c r="AD43" i="20"/>
  <c r="AE43" i="20"/>
  <c r="AC44" i="20"/>
  <c r="AD44" i="20"/>
  <c r="AE44" i="20"/>
  <c r="AC45" i="20"/>
  <c r="AD45" i="20"/>
  <c r="AE45" i="20"/>
  <c r="AC46" i="20"/>
  <c r="AD46" i="20"/>
  <c r="AE46" i="20"/>
  <c r="AC47" i="20"/>
  <c r="AD47" i="20"/>
  <c r="AE47" i="20"/>
  <c r="AC48" i="20"/>
  <c r="AD48" i="20"/>
  <c r="AE48" i="20"/>
  <c r="AC49" i="20"/>
  <c r="AD49" i="20"/>
  <c r="AE49" i="20"/>
  <c r="AC50" i="20"/>
  <c r="AD50" i="20"/>
  <c r="AE50" i="20"/>
  <c r="AC51" i="20"/>
  <c r="AD51" i="20"/>
  <c r="AE51" i="20"/>
  <c r="AC52" i="20"/>
  <c r="AD52" i="20"/>
  <c r="AE52" i="20"/>
  <c r="AC53" i="20"/>
  <c r="AD53" i="20"/>
  <c r="AE53" i="20"/>
  <c r="AC54" i="20"/>
  <c r="AD54" i="20"/>
  <c r="AE54" i="20"/>
  <c r="AC55" i="20"/>
  <c r="AD55" i="20"/>
  <c r="AE55" i="20"/>
  <c r="AC56" i="20"/>
  <c r="AD56" i="20"/>
  <c r="AE56" i="20"/>
  <c r="AC57" i="20"/>
  <c r="AD57" i="20"/>
  <c r="AE57" i="20"/>
  <c r="AC58" i="20"/>
  <c r="AD58" i="20"/>
  <c r="AE58" i="20"/>
  <c r="AC59" i="20"/>
  <c r="AD59" i="20"/>
  <c r="AE59" i="20"/>
  <c r="AC60" i="20"/>
  <c r="AD60" i="20"/>
  <c r="AE60" i="20"/>
  <c r="AC61" i="20"/>
  <c r="AD61" i="20"/>
  <c r="AE61" i="20"/>
  <c r="AC62" i="20"/>
  <c r="AD62" i="20"/>
  <c r="AE62" i="20"/>
  <c r="AC63" i="20"/>
  <c r="AD63" i="20"/>
  <c r="AE63" i="20"/>
  <c r="AC64" i="20"/>
  <c r="AD64" i="20"/>
  <c r="AE64" i="20"/>
  <c r="AC65" i="20"/>
  <c r="AD65" i="20"/>
  <c r="AE65" i="20"/>
  <c r="AC66" i="20"/>
  <c r="AD66" i="20"/>
  <c r="AE66" i="20"/>
  <c r="AC67" i="20"/>
  <c r="AD67" i="20"/>
  <c r="AE67" i="20"/>
  <c r="AC68" i="20"/>
  <c r="AD68" i="20"/>
  <c r="AE68" i="20"/>
  <c r="AC69" i="20"/>
  <c r="AD69" i="20"/>
  <c r="AE69" i="20"/>
  <c r="AC70" i="20"/>
  <c r="AD70" i="20"/>
  <c r="AE70" i="20"/>
  <c r="AC71" i="20"/>
  <c r="AD71" i="20"/>
  <c r="AE71" i="20"/>
  <c r="AC72" i="20"/>
  <c r="AD72" i="20"/>
  <c r="AE72" i="20"/>
  <c r="AC73" i="20"/>
  <c r="AD73" i="20"/>
  <c r="AE73" i="20"/>
  <c r="AC74" i="20"/>
  <c r="AD74" i="20"/>
  <c r="AE74" i="20"/>
  <c r="AC75" i="20"/>
  <c r="AD75" i="20"/>
  <c r="AE75" i="20"/>
  <c r="AC76" i="20"/>
  <c r="AD76" i="20"/>
  <c r="AE76" i="20"/>
  <c r="AC77" i="20"/>
  <c r="AD77" i="20"/>
  <c r="AE77" i="20"/>
  <c r="AC78" i="20"/>
  <c r="AD78" i="20"/>
  <c r="AE78" i="20"/>
  <c r="AC79" i="20"/>
  <c r="AD79" i="20"/>
  <c r="AE79" i="20"/>
  <c r="AC80" i="20"/>
  <c r="AD80" i="20"/>
  <c r="AE80" i="20"/>
  <c r="AC126" i="20"/>
  <c r="AD126" i="20"/>
  <c r="AE126" i="20"/>
  <c r="AD5" i="20"/>
  <c r="AE5" i="20"/>
  <c r="AC5" i="20"/>
  <c r="Y6" i="20"/>
  <c r="Z6" i="20"/>
  <c r="AA6" i="20"/>
  <c r="Y7" i="20"/>
  <c r="Z7" i="20"/>
  <c r="AA7" i="20"/>
  <c r="Y8" i="20"/>
  <c r="Z8" i="20"/>
  <c r="AA8" i="20"/>
  <c r="Y9" i="20"/>
  <c r="Z9" i="20"/>
  <c r="AA9" i="20"/>
  <c r="Y10" i="20"/>
  <c r="Z10" i="20"/>
  <c r="AA10" i="20"/>
  <c r="Y11" i="20"/>
  <c r="Z11" i="20"/>
  <c r="AA11" i="20"/>
  <c r="Y12" i="20"/>
  <c r="Z12" i="20"/>
  <c r="AA12" i="20"/>
  <c r="Y13" i="20"/>
  <c r="Z13" i="20"/>
  <c r="AA13" i="20"/>
  <c r="Y14" i="20"/>
  <c r="Z14" i="20"/>
  <c r="AA14" i="20"/>
  <c r="Y15" i="20"/>
  <c r="Z15" i="20"/>
  <c r="AA15" i="20"/>
  <c r="Y16" i="20"/>
  <c r="Z16" i="20"/>
  <c r="AA16" i="20"/>
  <c r="Y17" i="20"/>
  <c r="Z17" i="20"/>
  <c r="AA17" i="20"/>
  <c r="Y18" i="20"/>
  <c r="Z18" i="20"/>
  <c r="AA18" i="20"/>
  <c r="Y19" i="20"/>
  <c r="Z19" i="20"/>
  <c r="AA19" i="20"/>
  <c r="Y20" i="20"/>
  <c r="Z20" i="20"/>
  <c r="AA20" i="20"/>
  <c r="Y21" i="20"/>
  <c r="Z21" i="20"/>
  <c r="AA21" i="20"/>
  <c r="Y22" i="20"/>
  <c r="Z22" i="20"/>
  <c r="AA22" i="20"/>
  <c r="Y23" i="20"/>
  <c r="Z23" i="20"/>
  <c r="AA23" i="20"/>
  <c r="Y24" i="20"/>
  <c r="Z24" i="20"/>
  <c r="AA24" i="20"/>
  <c r="Y25" i="20"/>
  <c r="Z25" i="20"/>
  <c r="AA25" i="20"/>
  <c r="Y26" i="20"/>
  <c r="Z26" i="20"/>
  <c r="AA26" i="20"/>
  <c r="Y27" i="20"/>
  <c r="Z27" i="20"/>
  <c r="AA27" i="20"/>
  <c r="Y28" i="20"/>
  <c r="Z28" i="20"/>
  <c r="AA28" i="20"/>
  <c r="Y29" i="20"/>
  <c r="Z29" i="20"/>
  <c r="AA29" i="20"/>
  <c r="Y30" i="20"/>
  <c r="Z30" i="20"/>
  <c r="AA30" i="20"/>
  <c r="Y31" i="20"/>
  <c r="Z31" i="20"/>
  <c r="AA31" i="20"/>
  <c r="Y32" i="20"/>
  <c r="Z32" i="20"/>
  <c r="AA32" i="20"/>
  <c r="Y33" i="20"/>
  <c r="Z33" i="20"/>
  <c r="AA33" i="20"/>
  <c r="Y34" i="20"/>
  <c r="Z34" i="20"/>
  <c r="AA34" i="20"/>
  <c r="Y35" i="20"/>
  <c r="Z35" i="20"/>
  <c r="AA35" i="20"/>
  <c r="Y36" i="20"/>
  <c r="Z36" i="20"/>
  <c r="AA36" i="20"/>
  <c r="Y37" i="20"/>
  <c r="Z37" i="20"/>
  <c r="AA37" i="20"/>
  <c r="Y38" i="20"/>
  <c r="Z38" i="20"/>
  <c r="AA38" i="20"/>
  <c r="Y39" i="20"/>
  <c r="Z39" i="20"/>
  <c r="AA39" i="20"/>
  <c r="Y40" i="20"/>
  <c r="Z40" i="20"/>
  <c r="AA40" i="20"/>
  <c r="Y41" i="20"/>
  <c r="Z41" i="20"/>
  <c r="AA41" i="20"/>
  <c r="Y42" i="20"/>
  <c r="Z42" i="20"/>
  <c r="AA42" i="20"/>
  <c r="Y43" i="20"/>
  <c r="Z43" i="20"/>
  <c r="AA43" i="20"/>
  <c r="Y44" i="20"/>
  <c r="Z44" i="20"/>
  <c r="AA44" i="20"/>
  <c r="Y45" i="20"/>
  <c r="Z45" i="20"/>
  <c r="AA45" i="20"/>
  <c r="Y46" i="20"/>
  <c r="Z46" i="20"/>
  <c r="AA46" i="20"/>
  <c r="Y47" i="20"/>
  <c r="Z47" i="20"/>
  <c r="AA47" i="20"/>
  <c r="Y48" i="20"/>
  <c r="Z48" i="20"/>
  <c r="AA48" i="20"/>
  <c r="Y49" i="20"/>
  <c r="Z49" i="20"/>
  <c r="AA49" i="20"/>
  <c r="Y50" i="20"/>
  <c r="Z50" i="20"/>
  <c r="AA50" i="20"/>
  <c r="Y51" i="20"/>
  <c r="Z51" i="20"/>
  <c r="AA51" i="20"/>
  <c r="Y52" i="20"/>
  <c r="Z52" i="20"/>
  <c r="AA52" i="20"/>
  <c r="Y53" i="20"/>
  <c r="Z53" i="20"/>
  <c r="AA53" i="20"/>
  <c r="Y54" i="20"/>
  <c r="Z54" i="20"/>
  <c r="AA54" i="20"/>
  <c r="Y55" i="20"/>
  <c r="Z55" i="20"/>
  <c r="AA55" i="20"/>
  <c r="Y56" i="20"/>
  <c r="Z56" i="20"/>
  <c r="AA56" i="20"/>
  <c r="Y57" i="20"/>
  <c r="Z57" i="20"/>
  <c r="AA57" i="20"/>
  <c r="Y58" i="20"/>
  <c r="Z58" i="20"/>
  <c r="AA58" i="20"/>
  <c r="Y59" i="20"/>
  <c r="Z59" i="20"/>
  <c r="AA59" i="20"/>
  <c r="Y60" i="20"/>
  <c r="Z60" i="20"/>
  <c r="AA60" i="20"/>
  <c r="Y61" i="20"/>
  <c r="Z61" i="20"/>
  <c r="AA61" i="20"/>
  <c r="Y62" i="20"/>
  <c r="Z62" i="20"/>
  <c r="AA62" i="20"/>
  <c r="Y63" i="20"/>
  <c r="Z63" i="20"/>
  <c r="AA63" i="20"/>
  <c r="Y64" i="20"/>
  <c r="Z64" i="20"/>
  <c r="AA64" i="20"/>
  <c r="Y65" i="20"/>
  <c r="Z65" i="20"/>
  <c r="AA65" i="20"/>
  <c r="Y66" i="20"/>
  <c r="Z66" i="20"/>
  <c r="AA66" i="20"/>
  <c r="Y67" i="20"/>
  <c r="Z67" i="20"/>
  <c r="AA67" i="20"/>
  <c r="Y68" i="20"/>
  <c r="Z68" i="20"/>
  <c r="AA68" i="20"/>
  <c r="Y69" i="20"/>
  <c r="Z69" i="20"/>
  <c r="AA69" i="20"/>
  <c r="Y70" i="20"/>
  <c r="Z70" i="20"/>
  <c r="AA70" i="20"/>
  <c r="Y71" i="20"/>
  <c r="Z71" i="20"/>
  <c r="AA71" i="20"/>
  <c r="Y72" i="20"/>
  <c r="Z72" i="20"/>
  <c r="AA72" i="20"/>
  <c r="Y73" i="20"/>
  <c r="Z73" i="20"/>
  <c r="AA73" i="20"/>
  <c r="Y74" i="20"/>
  <c r="Z74" i="20"/>
  <c r="AA74" i="20"/>
  <c r="Y75" i="20"/>
  <c r="Z75" i="20"/>
  <c r="AA75" i="20"/>
  <c r="Y76" i="20"/>
  <c r="Z76" i="20"/>
  <c r="AA76" i="20"/>
  <c r="Y77" i="20"/>
  <c r="Z77" i="20"/>
  <c r="AA77" i="20"/>
  <c r="Y78" i="20"/>
  <c r="Z78" i="20"/>
  <c r="AA78" i="20"/>
  <c r="Y79" i="20"/>
  <c r="Z79" i="20"/>
  <c r="AA79" i="20"/>
  <c r="Y80" i="20"/>
  <c r="Z80" i="20"/>
  <c r="AA80" i="20"/>
  <c r="V81" i="20"/>
  <c r="W81" i="20"/>
  <c r="V82" i="20"/>
  <c r="W82" i="20"/>
  <c r="V83" i="20"/>
  <c r="W83" i="20"/>
  <c r="V84" i="20"/>
  <c r="W84" i="20"/>
  <c r="V85" i="20"/>
  <c r="W85" i="20"/>
  <c r="V86" i="20"/>
  <c r="W86" i="20"/>
  <c r="V87" i="20"/>
  <c r="W87" i="20"/>
  <c r="V88" i="20"/>
  <c r="W88" i="20"/>
  <c r="V89" i="20"/>
  <c r="W89" i="20"/>
  <c r="V90" i="20"/>
  <c r="W90" i="20"/>
  <c r="V91" i="20"/>
  <c r="W91" i="20"/>
  <c r="V92" i="20"/>
  <c r="W92" i="20"/>
  <c r="V93" i="20"/>
  <c r="W93" i="20"/>
  <c r="V94" i="20"/>
  <c r="W94" i="20"/>
  <c r="V95" i="20"/>
  <c r="W95" i="20"/>
  <c r="V96" i="20"/>
  <c r="W96" i="20"/>
  <c r="V97" i="20"/>
  <c r="W97" i="20"/>
  <c r="V98" i="20"/>
  <c r="W98" i="20"/>
  <c r="V99" i="20"/>
  <c r="W99" i="20"/>
  <c r="V100" i="20"/>
  <c r="W100" i="20"/>
  <c r="V101" i="20"/>
  <c r="W101" i="20"/>
  <c r="V102" i="20"/>
  <c r="W102" i="20"/>
  <c r="V103" i="20"/>
  <c r="W103" i="20"/>
  <c r="V104" i="20"/>
  <c r="W104" i="20"/>
  <c r="V105" i="20"/>
  <c r="W105" i="20"/>
  <c r="V106" i="20"/>
  <c r="W106" i="20"/>
  <c r="V107" i="20"/>
  <c r="W107" i="20"/>
  <c r="V108" i="20"/>
  <c r="W108" i="20"/>
  <c r="V109" i="20"/>
  <c r="W109" i="20"/>
  <c r="V110" i="20"/>
  <c r="W110" i="20"/>
  <c r="V111" i="20"/>
  <c r="W111" i="20"/>
  <c r="V112" i="20"/>
  <c r="W112" i="20"/>
  <c r="V113" i="20"/>
  <c r="W113" i="20"/>
  <c r="V114" i="20"/>
  <c r="W114" i="20"/>
  <c r="V115" i="20"/>
  <c r="W115" i="20"/>
  <c r="V116" i="20"/>
  <c r="W116" i="20"/>
  <c r="V117" i="20"/>
  <c r="W117" i="20"/>
  <c r="V118" i="20"/>
  <c r="W118" i="20"/>
  <c r="V119" i="20"/>
  <c r="W119" i="20"/>
  <c r="V120" i="20"/>
  <c r="W120" i="20"/>
  <c r="V121" i="20"/>
  <c r="W121" i="20"/>
  <c r="V122" i="20"/>
  <c r="W122" i="20"/>
  <c r="V123" i="20"/>
  <c r="W123" i="20"/>
  <c r="V124" i="20"/>
  <c r="W124" i="20"/>
  <c r="V125" i="20"/>
  <c r="W125" i="20"/>
  <c r="V126" i="20"/>
  <c r="W126" i="20"/>
  <c r="Y126" i="20"/>
  <c r="Z126" i="20"/>
  <c r="AA126" i="20"/>
  <c r="Z5" i="20"/>
  <c r="AA5" i="20"/>
  <c r="Y5" i="20"/>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44" i="15"/>
  <c r="I45" i="15"/>
  <c r="J45" i="15"/>
  <c r="I46" i="15"/>
  <c r="J46" i="15"/>
  <c r="I47" i="15"/>
  <c r="J47" i="15"/>
  <c r="I48" i="15"/>
  <c r="J48" i="15"/>
  <c r="I49" i="15"/>
  <c r="J49" i="15"/>
  <c r="I50" i="15"/>
  <c r="J50" i="15"/>
  <c r="I51" i="15"/>
  <c r="J51" i="15"/>
  <c r="I52" i="15"/>
  <c r="J52" i="15"/>
  <c r="I53" i="15"/>
  <c r="J53" i="15"/>
  <c r="I54" i="15"/>
  <c r="J54" i="15"/>
  <c r="I55" i="15"/>
  <c r="J55" i="15"/>
  <c r="I56" i="15"/>
  <c r="J56" i="15"/>
  <c r="I57" i="15"/>
  <c r="J57" i="15"/>
  <c r="I58" i="15"/>
  <c r="J58" i="15"/>
  <c r="I59" i="15"/>
  <c r="J59" i="15"/>
  <c r="I60" i="15"/>
  <c r="J60" i="15"/>
  <c r="I61" i="15"/>
  <c r="J61" i="15"/>
  <c r="I62" i="15"/>
  <c r="J62" i="15"/>
  <c r="I63" i="15"/>
  <c r="J63" i="15"/>
  <c r="I64" i="15"/>
  <c r="J64" i="15"/>
  <c r="I65" i="15"/>
  <c r="J65" i="15"/>
  <c r="I66" i="15"/>
  <c r="J66" i="15"/>
  <c r="I67" i="15"/>
  <c r="J67" i="15"/>
  <c r="I68" i="15"/>
  <c r="J68" i="15"/>
  <c r="I69" i="15"/>
  <c r="J69" i="15"/>
  <c r="I70" i="15"/>
  <c r="J70" i="15"/>
  <c r="I71" i="15"/>
  <c r="J71" i="15"/>
  <c r="I72" i="15"/>
  <c r="J72" i="15"/>
  <c r="I73" i="15"/>
  <c r="J73" i="15"/>
  <c r="I74" i="15"/>
  <c r="J74" i="15"/>
  <c r="I75" i="15"/>
  <c r="J75" i="15"/>
  <c r="I76" i="15"/>
  <c r="J76" i="15"/>
  <c r="I77" i="15"/>
  <c r="J77" i="15"/>
  <c r="I78" i="15"/>
  <c r="J78" i="15"/>
  <c r="I79" i="15"/>
  <c r="J79" i="15"/>
  <c r="I80" i="15"/>
  <c r="J80" i="15"/>
  <c r="I81" i="15"/>
  <c r="J81" i="15"/>
  <c r="I82" i="15"/>
  <c r="J82" i="15"/>
  <c r="I83" i="15"/>
  <c r="J83" i="15"/>
  <c r="I84" i="15"/>
  <c r="J84" i="15"/>
  <c r="I85" i="15"/>
  <c r="J85" i="15"/>
  <c r="I86" i="15"/>
  <c r="J86" i="15"/>
  <c r="I87" i="15"/>
  <c r="J87" i="15"/>
  <c r="I88" i="15"/>
  <c r="J88" i="15"/>
  <c r="I89" i="15"/>
  <c r="J89" i="15"/>
  <c r="I90" i="15"/>
  <c r="J90" i="15"/>
  <c r="I91" i="15"/>
  <c r="J91" i="15"/>
  <c r="I92" i="15"/>
  <c r="J92" i="15"/>
  <c r="I93" i="15"/>
  <c r="J93" i="15"/>
  <c r="I94" i="15"/>
  <c r="J94" i="15"/>
  <c r="J44" i="15"/>
  <c r="I44" i="15"/>
  <c r="AX9" i="3" l="1"/>
  <c r="AX8" i="3"/>
  <c r="AX7" i="3"/>
  <c r="AX4" i="3"/>
  <c r="C50" i="16"/>
  <c r="C49" i="16"/>
  <c r="C48" i="16"/>
  <c r="C46" i="16"/>
  <c r="C45" i="16"/>
  <c r="C44" i="16"/>
  <c r="C42" i="16"/>
  <c r="C40" i="16"/>
  <c r="D17" i="16"/>
  <c r="D16" i="16"/>
  <c r="D15" i="16"/>
  <c r="D11" i="16"/>
  <c r="D10" i="16"/>
  <c r="D9" i="16"/>
  <c r="D8" i="16"/>
  <c r="D7" i="16"/>
  <c r="D6" i="16"/>
  <c r="I126" i="20"/>
  <c r="G126" i="20"/>
  <c r="E126" i="20"/>
  <c r="C126" i="20"/>
  <c r="U126" i="20"/>
  <c r="S126" i="20"/>
  <c r="Q126" i="20"/>
  <c r="O126" i="20"/>
  <c r="M126" i="20"/>
  <c r="K126" i="20"/>
  <c r="AD5" i="3"/>
  <c r="AD6" i="3"/>
  <c r="AD10" i="3"/>
  <c r="AD11" i="3"/>
  <c r="AD12" i="3"/>
  <c r="AD13" i="3"/>
  <c r="AD14" i="3"/>
  <c r="AD15" i="3"/>
  <c r="AD16" i="3"/>
  <c r="AD17" i="3"/>
  <c r="AD18" i="3"/>
  <c r="AD19" i="3"/>
  <c r="AD20" i="3"/>
  <c r="AD21" i="3"/>
  <c r="AD22" i="3"/>
  <c r="AD23" i="3"/>
  <c r="AD24" i="3"/>
  <c r="AD25" i="3"/>
  <c r="AD26" i="3"/>
  <c r="AD27" i="3"/>
  <c r="AX4" i="9"/>
  <c r="AX5" i="9"/>
  <c r="AX6" i="9"/>
  <c r="AX7" i="9"/>
  <c r="AX10" i="9"/>
  <c r="AX12" i="9"/>
  <c r="AX27" i="9"/>
  <c r="AX42" i="9"/>
  <c r="AX46" i="9"/>
  <c r="AX47" i="9"/>
  <c r="AX50" i="9"/>
  <c r="AX58" i="9"/>
  <c r="AX67" i="9"/>
  <c r="AQ21" i="9"/>
  <c r="AQ25" i="9"/>
  <c r="BD10" i="3"/>
  <c r="BD5" i="3"/>
  <c r="BD70" i="9"/>
  <c r="BD65" i="9"/>
  <c r="BD64" i="9"/>
  <c r="BD62" i="9"/>
  <c r="BD60" i="9"/>
  <c r="BD55" i="9"/>
  <c r="BD54" i="9"/>
  <c r="BD51" i="9"/>
  <c r="BD48" i="9"/>
  <c r="BD43" i="9"/>
  <c r="BD41" i="9"/>
  <c r="BD40" i="9"/>
  <c r="BD38" i="9"/>
  <c r="BD37" i="9"/>
  <c r="BD36" i="9"/>
  <c r="BD34" i="9"/>
  <c r="BD33" i="9"/>
  <c r="BD32" i="9"/>
  <c r="BD31" i="9"/>
  <c r="BD28" i="9"/>
  <c r="BD25" i="9"/>
  <c r="BD22" i="9"/>
  <c r="BD21" i="9"/>
  <c r="BD19" i="9"/>
  <c r="BD16" i="9"/>
  <c r="BD15" i="9"/>
  <c r="BD14" i="9"/>
  <c r="BD11" i="9"/>
  <c r="BD9" i="9"/>
  <c r="BD8" i="9"/>
  <c r="BD5" i="9"/>
  <c r="BD6" i="9"/>
  <c r="BD7" i="9"/>
  <c r="BD10" i="9"/>
  <c r="BD13" i="9"/>
  <c r="BD17" i="9"/>
  <c r="BD18" i="9"/>
  <c r="BD20" i="9"/>
  <c r="BD23" i="9"/>
  <c r="BD24" i="9"/>
  <c r="BD26" i="9"/>
  <c r="BD27" i="9"/>
  <c r="BD29" i="9"/>
  <c r="BD30" i="9"/>
  <c r="BD35" i="9"/>
  <c r="BD39" i="9"/>
  <c r="BD42" i="9"/>
  <c r="BD46" i="9"/>
  <c r="BD47" i="9"/>
  <c r="BD49" i="9"/>
  <c r="BD50" i="9"/>
  <c r="BD52" i="9"/>
  <c r="BD53" i="9"/>
  <c r="BD56" i="9"/>
  <c r="BD57" i="9"/>
  <c r="BD58" i="9"/>
  <c r="BD59" i="9"/>
  <c r="BD61" i="9"/>
  <c r="BD63" i="9"/>
  <c r="BD66" i="9"/>
  <c r="BD67" i="9"/>
  <c r="BD68" i="9"/>
  <c r="BD69" i="9"/>
  <c r="BD71" i="9"/>
  <c r="BD72" i="9"/>
  <c r="BD73" i="9"/>
  <c r="BD74" i="9"/>
  <c r="BD75" i="9"/>
  <c r="BD77" i="9"/>
  <c r="BD78" i="9"/>
  <c r="BD79" i="9"/>
  <c r="BD80" i="9"/>
  <c r="BD81" i="9"/>
  <c r="BD82" i="9"/>
  <c r="BD83" i="9"/>
  <c r="BD84" i="9"/>
  <c r="BD85" i="9"/>
  <c r="BD86" i="9"/>
  <c r="BD87" i="9"/>
  <c r="BD88" i="9"/>
  <c r="BD89" i="9"/>
  <c r="BD90" i="9"/>
  <c r="BD91" i="9"/>
  <c r="BD92" i="9"/>
  <c r="BD93" i="9"/>
  <c r="BD94" i="9"/>
  <c r="BD95" i="9"/>
  <c r="BD96" i="9"/>
  <c r="BD97" i="9"/>
  <c r="BD98" i="9"/>
  <c r="BD99" i="9"/>
  <c r="BD100" i="9"/>
  <c r="BD101" i="9"/>
  <c r="BD102" i="9"/>
  <c r="BD103" i="9"/>
  <c r="BD4" i="9"/>
  <c r="BD7" i="3"/>
  <c r="BD8" i="3"/>
  <c r="BD9" i="3"/>
  <c r="BD11" i="3"/>
  <c r="BD12" i="3"/>
  <c r="BD13" i="3"/>
  <c r="BD14" i="3"/>
  <c r="BD15" i="3"/>
  <c r="BD16" i="3"/>
  <c r="BD17" i="3"/>
  <c r="BD19" i="3"/>
  <c r="BD20" i="3"/>
  <c r="BD21" i="3"/>
  <c r="BD22" i="3"/>
  <c r="BD23" i="3"/>
  <c r="BD24" i="3"/>
  <c r="BD25" i="3"/>
  <c r="BD26" i="3"/>
  <c r="BD27" i="3"/>
  <c r="BD4" i="3"/>
  <c r="BD107" i="9" l="1"/>
  <c r="BD106" i="9"/>
  <c r="BE27" i="3"/>
  <c r="BC27" i="3"/>
  <c r="BE26" i="3"/>
  <c r="BC26" i="3"/>
  <c r="BE25" i="3"/>
  <c r="BC25" i="3"/>
  <c r="BE24" i="3"/>
  <c r="BC24" i="3"/>
  <c r="BE23" i="3"/>
  <c r="BC23" i="3"/>
  <c r="BE22" i="3"/>
  <c r="BC22" i="3"/>
  <c r="BE21" i="3"/>
  <c r="BC21" i="3"/>
  <c r="BE20" i="3"/>
  <c r="BC20" i="3"/>
  <c r="BE19" i="3"/>
  <c r="BC19" i="3"/>
  <c r="BE18" i="3"/>
  <c r="BC18" i="3"/>
  <c r="BE17" i="3"/>
  <c r="BC17" i="3"/>
  <c r="BE16" i="3"/>
  <c r="BC16" i="3"/>
  <c r="BE15" i="3"/>
  <c r="BC15" i="3"/>
  <c r="BE14" i="3"/>
  <c r="BC14" i="3"/>
  <c r="BE13" i="3"/>
  <c r="BC13" i="3"/>
  <c r="BE12" i="3"/>
  <c r="BC12" i="3"/>
  <c r="BE11" i="3"/>
  <c r="BC11" i="3"/>
  <c r="BE10" i="3"/>
  <c r="BC10" i="3"/>
  <c r="BE9" i="3"/>
  <c r="BC9" i="3"/>
  <c r="BE8" i="3"/>
  <c r="BC8" i="3"/>
  <c r="BE7" i="3"/>
  <c r="BC7" i="3"/>
  <c r="BE6" i="3"/>
  <c r="BC6" i="3"/>
  <c r="BE5" i="3"/>
  <c r="BC5" i="3"/>
  <c r="BE4" i="3"/>
  <c r="BC4" i="3"/>
  <c r="BE5" i="9"/>
  <c r="BE6" i="9"/>
  <c r="BE7" i="9"/>
  <c r="BE8" i="9"/>
  <c r="BE9" i="9"/>
  <c r="BE10" i="9"/>
  <c r="BE11" i="9"/>
  <c r="BE12" i="9"/>
  <c r="BE13" i="9"/>
  <c r="BE14" i="9"/>
  <c r="BE15" i="9"/>
  <c r="BE16" i="9"/>
  <c r="BE17" i="9"/>
  <c r="BE18" i="9"/>
  <c r="BE19" i="9"/>
  <c r="BE20" i="9"/>
  <c r="BE21" i="9"/>
  <c r="BE22" i="9"/>
  <c r="BE23" i="9"/>
  <c r="BE24" i="9"/>
  <c r="BE25" i="9"/>
  <c r="BE26" i="9"/>
  <c r="BE27" i="9"/>
  <c r="BE28" i="9"/>
  <c r="BE29" i="9"/>
  <c r="BE30" i="9"/>
  <c r="BE31" i="9"/>
  <c r="BE32" i="9"/>
  <c r="BE33" i="9"/>
  <c r="BE34" i="9"/>
  <c r="BE35" i="9"/>
  <c r="BE36" i="9"/>
  <c r="BE37" i="9"/>
  <c r="BE38" i="9"/>
  <c r="BE39" i="9"/>
  <c r="BE40" i="9"/>
  <c r="BE41" i="9"/>
  <c r="BE42" i="9"/>
  <c r="BE43" i="9"/>
  <c r="BE44" i="9"/>
  <c r="BE45" i="9"/>
  <c r="BE46" i="9"/>
  <c r="BE47" i="9"/>
  <c r="BE48" i="9"/>
  <c r="BE49" i="9"/>
  <c r="BE50" i="9"/>
  <c r="BE51" i="9"/>
  <c r="BE52" i="9"/>
  <c r="BE53" i="9"/>
  <c r="BE54" i="9"/>
  <c r="BE55" i="9"/>
  <c r="BE56" i="9"/>
  <c r="BE57" i="9"/>
  <c r="BE58" i="9"/>
  <c r="BE59" i="9"/>
  <c r="BE60" i="9"/>
  <c r="BE61" i="9"/>
  <c r="BE62" i="9"/>
  <c r="BE63" i="9"/>
  <c r="BE64" i="9"/>
  <c r="BE65" i="9"/>
  <c r="BE66" i="9"/>
  <c r="BE67" i="9"/>
  <c r="BE68" i="9"/>
  <c r="BE69" i="9"/>
  <c r="BE70" i="9"/>
  <c r="BE71" i="9"/>
  <c r="BE72" i="9"/>
  <c r="BE73" i="9"/>
  <c r="BE74" i="9"/>
  <c r="BE75" i="9"/>
  <c r="BE76" i="9"/>
  <c r="BE77" i="9"/>
  <c r="BE78" i="9"/>
  <c r="BE79" i="9"/>
  <c r="BE80" i="9"/>
  <c r="BE81" i="9"/>
  <c r="BE82" i="9"/>
  <c r="BE83" i="9"/>
  <c r="BE84" i="9"/>
  <c r="BE85" i="9"/>
  <c r="BE86" i="9"/>
  <c r="BE87" i="9"/>
  <c r="BE88" i="9"/>
  <c r="BE89" i="9"/>
  <c r="BE90" i="9"/>
  <c r="BE91" i="9"/>
  <c r="BE92" i="9"/>
  <c r="BE93" i="9"/>
  <c r="BE94" i="9"/>
  <c r="BE95" i="9"/>
  <c r="BE96" i="9"/>
  <c r="BE97" i="9"/>
  <c r="BE98" i="9"/>
  <c r="BE99" i="9"/>
  <c r="BE100" i="9"/>
  <c r="BE101" i="9"/>
  <c r="BE102" i="9"/>
  <c r="BE103" i="9"/>
  <c r="BE4" i="9"/>
  <c r="BC5" i="9"/>
  <c r="BC6" i="9"/>
  <c r="BC7" i="9"/>
  <c r="BC8" i="9"/>
  <c r="BC9" i="9"/>
  <c r="BC10" i="9"/>
  <c r="BC11" i="9"/>
  <c r="BC12" i="9"/>
  <c r="BC13" i="9"/>
  <c r="BC14" i="9"/>
  <c r="BC15" i="9"/>
  <c r="BC16" i="9"/>
  <c r="BC17" i="9"/>
  <c r="BC18" i="9"/>
  <c r="BC19" i="9"/>
  <c r="BC20" i="9"/>
  <c r="BC21" i="9"/>
  <c r="BC22" i="9"/>
  <c r="BC23" i="9"/>
  <c r="BC24" i="9"/>
  <c r="BC25" i="9"/>
  <c r="BC26" i="9"/>
  <c r="BC27" i="9"/>
  <c r="BC28" i="9"/>
  <c r="BC29" i="9"/>
  <c r="BC30" i="9"/>
  <c r="BC31" i="9"/>
  <c r="BC32" i="9"/>
  <c r="BC33" i="9"/>
  <c r="BC34" i="9"/>
  <c r="BC35" i="9"/>
  <c r="BC36" i="9"/>
  <c r="BC37" i="9"/>
  <c r="BC38" i="9"/>
  <c r="BC39" i="9"/>
  <c r="BC40" i="9"/>
  <c r="BC41" i="9"/>
  <c r="BC42" i="9"/>
  <c r="BC43" i="9"/>
  <c r="BC44" i="9"/>
  <c r="BC45" i="9"/>
  <c r="BC46" i="9"/>
  <c r="BC47" i="9"/>
  <c r="BC48" i="9"/>
  <c r="BC49" i="9"/>
  <c r="BC50" i="9"/>
  <c r="BC51" i="9"/>
  <c r="BC52" i="9"/>
  <c r="BC53" i="9"/>
  <c r="BC54" i="9"/>
  <c r="BC55" i="9"/>
  <c r="BC56" i="9"/>
  <c r="BC57" i="9"/>
  <c r="BC58" i="9"/>
  <c r="BC59" i="9"/>
  <c r="BC60" i="9"/>
  <c r="BC61" i="9"/>
  <c r="BC62" i="9"/>
  <c r="BC63" i="9"/>
  <c r="BC64" i="9"/>
  <c r="BC65" i="9"/>
  <c r="BC66" i="9"/>
  <c r="BC67" i="9"/>
  <c r="BC68" i="9"/>
  <c r="BC69" i="9"/>
  <c r="BC70" i="9"/>
  <c r="BC71" i="9"/>
  <c r="BC72" i="9"/>
  <c r="BC73" i="9"/>
  <c r="BC74" i="9"/>
  <c r="BC75" i="9"/>
  <c r="BC76" i="9"/>
  <c r="BC77" i="9"/>
  <c r="BC78" i="9"/>
  <c r="BC79" i="9"/>
  <c r="BC80" i="9"/>
  <c r="BC81" i="9"/>
  <c r="BC82" i="9"/>
  <c r="BC83" i="9"/>
  <c r="BC84" i="9"/>
  <c r="BC85" i="9"/>
  <c r="BC86" i="9"/>
  <c r="BC87" i="9"/>
  <c r="BC88" i="9"/>
  <c r="BC89" i="9"/>
  <c r="BC90" i="9"/>
  <c r="BC91" i="9"/>
  <c r="BC92" i="9"/>
  <c r="BC93" i="9"/>
  <c r="BC94" i="9"/>
  <c r="BC95" i="9"/>
  <c r="BC96" i="9"/>
  <c r="BC97" i="9"/>
  <c r="BC98" i="9"/>
  <c r="BC99" i="9"/>
  <c r="BC100" i="9"/>
  <c r="BC101" i="9"/>
  <c r="BC102" i="9"/>
  <c r="BC103" i="9"/>
  <c r="BC4" i="9"/>
  <c r="Z4" i="3"/>
  <c r="L4" i="3"/>
  <c r="P4" i="3"/>
  <c r="R4" i="3" s="1"/>
  <c r="L90" i="9"/>
  <c r="P94" i="9"/>
  <c r="P103" i="9"/>
  <c r="P102" i="9"/>
  <c r="P100" i="9"/>
  <c r="I22" i="3"/>
  <c r="P22" i="3" s="1"/>
  <c r="I17" i="3"/>
  <c r="P17" i="3" s="1"/>
  <c r="P13" i="3"/>
  <c r="I23" i="3"/>
  <c r="I24" i="3"/>
  <c r="I25" i="3"/>
  <c r="I26" i="3"/>
  <c r="U126" i="26"/>
  <c r="S126" i="26"/>
  <c r="Q126" i="26"/>
  <c r="O126" i="26"/>
  <c r="M126" i="26"/>
  <c r="K126" i="26"/>
  <c r="I126" i="26"/>
  <c r="G126" i="26"/>
  <c r="E126" i="26"/>
  <c r="C126" i="26"/>
  <c r="BE31" i="3" l="1"/>
  <c r="D50" i="16" s="1"/>
  <c r="BE30" i="3"/>
  <c r="D49" i="16" s="1"/>
  <c r="BC30" i="3"/>
  <c r="D45" i="16" s="1"/>
  <c r="BC31" i="3"/>
  <c r="D46" i="16" s="1"/>
  <c r="BC107" i="9"/>
  <c r="BE105" i="9"/>
  <c r="BE106" i="9"/>
  <c r="BE107" i="9"/>
  <c r="BC105" i="9"/>
  <c r="BC106" i="9"/>
  <c r="BC29" i="3"/>
  <c r="D44" i="16" s="1"/>
  <c r="BE29" i="3"/>
  <c r="D48" i="16" s="1"/>
  <c r="BD105" i="9"/>
  <c r="W27" i="3" l="1"/>
  <c r="P26" i="3"/>
  <c r="R26" i="3" s="1"/>
  <c r="W25" i="3"/>
  <c r="V25" i="3" s="1"/>
  <c r="V27" i="3" l="1"/>
  <c r="AS27" i="3" s="1"/>
  <c r="P25" i="3"/>
  <c r="R25" i="3" s="1"/>
  <c r="AG25" i="3" s="1"/>
  <c r="W26" i="3"/>
  <c r="V26" i="3" s="1"/>
  <c r="AS26" i="3" s="1"/>
  <c r="P23" i="3"/>
  <c r="L22" i="3"/>
  <c r="W21" i="3"/>
  <c r="AT21" i="3" s="1"/>
  <c r="R21" i="3"/>
  <c r="AP21" i="3" s="1"/>
  <c r="I20" i="3"/>
  <c r="P19" i="3"/>
  <c r="W19" i="3" s="1"/>
  <c r="AT27" i="3"/>
  <c r="AO27" i="3"/>
  <c r="AN27" i="3"/>
  <c r="AP26" i="3"/>
  <c r="AO26" i="3"/>
  <c r="AN26" i="3"/>
  <c r="AQ26" i="3" s="1"/>
  <c r="AM26" i="3"/>
  <c r="AK26" i="3"/>
  <c r="AT25" i="3"/>
  <c r="AS25" i="3"/>
  <c r="AO25" i="3"/>
  <c r="AM25" i="3"/>
  <c r="AK25" i="3"/>
  <c r="AO24" i="3"/>
  <c r="AM24" i="3"/>
  <c r="AK24" i="3"/>
  <c r="AO23" i="3"/>
  <c r="AM23" i="3"/>
  <c r="AK23" i="3"/>
  <c r="AO22" i="3"/>
  <c r="AO21" i="3"/>
  <c r="AN21" i="3"/>
  <c r="AQ21" i="3" s="1"/>
  <c r="AM21" i="3"/>
  <c r="AK21" i="3"/>
  <c r="AO20" i="3"/>
  <c r="AO19" i="3"/>
  <c r="AM19" i="3"/>
  <c r="AK19" i="3"/>
  <c r="AO18" i="3"/>
  <c r="AO17" i="3"/>
  <c r="AO16" i="3"/>
  <c r="AM16" i="3"/>
  <c r="AK16" i="3"/>
  <c r="AO15" i="3"/>
  <c r="AM15" i="3"/>
  <c r="AK15" i="3"/>
  <c r="AO14" i="3"/>
  <c r="AM14" i="3"/>
  <c r="AK14" i="3"/>
  <c r="AO13" i="3"/>
  <c r="AM13" i="3"/>
  <c r="AK13" i="3"/>
  <c r="AO12" i="3"/>
  <c r="AM12" i="3"/>
  <c r="AK12" i="3"/>
  <c r="AO11" i="3"/>
  <c r="AJ12" i="3"/>
  <c r="AJ13" i="3"/>
  <c r="AJ14" i="3"/>
  <c r="AJ15" i="3"/>
  <c r="AJ16" i="3"/>
  <c r="AJ17" i="3"/>
  <c r="AJ18" i="3"/>
  <c r="AJ19" i="3"/>
  <c r="AJ20" i="3"/>
  <c r="AJ21" i="3"/>
  <c r="AJ22" i="3"/>
  <c r="AJ23" i="3"/>
  <c r="AJ24" i="3"/>
  <c r="AJ25" i="3"/>
  <c r="AJ26" i="3"/>
  <c r="AJ27" i="3"/>
  <c r="AJ11" i="3"/>
  <c r="AF12" i="3"/>
  <c r="AF13" i="3"/>
  <c r="AF14" i="3"/>
  <c r="AF15" i="3"/>
  <c r="AF16" i="3"/>
  <c r="AF19" i="3"/>
  <c r="AF21" i="3"/>
  <c r="AG21" i="3"/>
  <c r="AF23" i="3"/>
  <c r="AF24" i="3"/>
  <c r="AF25" i="3"/>
  <c r="AH25" i="3"/>
  <c r="AI25" i="3"/>
  <c r="AF26" i="3"/>
  <c r="AG26" i="3"/>
  <c r="AI27" i="3"/>
  <c r="I18" i="3"/>
  <c r="W18" i="3" s="1"/>
  <c r="V18" i="3" s="1"/>
  <c r="AS18" i="3" s="1"/>
  <c r="W17" i="3"/>
  <c r="I16" i="3"/>
  <c r="P16" i="3" s="1"/>
  <c r="I15" i="3"/>
  <c r="P15" i="3" s="1"/>
  <c r="W15" i="3" s="1"/>
  <c r="I14" i="3"/>
  <c r="P14" i="3" s="1"/>
  <c r="X14" i="3" s="1"/>
  <c r="R13" i="3"/>
  <c r="I12" i="3"/>
  <c r="P12" i="3" s="1"/>
  <c r="Z11" i="3"/>
  <c r="I11" i="3"/>
  <c r="J11" i="3" s="1"/>
  <c r="AT10" i="3"/>
  <c r="AS10" i="3" s="1"/>
  <c r="AF10" i="3"/>
  <c r="I10" i="3"/>
  <c r="W10" i="3" s="1"/>
  <c r="I9" i="3"/>
  <c r="W9" i="3" s="1"/>
  <c r="AT6" i="3"/>
  <c r="AS6" i="3" s="1"/>
  <c r="AT5" i="3"/>
  <c r="AS5" i="3" s="1"/>
  <c r="AK5" i="3"/>
  <c r="AM5" i="3" s="1"/>
  <c r="AN5" i="3"/>
  <c r="W5" i="3"/>
  <c r="AI5" i="3" s="1"/>
  <c r="P5" i="3"/>
  <c r="J5" i="3"/>
  <c r="O5" i="3" s="1"/>
  <c r="AF5" i="3" s="1"/>
  <c r="AW4" i="3"/>
  <c r="BA4" i="3"/>
  <c r="W6" i="3"/>
  <c r="AI6" i="3" s="1"/>
  <c r="J4" i="3"/>
  <c r="O4" i="3" s="1"/>
  <c r="AV4" i="3" s="1"/>
  <c r="R27" i="3"/>
  <c r="O27" i="3"/>
  <c r="AF27" i="3" s="1"/>
  <c r="N27" i="3"/>
  <c r="AK27" i="3" s="1"/>
  <c r="Z8" i="3"/>
  <c r="I8" i="3"/>
  <c r="J8" i="3" s="1"/>
  <c r="Z27" i="3"/>
  <c r="Z26" i="3"/>
  <c r="Y26" i="3"/>
  <c r="AR26" i="3" s="1"/>
  <c r="X26" i="3"/>
  <c r="Z25" i="3"/>
  <c r="Z24" i="3"/>
  <c r="Z23" i="3"/>
  <c r="Z22" i="3"/>
  <c r="Z21" i="3"/>
  <c r="Y21" i="3"/>
  <c r="AR21" i="3" s="1"/>
  <c r="X21" i="3"/>
  <c r="Z20" i="3"/>
  <c r="Z19" i="3"/>
  <c r="Z18" i="3"/>
  <c r="Z17" i="3"/>
  <c r="Z16" i="3"/>
  <c r="Z15" i="3"/>
  <c r="Z14" i="3"/>
  <c r="Z13" i="3"/>
  <c r="X13" i="3"/>
  <c r="Z12" i="3"/>
  <c r="Z10" i="3"/>
  <c r="Z9" i="3"/>
  <c r="Z7" i="3"/>
  <c r="Z5" i="3"/>
  <c r="I7" i="3"/>
  <c r="W7" i="3" s="1"/>
  <c r="AF6" i="3"/>
  <c r="AB6" i="3"/>
  <c r="Z6" i="3"/>
  <c r="AN6" i="3"/>
  <c r="P6" i="3"/>
  <c r="X6" i="3" s="1"/>
  <c r="AB5" i="3"/>
  <c r="AB7" i="3"/>
  <c r="AB8" i="3"/>
  <c r="AB10" i="3"/>
  <c r="AB11" i="3"/>
  <c r="AB12" i="3"/>
  <c r="AB13" i="3"/>
  <c r="AB14" i="3"/>
  <c r="AB15" i="3"/>
  <c r="AB16" i="3"/>
  <c r="AB17" i="3"/>
  <c r="AB19" i="3"/>
  <c r="AB20" i="3"/>
  <c r="AB21" i="3"/>
  <c r="AB22" i="3"/>
  <c r="AB23" i="3"/>
  <c r="AB24" i="3"/>
  <c r="AB25" i="3"/>
  <c r="AB26" i="3"/>
  <c r="AB27" i="3"/>
  <c r="AB4" i="3"/>
  <c r="F26" i="3"/>
  <c r="C18" i="3"/>
  <c r="BD18" i="3" s="1"/>
  <c r="AW4" i="9"/>
  <c r="D14" i="15"/>
  <c r="D21" i="15"/>
  <c r="D20" i="15"/>
  <c r="D19" i="15"/>
  <c r="D23" i="15"/>
  <c r="D26" i="15"/>
  <c r="D11" i="15"/>
  <c r="V7" i="3" l="1"/>
  <c r="AZ7" i="3" s="1"/>
  <c r="BA7" i="3"/>
  <c r="AQ27" i="3"/>
  <c r="AP6" i="3"/>
  <c r="AR6" i="3" s="1"/>
  <c r="AQ6" i="3"/>
  <c r="AP5" i="3"/>
  <c r="AR5" i="3" s="1"/>
  <c r="AQ5" i="3"/>
  <c r="BD31" i="3"/>
  <c r="D42" i="16" s="1"/>
  <c r="BD30" i="3"/>
  <c r="AI21" i="3"/>
  <c r="D33" i="16"/>
  <c r="D35" i="16"/>
  <c r="AH26" i="3"/>
  <c r="P20" i="3"/>
  <c r="R20" i="3" s="1"/>
  <c r="AP20" i="3" s="1"/>
  <c r="L20" i="3"/>
  <c r="O20" i="3" s="1"/>
  <c r="AM20" i="3" s="1"/>
  <c r="AB18" i="3"/>
  <c r="B27" i="24" s="1" a="1"/>
  <c r="B27" i="24" s="1"/>
  <c r="BD29" i="3"/>
  <c r="D40" i="16" s="1"/>
  <c r="R5" i="3"/>
  <c r="AG5" i="3" s="1"/>
  <c r="D34" i="16"/>
  <c r="X25" i="3"/>
  <c r="Y25" i="3"/>
  <c r="AE25" i="3" s="1"/>
  <c r="AH27" i="3"/>
  <c r="AN25" i="3"/>
  <c r="AQ25" i="3" s="1"/>
  <c r="AT26" i="3"/>
  <c r="AI26" i="3"/>
  <c r="AP25" i="3"/>
  <c r="AG27" i="3"/>
  <c r="W23" i="3"/>
  <c r="AT23" i="3" s="1"/>
  <c r="AI18" i="3"/>
  <c r="R22" i="3"/>
  <c r="AG22" i="3" s="1"/>
  <c r="W13" i="3"/>
  <c r="AI13" i="3" s="1"/>
  <c r="V5" i="3"/>
  <c r="AH5" i="3" s="1"/>
  <c r="AE21" i="3"/>
  <c r="J22" i="3"/>
  <c r="O22" i="3" s="1"/>
  <c r="P11" i="3"/>
  <c r="D28" i="16" s="1"/>
  <c r="W20" i="3"/>
  <c r="V20" i="3" s="1"/>
  <c r="AH20" i="3" s="1"/>
  <c r="W12" i="3"/>
  <c r="AI12" i="3" s="1"/>
  <c r="AN19" i="3"/>
  <c r="AQ19" i="3" s="1"/>
  <c r="AP27" i="3"/>
  <c r="AN13" i="3"/>
  <c r="AQ13" i="3" s="1"/>
  <c r="V21" i="3"/>
  <c r="AI19" i="3"/>
  <c r="AT19" i="3"/>
  <c r="V19" i="3"/>
  <c r="AI15" i="3"/>
  <c r="V15" i="3"/>
  <c r="AT15" i="3"/>
  <c r="Y13" i="3"/>
  <c r="AG13" i="3"/>
  <c r="AP13" i="3"/>
  <c r="AN12" i="3"/>
  <c r="AQ12" i="3" s="1"/>
  <c r="X12" i="3"/>
  <c r="R12" i="3"/>
  <c r="X16" i="3"/>
  <c r="W16" i="3"/>
  <c r="AN16" i="3"/>
  <c r="AQ16" i="3" s="1"/>
  <c r="R16" i="3"/>
  <c r="V17" i="3"/>
  <c r="AI17" i="3"/>
  <c r="AT17" i="3"/>
  <c r="AT18" i="3"/>
  <c r="R15" i="3"/>
  <c r="AH18" i="3"/>
  <c r="AN22" i="3"/>
  <c r="X15" i="3"/>
  <c r="X19" i="3"/>
  <c r="AN15" i="3"/>
  <c r="AQ15" i="3" s="1"/>
  <c r="X27" i="3"/>
  <c r="R14" i="3"/>
  <c r="R19" i="3"/>
  <c r="P9" i="3"/>
  <c r="X9" i="3" s="1"/>
  <c r="W11" i="3"/>
  <c r="AM27" i="3"/>
  <c r="J9" i="3"/>
  <c r="O9" i="3" s="1"/>
  <c r="AV9" i="3" s="1"/>
  <c r="W14" i="3"/>
  <c r="W24" i="3"/>
  <c r="P24" i="3"/>
  <c r="AN14" i="3"/>
  <c r="AQ14" i="3" s="1"/>
  <c r="AE26" i="3"/>
  <c r="X23" i="3"/>
  <c r="R23" i="3"/>
  <c r="Y23" i="3" s="1"/>
  <c r="AN23" i="3"/>
  <c r="AQ23" i="3" s="1"/>
  <c r="N11" i="3"/>
  <c r="O11" i="3"/>
  <c r="V9" i="3"/>
  <c r="AZ9" i="3" s="1"/>
  <c r="BA9" i="3"/>
  <c r="V10" i="3"/>
  <c r="AH10" i="3" s="1"/>
  <c r="AI10" i="3"/>
  <c r="P10" i="3"/>
  <c r="Y27" i="3"/>
  <c r="X5" i="3"/>
  <c r="N4" i="3"/>
  <c r="X4" i="3" s="1"/>
  <c r="W8" i="3"/>
  <c r="Y4" i="3"/>
  <c r="V4" i="3"/>
  <c r="AZ4" i="3" s="1"/>
  <c r="P7" i="3"/>
  <c r="R7" i="3" s="1"/>
  <c r="AW7" i="3" s="1"/>
  <c r="P8" i="3"/>
  <c r="R8" i="3" s="1"/>
  <c r="AW8" i="3" s="1"/>
  <c r="J7" i="3"/>
  <c r="N8" i="3"/>
  <c r="O8" i="3"/>
  <c r="AV8" i="3" s="1"/>
  <c r="R6" i="3"/>
  <c r="Y6" i="3" s="1"/>
  <c r="AE6" i="3" s="1"/>
  <c r="V6" i="3"/>
  <c r="AH6" i="3" s="1"/>
  <c r="AB6" i="9"/>
  <c r="AB7" i="9"/>
  <c r="AB8" i="9"/>
  <c r="AB9" i="9"/>
  <c r="AB10" i="9"/>
  <c r="AB11" i="9"/>
  <c r="AB12" i="9"/>
  <c r="AB13" i="9"/>
  <c r="AB14" i="9"/>
  <c r="AB15" i="9"/>
  <c r="AB16" i="9"/>
  <c r="AB17" i="9"/>
  <c r="AB18" i="9"/>
  <c r="AB19" i="9"/>
  <c r="AB20" i="9"/>
  <c r="AB21" i="9"/>
  <c r="AB22" i="9"/>
  <c r="AB23" i="9"/>
  <c r="AB24" i="9"/>
  <c r="AB25" i="9"/>
  <c r="AB26" i="9"/>
  <c r="AB27" i="9"/>
  <c r="AB28" i="9"/>
  <c r="AB29" i="9"/>
  <c r="AB30" i="9"/>
  <c r="AB31" i="9"/>
  <c r="AB32" i="9"/>
  <c r="AB33" i="9"/>
  <c r="AB34" i="9"/>
  <c r="AB35" i="9"/>
  <c r="AB36" i="9"/>
  <c r="AB37" i="9"/>
  <c r="AB38" i="9"/>
  <c r="AB39" i="9"/>
  <c r="AB40" i="9"/>
  <c r="AB41" i="9"/>
  <c r="AB42" i="9"/>
  <c r="AB43" i="9"/>
  <c r="AB44" i="9"/>
  <c r="AB45" i="9"/>
  <c r="AB46" i="9"/>
  <c r="AB47" i="9"/>
  <c r="AB48" i="9"/>
  <c r="AB49" i="9"/>
  <c r="AB50" i="9"/>
  <c r="AB51" i="9"/>
  <c r="AB52" i="9"/>
  <c r="AB53" i="9"/>
  <c r="AB54" i="9"/>
  <c r="AB55" i="9"/>
  <c r="AB56" i="9"/>
  <c r="AB57" i="9"/>
  <c r="AB58" i="9"/>
  <c r="AB59" i="9"/>
  <c r="AB60" i="9"/>
  <c r="AB61" i="9"/>
  <c r="AB62" i="9"/>
  <c r="AB63" i="9"/>
  <c r="AB64" i="9"/>
  <c r="AB65" i="9"/>
  <c r="AB66" i="9"/>
  <c r="AB67" i="9"/>
  <c r="AB68" i="9"/>
  <c r="AB69" i="9"/>
  <c r="AB70" i="9"/>
  <c r="AB71" i="9"/>
  <c r="AB72" i="9"/>
  <c r="AB73" i="9"/>
  <c r="AB74" i="9"/>
  <c r="AB75" i="9"/>
  <c r="AB76" i="9"/>
  <c r="AB77" i="9"/>
  <c r="AB78" i="9"/>
  <c r="AB79" i="9"/>
  <c r="AB80" i="9"/>
  <c r="AB81" i="9"/>
  <c r="AB82" i="9"/>
  <c r="AB83" i="9"/>
  <c r="AB84" i="9"/>
  <c r="AB85" i="9"/>
  <c r="AB86" i="9"/>
  <c r="AB87" i="9"/>
  <c r="AB88" i="9"/>
  <c r="AB89" i="9"/>
  <c r="AB90" i="9"/>
  <c r="AB91" i="9"/>
  <c r="AB92" i="9"/>
  <c r="AB93" i="9"/>
  <c r="AB94" i="9"/>
  <c r="AB95" i="9"/>
  <c r="AB96" i="9"/>
  <c r="AB97" i="9"/>
  <c r="AB98" i="9"/>
  <c r="AB99" i="9"/>
  <c r="AB100" i="9"/>
  <c r="AB101" i="9"/>
  <c r="AB102" i="9"/>
  <c r="AB103" i="9"/>
  <c r="AB5" i="9"/>
  <c r="AB4" i="9"/>
  <c r="Z90" i="9"/>
  <c r="Q22" i="9"/>
  <c r="Z22" i="9" s="1"/>
  <c r="Q21" i="9"/>
  <c r="Z21" i="9" s="1"/>
  <c r="Z5" i="9"/>
  <c r="Z6" i="9"/>
  <c r="Z7" i="9"/>
  <c r="Z14" i="9"/>
  <c r="Z23" i="9"/>
  <c r="Z27" i="9"/>
  <c r="Z28" i="9"/>
  <c r="Z32" i="9"/>
  <c r="Z48" i="9"/>
  <c r="Z54" i="9"/>
  <c r="Z55" i="9"/>
  <c r="Z56" i="9"/>
  <c r="Z57" i="9"/>
  <c r="Z59" i="9"/>
  <c r="Z61" i="9"/>
  <c r="Z67" i="9"/>
  <c r="Z70" i="9"/>
  <c r="Z71" i="9"/>
  <c r="Z72" i="9"/>
  <c r="Z75" i="9"/>
  <c r="Z77" i="9"/>
  <c r="Z78" i="9"/>
  <c r="Z79" i="9"/>
  <c r="Z80" i="9"/>
  <c r="Z82" i="9"/>
  <c r="Z84" i="9"/>
  <c r="Z85" i="9"/>
  <c r="Z86" i="9"/>
  <c r="Z87" i="9"/>
  <c r="Z88" i="9"/>
  <c r="Z91" i="9"/>
  <c r="Z96" i="9"/>
  <c r="Z97" i="9"/>
  <c r="Z98" i="9"/>
  <c r="Z99" i="9"/>
  <c r="Z100" i="9"/>
  <c r="Z101" i="9"/>
  <c r="Z102" i="9"/>
  <c r="Z103" i="9"/>
  <c r="Z4" i="9"/>
  <c r="P74" i="9"/>
  <c r="AO103" i="9"/>
  <c r="AO102" i="9"/>
  <c r="AO101" i="9"/>
  <c r="AO100" i="9"/>
  <c r="AO99" i="9"/>
  <c r="AO98" i="9"/>
  <c r="AO97" i="9"/>
  <c r="AO96" i="9"/>
  <c r="AO92" i="9"/>
  <c r="AO91" i="9"/>
  <c r="AO90" i="9"/>
  <c r="AO88" i="9"/>
  <c r="AO87" i="9"/>
  <c r="AO86" i="9"/>
  <c r="AO85" i="9"/>
  <c r="AO84" i="9"/>
  <c r="AO82" i="9"/>
  <c r="AO80" i="9"/>
  <c r="AO79" i="9"/>
  <c r="AO78" i="9"/>
  <c r="AO77" i="9"/>
  <c r="AO75" i="9"/>
  <c r="AO72" i="9"/>
  <c r="AO71" i="9"/>
  <c r="AO70" i="9"/>
  <c r="AO61" i="9"/>
  <c r="AO59" i="9"/>
  <c r="AO57" i="9"/>
  <c r="AO56" i="9"/>
  <c r="AO55" i="9"/>
  <c r="AO54" i="9"/>
  <c r="AO53" i="9"/>
  <c r="AO52" i="9"/>
  <c r="AO48" i="9"/>
  <c r="AP48" i="9" s="1"/>
  <c r="AO36" i="9"/>
  <c r="AO30" i="9"/>
  <c r="AO29" i="9"/>
  <c r="AO26" i="9"/>
  <c r="W99" i="9"/>
  <c r="AI99" i="9" s="1"/>
  <c r="L99" i="9"/>
  <c r="P99" i="9"/>
  <c r="R99" i="9" s="1"/>
  <c r="AG99" i="9" s="1"/>
  <c r="N99" i="9"/>
  <c r="J99" i="9"/>
  <c r="AL103" i="9"/>
  <c r="AN102" i="9"/>
  <c r="AQ102" i="9" s="1"/>
  <c r="AL101" i="9"/>
  <c r="AL98" i="9"/>
  <c r="AL97" i="9"/>
  <c r="AL96" i="9"/>
  <c r="AL90" i="9"/>
  <c r="AL87" i="9"/>
  <c r="AL83" i="9"/>
  <c r="AL76" i="9"/>
  <c r="AL73" i="9"/>
  <c r="AL74" i="9"/>
  <c r="AL69" i="9"/>
  <c r="AL68" i="9"/>
  <c r="BA42" i="9"/>
  <c r="BA7" i="9"/>
  <c r="BA6" i="9"/>
  <c r="BA5" i="9"/>
  <c r="AL66" i="9"/>
  <c r="AL65" i="9"/>
  <c r="AL64" i="9"/>
  <c r="AS53" i="9"/>
  <c r="AK55" i="9"/>
  <c r="AM55" i="9" s="1"/>
  <c r="AK54" i="9"/>
  <c r="AM54" i="9" s="1"/>
  <c r="R102" i="9"/>
  <c r="AG102" i="9" s="1"/>
  <c r="R100" i="9"/>
  <c r="AG100" i="9" s="1"/>
  <c r="AK48" i="9"/>
  <c r="AS44" i="9"/>
  <c r="AF100" i="9"/>
  <c r="AG89" i="9"/>
  <c r="P90" i="9"/>
  <c r="W90" i="9" s="1"/>
  <c r="AT90" i="9" s="1"/>
  <c r="N90" i="9"/>
  <c r="W103" i="9"/>
  <c r="AI103" i="9" s="1"/>
  <c r="W101" i="9"/>
  <c r="V101" i="9" s="1"/>
  <c r="AH101" i="9" s="1"/>
  <c r="Q95" i="9"/>
  <c r="Z95" i="9" s="1"/>
  <c r="Q94" i="9"/>
  <c r="AO94" i="9" s="1"/>
  <c r="Q93" i="9"/>
  <c r="AO93" i="9" s="1"/>
  <c r="L96" i="9"/>
  <c r="AK96" i="9" s="1"/>
  <c r="J93" i="9"/>
  <c r="J92" i="9"/>
  <c r="J91" i="9"/>
  <c r="P87" i="9"/>
  <c r="R87" i="9" s="1"/>
  <c r="AG87" i="9" s="1"/>
  <c r="L87" i="9"/>
  <c r="AK87" i="9" s="1"/>
  <c r="J89" i="9"/>
  <c r="W97" i="9"/>
  <c r="V97" i="9" s="1"/>
  <c r="AH97" i="9" s="1"/>
  <c r="W95" i="9"/>
  <c r="AI95" i="9" s="1"/>
  <c r="W93" i="9"/>
  <c r="V93" i="9" s="1"/>
  <c r="AH93" i="9" s="1"/>
  <c r="W92" i="9"/>
  <c r="V92" i="9" s="1"/>
  <c r="AH92" i="9" s="1"/>
  <c r="W88" i="9"/>
  <c r="AI88" i="9" s="1"/>
  <c r="W87" i="9"/>
  <c r="AI87" i="9" s="1"/>
  <c r="W86" i="9"/>
  <c r="V86" i="9" s="1"/>
  <c r="AH86" i="9" s="1"/>
  <c r="W85" i="9"/>
  <c r="AI85" i="9" s="1"/>
  <c r="W84" i="9"/>
  <c r="V84" i="9" s="1"/>
  <c r="AH84" i="9" s="1"/>
  <c r="W79" i="9"/>
  <c r="AI79" i="9" s="1"/>
  <c r="W80" i="9"/>
  <c r="AI80" i="9" s="1"/>
  <c r="W81" i="9"/>
  <c r="V81" i="9" s="1"/>
  <c r="AH81" i="9" s="1"/>
  <c r="W82" i="9"/>
  <c r="AI82" i="9" s="1"/>
  <c r="W83" i="9"/>
  <c r="V83" i="9" s="1"/>
  <c r="AH83" i="9" s="1"/>
  <c r="Q83" i="9"/>
  <c r="AO83" i="9" s="1"/>
  <c r="Q81" i="9"/>
  <c r="AO81" i="9" s="1"/>
  <c r="J82" i="9"/>
  <c r="J81" i="9"/>
  <c r="I76" i="9"/>
  <c r="W76" i="9" s="1"/>
  <c r="AT76" i="9" s="1"/>
  <c r="I71" i="9"/>
  <c r="P71" i="9" s="1"/>
  <c r="AN71" i="9" s="1"/>
  <c r="AQ71" i="9" s="1"/>
  <c r="I70" i="9"/>
  <c r="P70" i="9" s="1"/>
  <c r="I73" i="9"/>
  <c r="L73" i="9" s="1"/>
  <c r="AK73" i="9" s="1"/>
  <c r="I72" i="9"/>
  <c r="J72" i="9" s="1"/>
  <c r="W78" i="9"/>
  <c r="AI78" i="9" s="1"/>
  <c r="W77" i="9"/>
  <c r="V77" i="9" s="1"/>
  <c r="AH77" i="9" s="1"/>
  <c r="W75" i="9"/>
  <c r="V75" i="9" s="1"/>
  <c r="AH75" i="9" s="1"/>
  <c r="W74" i="9"/>
  <c r="V74" i="9" s="1"/>
  <c r="AH74" i="9" s="1"/>
  <c r="W73" i="9"/>
  <c r="V73" i="9" s="1"/>
  <c r="AH73" i="9" s="1"/>
  <c r="W72" i="9"/>
  <c r="AI72" i="9" s="1"/>
  <c r="W70" i="9"/>
  <c r="AI70" i="9" s="1"/>
  <c r="W69" i="9"/>
  <c r="V69" i="9" s="1"/>
  <c r="AH69" i="9" s="1"/>
  <c r="W68" i="9"/>
  <c r="V68" i="9" s="1"/>
  <c r="AH68" i="9" s="1"/>
  <c r="L68" i="9"/>
  <c r="AK68" i="9" s="1"/>
  <c r="W62" i="9"/>
  <c r="V62" i="9" s="1"/>
  <c r="W63" i="9"/>
  <c r="AI63" i="9" s="1"/>
  <c r="W60" i="9"/>
  <c r="AT60" i="9" s="1"/>
  <c r="W64" i="9"/>
  <c r="AI64" i="9" s="1"/>
  <c r="W65" i="9"/>
  <c r="AI65" i="9" s="1"/>
  <c r="W66" i="9"/>
  <c r="AT66" i="9" s="1"/>
  <c r="L66" i="9"/>
  <c r="AK66" i="9" s="1"/>
  <c r="I66" i="9"/>
  <c r="P66" i="9" s="1"/>
  <c r="W67" i="9"/>
  <c r="BA67" i="9" s="1"/>
  <c r="Q76" i="9"/>
  <c r="AO76" i="9" s="1"/>
  <c r="Q74" i="9"/>
  <c r="AO74" i="9" s="1"/>
  <c r="Q73" i="9"/>
  <c r="AO73" i="9" s="1"/>
  <c r="Q69" i="9"/>
  <c r="AO69" i="9" s="1"/>
  <c r="Q68" i="9"/>
  <c r="AO68" i="9" s="1"/>
  <c r="R67" i="9"/>
  <c r="Q66" i="9"/>
  <c r="AO66" i="9" s="1"/>
  <c r="Q65" i="9"/>
  <c r="AO65" i="9" s="1"/>
  <c r="Q64" i="9"/>
  <c r="AO64" i="9" s="1"/>
  <c r="Q63" i="9"/>
  <c r="AO63" i="9" s="1"/>
  <c r="Q62" i="9"/>
  <c r="AO62" i="9" s="1"/>
  <c r="Q60" i="9"/>
  <c r="AO60" i="9" s="1"/>
  <c r="L60" i="9"/>
  <c r="O60" i="9" s="1"/>
  <c r="AF60" i="9" s="1"/>
  <c r="I61" i="9"/>
  <c r="P61" i="9" s="1"/>
  <c r="I59" i="9"/>
  <c r="W59" i="9" s="1"/>
  <c r="V59" i="9" s="1"/>
  <c r="AH59" i="9" s="1"/>
  <c r="J56" i="9"/>
  <c r="AK56" i="9" s="1"/>
  <c r="AM56" i="9" s="1"/>
  <c r="I54" i="9"/>
  <c r="W54" i="9" s="1"/>
  <c r="AI54" i="9" s="1"/>
  <c r="W55" i="9"/>
  <c r="V55" i="9" s="1"/>
  <c r="W56" i="9"/>
  <c r="V56" i="9" s="1"/>
  <c r="AS56" i="9" s="1"/>
  <c r="W57" i="9"/>
  <c r="AI57" i="9" s="1"/>
  <c r="I58" i="9"/>
  <c r="J58" i="9" s="1"/>
  <c r="Q58" i="9"/>
  <c r="Z58" i="9" s="1"/>
  <c r="Q51" i="9"/>
  <c r="AO51" i="9" s="1"/>
  <c r="Q50" i="9"/>
  <c r="R50" i="9" s="1"/>
  <c r="Q49" i="9"/>
  <c r="AO49" i="9" s="1"/>
  <c r="Q47" i="9"/>
  <c r="Z47" i="9" s="1"/>
  <c r="Q46" i="9"/>
  <c r="Z46" i="9" s="1"/>
  <c r="Q45" i="9"/>
  <c r="AO45" i="9" s="1"/>
  <c r="Q44" i="9"/>
  <c r="AO44" i="9" s="1"/>
  <c r="Q43" i="9"/>
  <c r="AO43" i="9" s="1"/>
  <c r="Q42" i="9"/>
  <c r="Z42" i="9" s="1"/>
  <c r="Q41" i="9"/>
  <c r="AO41" i="9" s="1"/>
  <c r="Q40" i="9"/>
  <c r="AO40" i="9" s="1"/>
  <c r="Q37" i="9"/>
  <c r="AO37" i="9" s="1"/>
  <c r="Q35" i="9"/>
  <c r="AO35" i="9" s="1"/>
  <c r="Q33" i="9"/>
  <c r="Z33" i="9" s="1"/>
  <c r="Q31" i="9"/>
  <c r="Z31" i="9" s="1"/>
  <c r="Q25" i="9"/>
  <c r="Z25" i="9" s="1"/>
  <c r="Q17" i="9"/>
  <c r="AO17" i="9" s="1"/>
  <c r="Q16" i="9"/>
  <c r="AO16" i="9" s="1"/>
  <c r="Q15" i="9"/>
  <c r="AO15" i="9" s="1"/>
  <c r="Q13" i="9"/>
  <c r="Z13" i="9" s="1"/>
  <c r="Q12" i="9"/>
  <c r="AO12" i="9" s="1"/>
  <c r="Q11" i="9"/>
  <c r="AO11" i="9" s="1"/>
  <c r="Q10" i="9"/>
  <c r="Z10" i="9" s="1"/>
  <c r="Q9" i="9"/>
  <c r="Z9" i="9" s="1"/>
  <c r="W53" i="9"/>
  <c r="AT53" i="9" s="1"/>
  <c r="V51" i="9"/>
  <c r="W50" i="9"/>
  <c r="V50" i="9" s="1"/>
  <c r="AZ50" i="9" s="1"/>
  <c r="W49" i="9"/>
  <c r="AI49" i="9" s="1"/>
  <c r="I48" i="9"/>
  <c r="W48" i="9" s="1"/>
  <c r="I47" i="9"/>
  <c r="W47" i="9" s="1"/>
  <c r="W46" i="9"/>
  <c r="V46" i="9" s="1"/>
  <c r="AZ46" i="9" s="1"/>
  <c r="I45" i="9"/>
  <c r="P45" i="9" s="1"/>
  <c r="V42" i="9"/>
  <c r="AZ42" i="9" s="1"/>
  <c r="I43" i="9"/>
  <c r="J43" i="9" s="1"/>
  <c r="I44" i="9"/>
  <c r="P44" i="9" s="1"/>
  <c r="I40" i="9"/>
  <c r="P40" i="9" s="1"/>
  <c r="I41" i="9"/>
  <c r="J41" i="9" s="1"/>
  <c r="AK41" i="9" s="1"/>
  <c r="AM41" i="9" s="1"/>
  <c r="AT34" i="9"/>
  <c r="AS34" i="9" s="1"/>
  <c r="AT24" i="9"/>
  <c r="AS24" i="9" s="1"/>
  <c r="AT25" i="9"/>
  <c r="AS25" i="9" s="1"/>
  <c r="AS26" i="9"/>
  <c r="AM21" i="9"/>
  <c r="V38" i="9"/>
  <c r="AS38" i="9" s="1"/>
  <c r="I36" i="9"/>
  <c r="P36" i="9" s="1"/>
  <c r="AN36" i="9" s="1"/>
  <c r="I35" i="9"/>
  <c r="V35" i="9" s="1"/>
  <c r="AS35" i="9" s="1"/>
  <c r="W33" i="9"/>
  <c r="AT33" i="9" s="1"/>
  <c r="I10" i="9"/>
  <c r="P10" i="9" s="1"/>
  <c r="I27" i="9"/>
  <c r="P27" i="9" s="1"/>
  <c r="V28" i="9"/>
  <c r="AS28" i="9" s="1"/>
  <c r="W28" i="9"/>
  <c r="AT28" i="9" s="1"/>
  <c r="P28" i="9"/>
  <c r="J28" i="9"/>
  <c r="N28" i="9" s="1"/>
  <c r="I31" i="9"/>
  <c r="W31" i="9" s="1"/>
  <c r="AT31" i="9" s="1"/>
  <c r="I32" i="9"/>
  <c r="W32" i="9" s="1"/>
  <c r="AT32" i="9" s="1"/>
  <c r="X102" i="9"/>
  <c r="AD102" i="9" s="1"/>
  <c r="N26" i="9"/>
  <c r="N24" i="9"/>
  <c r="N17" i="9"/>
  <c r="N16" i="9"/>
  <c r="N13" i="9"/>
  <c r="AF95" i="9"/>
  <c r="AF94" i="9"/>
  <c r="AF88" i="9"/>
  <c r="AF86" i="9"/>
  <c r="AF85" i="9"/>
  <c r="AF84" i="9"/>
  <c r="AF80" i="9"/>
  <c r="AF79" i="9"/>
  <c r="AF78" i="9"/>
  <c r="AF77" i="9"/>
  <c r="AF75" i="9"/>
  <c r="AF71" i="9"/>
  <c r="AF70" i="9"/>
  <c r="AF61" i="9"/>
  <c r="AF59" i="9"/>
  <c r="J22" i="9"/>
  <c r="N22" i="9" s="1"/>
  <c r="O26" i="9"/>
  <c r="AK26" i="9"/>
  <c r="AM26" i="9" s="1"/>
  <c r="AI51" i="9"/>
  <c r="AI39" i="9"/>
  <c r="AI38" i="9"/>
  <c r="AI34" i="9"/>
  <c r="AI25" i="9"/>
  <c r="AI24" i="9"/>
  <c r="AI20" i="9"/>
  <c r="AI18" i="9"/>
  <c r="AI4" i="9"/>
  <c r="AS23" i="9"/>
  <c r="AN24" i="9"/>
  <c r="AQ24" i="9" s="1"/>
  <c r="AN23" i="9"/>
  <c r="AS14" i="9"/>
  <c r="W23" i="9"/>
  <c r="AI23" i="9" s="1"/>
  <c r="W21" i="9"/>
  <c r="AI21" i="9" s="1"/>
  <c r="V21" i="9"/>
  <c r="W14" i="9"/>
  <c r="AI14" i="9" s="1"/>
  <c r="W13" i="9"/>
  <c r="AI13" i="9" s="1"/>
  <c r="W10" i="9"/>
  <c r="BA10" i="9" s="1"/>
  <c r="V10" i="9"/>
  <c r="AZ10" i="9" s="1"/>
  <c r="V5" i="9"/>
  <c r="AZ5" i="9" s="1"/>
  <c r="B10" i="18" l="1" a="1"/>
  <c r="B10" i="18" s="1"/>
  <c r="B18" i="18" a="1"/>
  <c r="B18" i="18" s="1"/>
  <c r="B26" i="18" a="1"/>
  <c r="B26" i="18" s="1"/>
  <c r="B34" i="18" a="1"/>
  <c r="B34" i="18" s="1"/>
  <c r="B42" i="18" a="1"/>
  <c r="B42" i="18" s="1"/>
  <c r="B50" i="18" a="1"/>
  <c r="B50" i="18" s="1"/>
  <c r="B58" i="18" a="1"/>
  <c r="B58" i="18" s="1"/>
  <c r="B66" i="18" a="1"/>
  <c r="B66" i="18" s="1"/>
  <c r="B74" i="18" a="1"/>
  <c r="B74" i="18" s="1"/>
  <c r="B82" i="18" a="1"/>
  <c r="B82" i="18" s="1"/>
  <c r="B90" i="18" a="1"/>
  <c r="B90" i="18" s="1"/>
  <c r="B98" i="18" a="1"/>
  <c r="B98" i="18" s="1"/>
  <c r="B106" i="18" a="1"/>
  <c r="B106" i="18" s="1"/>
  <c r="B114" i="18" a="1"/>
  <c r="B114" i="18" s="1"/>
  <c r="B122" i="18" a="1"/>
  <c r="B122" i="18" s="1"/>
  <c r="B115" i="18" a="1"/>
  <c r="B115" i="18" s="1"/>
  <c r="B54" i="18" a="1"/>
  <c r="B54" i="18" s="1"/>
  <c r="B86" i="18" a="1"/>
  <c r="B86" i="18" s="1"/>
  <c r="B24" i="18" a="1"/>
  <c r="B24" i="18" s="1"/>
  <c r="B56" i="18" a="1"/>
  <c r="B56" i="18" s="1"/>
  <c r="B96" i="18" a="1"/>
  <c r="B96" i="18" s="1"/>
  <c r="B65" i="18" a="1"/>
  <c r="B65" i="18" s="1"/>
  <c r="B105" i="18" a="1"/>
  <c r="B105" i="18" s="1"/>
  <c r="B11" i="18" a="1"/>
  <c r="B11" i="18" s="1"/>
  <c r="B19" i="18" a="1"/>
  <c r="B19" i="18" s="1"/>
  <c r="B27" i="18" a="1"/>
  <c r="B27" i="18" s="1"/>
  <c r="B35" i="18" a="1"/>
  <c r="B35" i="18" s="1"/>
  <c r="B43" i="18" a="1"/>
  <c r="B43" i="18" s="1"/>
  <c r="B51" i="18" a="1"/>
  <c r="B51" i="18" s="1"/>
  <c r="B59" i="18" a="1"/>
  <c r="B59" i="18" s="1"/>
  <c r="B67" i="18" a="1"/>
  <c r="B67" i="18" s="1"/>
  <c r="B75" i="18" a="1"/>
  <c r="B75" i="18" s="1"/>
  <c r="B83" i="18" a="1"/>
  <c r="B83" i="18" s="1"/>
  <c r="B91" i="18" a="1"/>
  <c r="B91" i="18" s="1"/>
  <c r="B99" i="18" a="1"/>
  <c r="B99" i="18" s="1"/>
  <c r="B107" i="18" a="1"/>
  <c r="B107" i="18" s="1"/>
  <c r="B123" i="18" a="1"/>
  <c r="B123" i="18" s="1"/>
  <c r="B78" i="18" a="1"/>
  <c r="B78" i="18" s="1"/>
  <c r="B110" i="18" a="1"/>
  <c r="B110" i="18" s="1"/>
  <c r="B32" i="18" a="1"/>
  <c r="B32" i="18" s="1"/>
  <c r="B72" i="18" a="1"/>
  <c r="B72" i="18" s="1"/>
  <c r="B57" i="18" a="1"/>
  <c r="B57" i="18" s="1"/>
  <c r="B97" i="18" a="1"/>
  <c r="B97" i="18" s="1"/>
  <c r="B12" i="18" a="1"/>
  <c r="B12" i="18" s="1"/>
  <c r="B20" i="18" a="1"/>
  <c r="B20" i="18" s="1"/>
  <c r="B28" i="18" a="1"/>
  <c r="B28" i="18" s="1"/>
  <c r="B36" i="18" a="1"/>
  <c r="B36" i="18" s="1"/>
  <c r="B44" i="18" a="1"/>
  <c r="B44" i="18" s="1"/>
  <c r="B52" i="18" a="1"/>
  <c r="B52" i="18" s="1"/>
  <c r="B60" i="18" a="1"/>
  <c r="B60" i="18" s="1"/>
  <c r="B68" i="18" a="1"/>
  <c r="B68" i="18" s="1"/>
  <c r="B76" i="18" a="1"/>
  <c r="B76" i="18" s="1"/>
  <c r="B84" i="18" a="1"/>
  <c r="B84" i="18" s="1"/>
  <c r="B92" i="18" a="1"/>
  <c r="B92" i="18" s="1"/>
  <c r="B100" i="18" a="1"/>
  <c r="B100" i="18" s="1"/>
  <c r="B108" i="18" a="1"/>
  <c r="B108" i="18" s="1"/>
  <c r="B116" i="18" a="1"/>
  <c r="B116" i="18" s="1"/>
  <c r="B124" i="18" a="1"/>
  <c r="B124" i="18" s="1"/>
  <c r="B22" i="18" a="1"/>
  <c r="B22" i="18" s="1"/>
  <c r="B38" i="18" a="1"/>
  <c r="B38" i="18" s="1"/>
  <c r="B70" i="18" a="1"/>
  <c r="B70" i="18" s="1"/>
  <c r="B102" i="18" a="1"/>
  <c r="B102" i="18" s="1"/>
  <c r="B5" i="18" a="1"/>
  <c r="B5" i="18" s="1"/>
  <c r="B40" i="18" a="1"/>
  <c r="B40" i="18" s="1"/>
  <c r="B88" i="18" a="1"/>
  <c r="B88" i="18" s="1"/>
  <c r="B112" i="18" a="1"/>
  <c r="B112" i="18" s="1"/>
  <c r="B89" i="18" a="1"/>
  <c r="B89" i="18" s="1"/>
  <c r="B13" i="18" a="1"/>
  <c r="B13" i="18" s="1"/>
  <c r="B21" i="18" a="1"/>
  <c r="B21" i="18" s="1"/>
  <c r="B29" i="18" a="1"/>
  <c r="B29" i="18" s="1"/>
  <c r="B37" i="18" a="1"/>
  <c r="B37" i="18" s="1"/>
  <c r="B45" i="18" a="1"/>
  <c r="B45" i="18" s="1"/>
  <c r="B53" i="18" a="1"/>
  <c r="B53" i="18" s="1"/>
  <c r="B61" i="18" a="1"/>
  <c r="B61" i="18" s="1"/>
  <c r="B69" i="18" a="1"/>
  <c r="B69" i="18" s="1"/>
  <c r="B77" i="18" a="1"/>
  <c r="B77" i="18" s="1"/>
  <c r="B85" i="18" a="1"/>
  <c r="B85" i="18" s="1"/>
  <c r="B93" i="18" a="1"/>
  <c r="B93" i="18" s="1"/>
  <c r="B101" i="18" a="1"/>
  <c r="B101" i="18" s="1"/>
  <c r="B109" i="18" a="1"/>
  <c r="B109" i="18" s="1"/>
  <c r="B117" i="18" a="1"/>
  <c r="B117" i="18" s="1"/>
  <c r="B125" i="18" a="1"/>
  <c r="B125" i="18" s="1"/>
  <c r="B30" i="18" a="1"/>
  <c r="B30" i="18" s="1"/>
  <c r="B46" i="18" a="1"/>
  <c r="B46" i="18" s="1"/>
  <c r="B62" i="18" a="1"/>
  <c r="B62" i="18" s="1"/>
  <c r="B94" i="18" a="1"/>
  <c r="B94" i="18" s="1"/>
  <c r="B118" i="18" a="1"/>
  <c r="B118" i="18" s="1"/>
  <c r="B48" i="18" a="1"/>
  <c r="B48" i="18" s="1"/>
  <c r="B80" i="18" a="1"/>
  <c r="B80" i="18" s="1"/>
  <c r="B120" i="18" a="1"/>
  <c r="B120" i="18" s="1"/>
  <c r="B81" i="18" a="1"/>
  <c r="B81" i="18" s="1"/>
  <c r="B121" i="18" a="1"/>
  <c r="B121" i="18" s="1"/>
  <c r="B6" i="18" a="1"/>
  <c r="B6" i="18" s="1"/>
  <c r="B14" i="18" a="1"/>
  <c r="B14" i="18" s="1"/>
  <c r="B7" i="18" a="1"/>
  <c r="B7" i="18" s="1"/>
  <c r="B15" i="18" a="1"/>
  <c r="B15" i="18" s="1"/>
  <c r="B23" i="18" a="1"/>
  <c r="B23" i="18" s="1"/>
  <c r="B31" i="18" a="1"/>
  <c r="B31" i="18" s="1"/>
  <c r="B39" i="18" a="1"/>
  <c r="B39" i="18" s="1"/>
  <c r="B47" i="18" a="1"/>
  <c r="B47" i="18" s="1"/>
  <c r="B55" i="18" a="1"/>
  <c r="B55" i="18" s="1"/>
  <c r="B63" i="18" a="1"/>
  <c r="B63" i="18" s="1"/>
  <c r="B71" i="18" a="1"/>
  <c r="B71" i="18" s="1"/>
  <c r="B79" i="18" a="1"/>
  <c r="B79" i="18" s="1"/>
  <c r="B87" i="18" a="1"/>
  <c r="B87" i="18" s="1"/>
  <c r="B95" i="18" a="1"/>
  <c r="B95" i="18" s="1"/>
  <c r="B103" i="18" a="1"/>
  <c r="B103" i="18" s="1"/>
  <c r="B111" i="18" a="1"/>
  <c r="B111" i="18" s="1"/>
  <c r="B119" i="18" a="1"/>
  <c r="B119" i="18" s="1"/>
  <c r="B64" i="18" a="1"/>
  <c r="B64" i="18" s="1"/>
  <c r="B104" i="18" a="1"/>
  <c r="B104" i="18" s="1"/>
  <c r="B73" i="18" a="1"/>
  <c r="B73" i="18" s="1"/>
  <c r="B113" i="18" a="1"/>
  <c r="B113" i="18" s="1"/>
  <c r="B8" i="18" a="1"/>
  <c r="B8" i="18" s="1"/>
  <c r="B16" i="18" a="1"/>
  <c r="B16" i="18" s="1"/>
  <c r="B9" i="18" a="1"/>
  <c r="B9" i="18" s="1"/>
  <c r="B17" i="18" a="1"/>
  <c r="B17" i="18" s="1"/>
  <c r="B25" i="18" a="1"/>
  <c r="B25" i="18" s="1"/>
  <c r="B33" i="18" a="1"/>
  <c r="B33" i="18" s="1"/>
  <c r="B41" i="18" a="1"/>
  <c r="B41" i="18" s="1"/>
  <c r="B49" i="18" a="1"/>
  <c r="B49" i="18" s="1"/>
  <c r="G93" i="24" a="1"/>
  <c r="G93" i="24" s="1"/>
  <c r="G98" i="24" a="1"/>
  <c r="G98" i="24" s="1"/>
  <c r="F93" i="24" a="1"/>
  <c r="F93" i="24" s="1"/>
  <c r="F87" i="24" a="1"/>
  <c r="F87" i="24" s="1"/>
  <c r="E87" i="24" a="1"/>
  <c r="E87" i="24" s="1"/>
  <c r="C28" i="24" a="1"/>
  <c r="C28" i="24" s="1"/>
  <c r="E79" i="24" a="1"/>
  <c r="E79" i="24" s="1"/>
  <c r="B114" i="24" a="1"/>
  <c r="B114" i="24" s="1"/>
  <c r="B120" i="24" a="1"/>
  <c r="B120" i="24" s="1"/>
  <c r="E58" i="24" a="1"/>
  <c r="E58" i="24" s="1"/>
  <c r="C122" i="24" a="1"/>
  <c r="C122" i="24" s="1"/>
  <c r="D63" i="24" a="1"/>
  <c r="D63" i="24" s="1"/>
  <c r="G22" i="24" a="1"/>
  <c r="G22" i="24" s="1"/>
  <c r="G100" i="24" a="1"/>
  <c r="G100" i="24" s="1"/>
  <c r="F55" i="24" a="1"/>
  <c r="F55" i="24" s="1"/>
  <c r="C100" i="24" a="1"/>
  <c r="C100" i="24" s="1"/>
  <c r="B52" i="24" a="1"/>
  <c r="B52" i="24" s="1"/>
  <c r="G48" i="24" a="1"/>
  <c r="G48" i="24" s="1"/>
  <c r="B110" i="24" a="1"/>
  <c r="B110" i="24" s="1"/>
  <c r="G113" i="24" a="1"/>
  <c r="G113" i="24" s="1"/>
  <c r="E108" i="24" a="1"/>
  <c r="E108" i="24" s="1"/>
  <c r="D43" i="24" a="1"/>
  <c r="D43" i="24" s="1"/>
  <c r="C5" i="24" a="1"/>
  <c r="C5" i="24" s="1"/>
  <c r="C71" i="24" a="1"/>
  <c r="C71" i="24" s="1"/>
  <c r="F28" i="24" a="1"/>
  <c r="F28" i="24" s="1"/>
  <c r="D106" i="24" a="1"/>
  <c r="D106" i="24" s="1"/>
  <c r="F115" i="24" a="1"/>
  <c r="F115" i="24" s="1"/>
  <c r="E68" i="24" a="1"/>
  <c r="E68" i="24" s="1"/>
  <c r="F118" i="24" a="1"/>
  <c r="F118" i="24" s="1"/>
  <c r="C101" i="24" a="1"/>
  <c r="C101" i="24" s="1"/>
  <c r="B90" i="24" a="1"/>
  <c r="B90" i="24" s="1"/>
  <c r="D68" i="24" a="1"/>
  <c r="D68" i="24" s="1"/>
  <c r="E117" i="24" a="1"/>
  <c r="E117" i="24" s="1"/>
  <c r="F107" i="24" a="1"/>
  <c r="F107" i="24" s="1"/>
  <c r="G109" i="24" a="1"/>
  <c r="G109" i="24" s="1"/>
  <c r="E92" i="24" a="1"/>
  <c r="E92" i="24" s="1"/>
  <c r="C32" i="24" a="1"/>
  <c r="C32" i="24" s="1"/>
  <c r="B125" i="24" a="1"/>
  <c r="B125" i="24" s="1"/>
  <c r="C106" i="24" a="1"/>
  <c r="C106" i="24" s="1"/>
  <c r="C81" i="24" a="1"/>
  <c r="C81" i="24" s="1"/>
  <c r="C112" i="24" a="1"/>
  <c r="C112" i="24" s="1"/>
  <c r="D88" i="24" a="1"/>
  <c r="D88" i="24" s="1"/>
  <c r="F120" i="24" a="1"/>
  <c r="F120" i="24" s="1"/>
  <c r="F80" i="24" a="1"/>
  <c r="F80" i="24" s="1"/>
  <c r="D89" i="24" a="1"/>
  <c r="D89" i="24" s="1"/>
  <c r="F64" i="24" a="1"/>
  <c r="F64" i="24" s="1"/>
  <c r="C78" i="24" a="1"/>
  <c r="C78" i="24" s="1"/>
  <c r="F71" i="24" a="1"/>
  <c r="F71" i="24" s="1"/>
  <c r="E66" i="24" a="1"/>
  <c r="E66" i="24" s="1"/>
  <c r="C51" i="24" a="1"/>
  <c r="C51" i="24" s="1"/>
  <c r="C11" i="24" a="1"/>
  <c r="C11" i="24" s="1"/>
  <c r="F106" i="24" a="1"/>
  <c r="F106" i="24" s="1"/>
  <c r="B100" i="24" a="1"/>
  <c r="B100" i="24" s="1"/>
  <c r="G88" i="24" a="1"/>
  <c r="G88" i="24" s="1"/>
  <c r="E63" i="24" a="1"/>
  <c r="E63" i="24" s="1"/>
  <c r="B109" i="24" a="1"/>
  <c r="B109" i="24" s="1"/>
  <c r="G103" i="24" a="1"/>
  <c r="G103" i="24" s="1"/>
  <c r="E107" i="24" a="1"/>
  <c r="E107" i="24" s="1"/>
  <c r="C91" i="24" a="1"/>
  <c r="C91" i="24" s="1"/>
  <c r="E21" i="24" a="1"/>
  <c r="E21" i="24" s="1"/>
  <c r="D5" i="24" a="1"/>
  <c r="D5" i="24" s="1"/>
  <c r="G104" i="24" a="1"/>
  <c r="G104" i="24" s="1"/>
  <c r="F78" i="24" a="1"/>
  <c r="F78" i="24" s="1"/>
  <c r="G110" i="24" a="1"/>
  <c r="G110" i="24" s="1"/>
  <c r="G75" i="24" a="1"/>
  <c r="G75" i="24" s="1"/>
  <c r="G115" i="24" a="1"/>
  <c r="G115" i="24" s="1"/>
  <c r="F75" i="24" a="1"/>
  <c r="F75" i="24" s="1"/>
  <c r="G69" i="24" a="1"/>
  <c r="G69" i="24" s="1"/>
  <c r="C73" i="24" a="1"/>
  <c r="C73" i="24" s="1"/>
  <c r="G66" i="24" a="1"/>
  <c r="G66" i="24" s="1"/>
  <c r="E60" i="24" a="1"/>
  <c r="E60" i="24" s="1"/>
  <c r="B54" i="24" a="1"/>
  <c r="B54" i="24" s="1"/>
  <c r="E40" i="24" a="1"/>
  <c r="E40" i="24" s="1"/>
  <c r="B81" i="24" a="1"/>
  <c r="B81" i="24" s="1"/>
  <c r="B5" i="24" a="1"/>
  <c r="B5" i="24" s="1"/>
  <c r="E97" i="24" a="1"/>
  <c r="E97" i="24" s="1"/>
  <c r="C86" i="24" a="1"/>
  <c r="C86" i="24" s="1"/>
  <c r="D53" i="24" a="1"/>
  <c r="D53" i="24" s="1"/>
  <c r="C90" i="24" a="1"/>
  <c r="C90" i="24" s="1"/>
  <c r="B121" i="24" a="1"/>
  <c r="B121" i="24" s="1"/>
  <c r="B105" i="24" a="1"/>
  <c r="B105" i="24" s="1"/>
  <c r="D81" i="24" a="1"/>
  <c r="D81" i="24" s="1"/>
  <c r="D86" i="24" a="1"/>
  <c r="D86" i="24" s="1"/>
  <c r="D118" i="24" a="1"/>
  <c r="D118" i="24" s="1"/>
  <c r="C97" i="24" a="1"/>
  <c r="C97" i="24" s="1"/>
  <c r="D41" i="24" a="1"/>
  <c r="D41" i="24" s="1"/>
  <c r="F100" i="24" a="1"/>
  <c r="F100" i="24" s="1"/>
  <c r="C66" i="24" a="1"/>
  <c r="C66" i="24" s="1"/>
  <c r="B112" i="24" a="1"/>
  <c r="B112" i="24" s="1"/>
  <c r="G6" i="24" a="1"/>
  <c r="G6" i="24" s="1"/>
  <c r="C118" i="24" a="1"/>
  <c r="C118" i="24" s="1"/>
  <c r="C53" i="24" a="1"/>
  <c r="C53" i="24" s="1"/>
  <c r="B45" i="24" a="1"/>
  <c r="B45" i="24" s="1"/>
  <c r="C38" i="24" a="1"/>
  <c r="C38" i="24" s="1"/>
  <c r="F32" i="24" a="1"/>
  <c r="F32" i="24" s="1"/>
  <c r="B18" i="24" a="1"/>
  <c r="B18" i="24" s="1"/>
  <c r="F58" i="24" a="1"/>
  <c r="F58" i="24" s="1"/>
  <c r="C121" i="24" a="1"/>
  <c r="C121" i="24" s="1"/>
  <c r="C96" i="24" a="1"/>
  <c r="C96" i="24" s="1"/>
  <c r="D84" i="24" a="1"/>
  <c r="D84" i="24" s="1"/>
  <c r="B44" i="24" a="1"/>
  <c r="B44" i="24" s="1"/>
  <c r="C77" i="24" a="1"/>
  <c r="C77" i="24" s="1"/>
  <c r="E118" i="24" a="1"/>
  <c r="E118" i="24" s="1"/>
  <c r="F103" i="24" a="1"/>
  <c r="F103" i="24" s="1"/>
  <c r="G78" i="24" a="1"/>
  <c r="G78" i="24" s="1"/>
  <c r="F68" i="24" a="1"/>
  <c r="F68" i="24" s="1"/>
  <c r="C117" i="24" a="1"/>
  <c r="C117" i="24" s="1"/>
  <c r="G95" i="24" a="1"/>
  <c r="G95" i="24" s="1"/>
  <c r="G30" i="24" a="1"/>
  <c r="G30" i="24" s="1"/>
  <c r="F99" i="24" a="1"/>
  <c r="F99" i="24" s="1"/>
  <c r="G18" i="24" a="1"/>
  <c r="G18" i="24" s="1"/>
  <c r="C103" i="24" a="1"/>
  <c r="C103" i="24" s="1"/>
  <c r="B122" i="24" a="1"/>
  <c r="B122" i="24" s="1"/>
  <c r="G118" i="24" a="1"/>
  <c r="G118" i="24" s="1"/>
  <c r="E42" i="24" a="1"/>
  <c r="E42" i="24" s="1"/>
  <c r="D34" i="24" a="1"/>
  <c r="D34" i="24" s="1"/>
  <c r="F27" i="24" a="1"/>
  <c r="F27" i="24" s="1"/>
  <c r="C22" i="24" a="1"/>
  <c r="C22" i="24" s="1"/>
  <c r="D7" i="24" a="1"/>
  <c r="D7" i="24" s="1"/>
  <c r="C48" i="24" a="1"/>
  <c r="C48" i="24" s="1"/>
  <c r="D124" i="18" a="1"/>
  <c r="D124" i="18" s="1"/>
  <c r="O124" i="20" s="1"/>
  <c r="C123" i="18" a="1"/>
  <c r="C123" i="18" s="1"/>
  <c r="C122" i="18" a="1"/>
  <c r="C122" i="18" s="1"/>
  <c r="G118" i="18" a="1"/>
  <c r="G118" i="18" s="1"/>
  <c r="U118" i="20" s="1"/>
  <c r="F117" i="18" a="1"/>
  <c r="F117" i="18" s="1"/>
  <c r="S117" i="20" s="1"/>
  <c r="F116" i="18" a="1"/>
  <c r="F116" i="18" s="1"/>
  <c r="S116" i="20" s="1"/>
  <c r="F115" i="18" a="1"/>
  <c r="F115" i="18" s="1"/>
  <c r="S115" i="20" s="1"/>
  <c r="G112" i="18" a="1"/>
  <c r="G112" i="18" s="1"/>
  <c r="U112" i="20" s="1"/>
  <c r="F111" i="18" a="1"/>
  <c r="F111" i="18" s="1"/>
  <c r="S111" i="20" s="1"/>
  <c r="G109" i="18" a="1"/>
  <c r="G109" i="18" s="1"/>
  <c r="U109" i="20" s="1"/>
  <c r="G107" i="18" a="1"/>
  <c r="G107" i="18" s="1"/>
  <c r="U107" i="20" s="1"/>
  <c r="G106" i="18" a="1"/>
  <c r="G106" i="18" s="1"/>
  <c r="U106" i="20" s="1"/>
  <c r="F104" i="18" a="1"/>
  <c r="F104" i="18" s="1"/>
  <c r="S104" i="20" s="1"/>
  <c r="F102" i="18" a="1"/>
  <c r="F102" i="18" s="1"/>
  <c r="S102" i="20" s="1"/>
  <c r="F101" i="18" a="1"/>
  <c r="F101" i="18" s="1"/>
  <c r="S101" i="20" s="1"/>
  <c r="E100" i="18" a="1"/>
  <c r="E100" i="18" s="1"/>
  <c r="Q100" i="20" s="1"/>
  <c r="E99" i="18" a="1"/>
  <c r="E99" i="18" s="1"/>
  <c r="Q99" i="20" s="1"/>
  <c r="E98" i="18" a="1"/>
  <c r="E98" i="18" s="1"/>
  <c r="Q98" i="20" s="1"/>
  <c r="D95" i="18" a="1"/>
  <c r="D95" i="18" s="1"/>
  <c r="O95" i="20" s="1"/>
  <c r="D94" i="18" a="1"/>
  <c r="D94" i="18" s="1"/>
  <c r="O94" i="20" s="1"/>
  <c r="C93" i="18" a="1"/>
  <c r="C93" i="18" s="1"/>
  <c r="G89" i="18" a="1"/>
  <c r="G89" i="18" s="1"/>
  <c r="U89" i="20" s="1"/>
  <c r="F88" i="18" a="1"/>
  <c r="F88" i="18" s="1"/>
  <c r="S88" i="20" s="1"/>
  <c r="F87" i="18" a="1"/>
  <c r="F87" i="18" s="1"/>
  <c r="S87" i="20" s="1"/>
  <c r="D86" i="18" a="1"/>
  <c r="D86" i="18" s="1"/>
  <c r="O86" i="20" s="1"/>
  <c r="D85" i="18" a="1"/>
  <c r="D85" i="18" s="1"/>
  <c r="O85" i="20" s="1"/>
  <c r="G80" i="18" a="1"/>
  <c r="G80" i="18" s="1"/>
  <c r="F79" i="18" a="1"/>
  <c r="F79" i="18" s="1"/>
  <c r="R79" i="20" s="1"/>
  <c r="F78" i="18" a="1"/>
  <c r="F78" i="18" s="1"/>
  <c r="R78" i="20" s="1"/>
  <c r="F76" i="18" a="1"/>
  <c r="F76" i="18" s="1"/>
  <c r="R76" i="20" s="1"/>
  <c r="F75" i="18" a="1"/>
  <c r="F75" i="18" s="1"/>
  <c r="R75" i="20" s="1"/>
  <c r="F74" i="18" a="1"/>
  <c r="F74" i="18" s="1"/>
  <c r="R74" i="20" s="1"/>
  <c r="G73" i="18" a="1"/>
  <c r="G73" i="18" s="1"/>
  <c r="T73" i="20" s="1"/>
  <c r="G71" i="18" a="1"/>
  <c r="G71" i="18" s="1"/>
  <c r="T71" i="20" s="1"/>
  <c r="G70" i="18" a="1"/>
  <c r="G70" i="18" s="1"/>
  <c r="G69" i="18" a="1"/>
  <c r="G69" i="18" s="1"/>
  <c r="T69" i="20" s="1"/>
  <c r="C63" i="18" a="1"/>
  <c r="C63" i="18" s="1"/>
  <c r="L63" i="20" s="1"/>
  <c r="C61" i="18" a="1"/>
  <c r="C61" i="18" s="1"/>
  <c r="L61" i="20" s="1"/>
  <c r="C60" i="18" a="1"/>
  <c r="C60" i="18" s="1"/>
  <c r="C59" i="18" a="1"/>
  <c r="C59" i="18" s="1"/>
  <c r="L59" i="20" s="1"/>
  <c r="D57" i="18" a="1"/>
  <c r="D57" i="18" s="1"/>
  <c r="N57" i="20" s="1"/>
  <c r="D55" i="18" a="1"/>
  <c r="D55" i="18" s="1"/>
  <c r="N55" i="20" s="1"/>
  <c r="D54" i="18" a="1"/>
  <c r="D54" i="18" s="1"/>
  <c r="N54" i="20" s="1"/>
  <c r="D52" i="18" a="1"/>
  <c r="D52" i="18" s="1"/>
  <c r="N52" i="20" s="1"/>
  <c r="C51" i="18" a="1"/>
  <c r="C51" i="18" s="1"/>
  <c r="L51" i="20" s="1"/>
  <c r="C50" i="18" a="1"/>
  <c r="C50" i="18" s="1"/>
  <c r="C49" i="18" a="1"/>
  <c r="C49" i="18" s="1"/>
  <c r="L49" i="20" s="1"/>
  <c r="C47" i="18" a="1"/>
  <c r="C47" i="18" s="1"/>
  <c r="L47" i="20" s="1"/>
  <c r="C124" i="18" a="1"/>
  <c r="C124" i="18" s="1"/>
  <c r="G120" i="18" a="1"/>
  <c r="G120" i="18" s="1"/>
  <c r="G119" i="18" a="1"/>
  <c r="G119" i="18" s="1"/>
  <c r="U119" i="20" s="1"/>
  <c r="F118" i="18" a="1"/>
  <c r="F118" i="18" s="1"/>
  <c r="S118" i="20" s="1"/>
  <c r="E117" i="18" a="1"/>
  <c r="E117" i="18" s="1"/>
  <c r="Q117" i="20" s="1"/>
  <c r="E114" i="18" a="1"/>
  <c r="E114" i="18" s="1"/>
  <c r="Q114" i="20" s="1"/>
  <c r="E113" i="18" a="1"/>
  <c r="E113" i="18" s="1"/>
  <c r="Q113" i="20" s="1"/>
  <c r="F112" i="18" a="1"/>
  <c r="F112" i="18" s="1"/>
  <c r="S112" i="20" s="1"/>
  <c r="G110" i="18" a="1"/>
  <c r="G110" i="18" s="1"/>
  <c r="F109" i="18" a="1"/>
  <c r="F109" i="18" s="1"/>
  <c r="S109" i="20" s="1"/>
  <c r="G108" i="18" a="1"/>
  <c r="G108" i="18" s="1"/>
  <c r="U108" i="20" s="1"/>
  <c r="F107" i="18" a="1"/>
  <c r="F107" i="18" s="1"/>
  <c r="S107" i="20" s="1"/>
  <c r="F106" i="18" a="1"/>
  <c r="F106" i="18" s="1"/>
  <c r="S106" i="20" s="1"/>
  <c r="F105" i="18" a="1"/>
  <c r="F105" i="18" s="1"/>
  <c r="S105" i="20" s="1"/>
  <c r="E104" i="18" a="1"/>
  <c r="E104" i="18" s="1"/>
  <c r="Q104" i="20" s="1"/>
  <c r="F103" i="18" a="1"/>
  <c r="F103" i="18" s="1"/>
  <c r="S103" i="20" s="1"/>
  <c r="E102" i="18" a="1"/>
  <c r="E102" i="18" s="1"/>
  <c r="Q102" i="20" s="1"/>
  <c r="E101" i="18" a="1"/>
  <c r="E101" i="18" s="1"/>
  <c r="Q101" i="20" s="1"/>
  <c r="D99" i="18" a="1"/>
  <c r="D99" i="18" s="1"/>
  <c r="O99" i="20" s="1"/>
  <c r="D97" i="18" a="1"/>
  <c r="D97" i="18" s="1"/>
  <c r="O97" i="20" s="1"/>
  <c r="D96" i="18" a="1"/>
  <c r="D96" i="18" s="1"/>
  <c r="O96" i="20" s="1"/>
  <c r="C95" i="18" a="1"/>
  <c r="C95" i="18" s="1"/>
  <c r="C94" i="18" a="1"/>
  <c r="C94" i="18" s="1"/>
  <c r="G91" i="18" a="1"/>
  <c r="G91" i="18" s="1"/>
  <c r="U91" i="20" s="1"/>
  <c r="G90" i="18" a="1"/>
  <c r="G90" i="18" s="1"/>
  <c r="F89" i="18" a="1"/>
  <c r="F89" i="18" s="1"/>
  <c r="S89" i="20" s="1"/>
  <c r="E88" i="18" a="1"/>
  <c r="E88" i="18" s="1"/>
  <c r="Q88" i="20" s="1"/>
  <c r="E87" i="18" a="1"/>
  <c r="E87" i="18" s="1"/>
  <c r="Q87" i="20" s="1"/>
  <c r="C85" i="18" a="1"/>
  <c r="C85" i="18" s="1"/>
  <c r="C84" i="18" a="1"/>
  <c r="C84" i="18" s="1"/>
  <c r="G82" i="18" a="1"/>
  <c r="G82" i="18" s="1"/>
  <c r="U82" i="20" s="1"/>
  <c r="G81" i="18" a="1"/>
  <c r="G81" i="18" s="1"/>
  <c r="U81" i="20" s="1"/>
  <c r="F80" i="18" a="1"/>
  <c r="F80" i="18" s="1"/>
  <c r="E79" i="18" a="1"/>
  <c r="E79" i="18" s="1"/>
  <c r="P79" i="20" s="1"/>
  <c r="E78" i="18" a="1"/>
  <c r="E78" i="18" s="1"/>
  <c r="P78" i="20" s="1"/>
  <c r="E77" i="18" a="1"/>
  <c r="E77" i="18" s="1"/>
  <c r="P77" i="20" s="1"/>
  <c r="E76" i="18" a="1"/>
  <c r="E76" i="18" s="1"/>
  <c r="P76" i="20" s="1"/>
  <c r="E75" i="18" a="1"/>
  <c r="E75" i="18" s="1"/>
  <c r="P75" i="20" s="1"/>
  <c r="F73" i="18" a="1"/>
  <c r="F73" i="18" s="1"/>
  <c r="R73" i="20" s="1"/>
  <c r="F72" i="18" a="1"/>
  <c r="F72" i="18" s="1"/>
  <c r="R72" i="20" s="1"/>
  <c r="F71" i="18" a="1"/>
  <c r="F71" i="18" s="1"/>
  <c r="R71" i="20" s="1"/>
  <c r="F69" i="18" a="1"/>
  <c r="F69" i="18" s="1"/>
  <c r="R69" i="20" s="1"/>
  <c r="G68" i="18" a="1"/>
  <c r="G68" i="18" s="1"/>
  <c r="T68" i="20" s="1"/>
  <c r="G67" i="18" a="1"/>
  <c r="G67" i="18" s="1"/>
  <c r="T67" i="20" s="1"/>
  <c r="G66" i="18" a="1"/>
  <c r="G66" i="18" s="1"/>
  <c r="T66" i="20" s="1"/>
  <c r="G64" i="18" a="1"/>
  <c r="G64" i="18" s="1"/>
  <c r="T64" i="20" s="1"/>
  <c r="C58" i="18" a="1"/>
  <c r="C58" i="18" s="1"/>
  <c r="L58" i="20" s="1"/>
  <c r="C57" i="18" a="1"/>
  <c r="C57" i="18" s="1"/>
  <c r="L57" i="20" s="1"/>
  <c r="C56" i="18" a="1"/>
  <c r="C56" i="18" s="1"/>
  <c r="L56" i="20" s="1"/>
  <c r="C54" i="18" a="1"/>
  <c r="C54" i="18" s="1"/>
  <c r="L54" i="20" s="1"/>
  <c r="G121" i="18" a="1"/>
  <c r="G121" i="18" s="1"/>
  <c r="U121" i="20" s="1"/>
  <c r="F120" i="18" a="1"/>
  <c r="F120" i="18" s="1"/>
  <c r="F119" i="18" a="1"/>
  <c r="F119" i="18" s="1"/>
  <c r="S119" i="20" s="1"/>
  <c r="E118" i="18" a="1"/>
  <c r="E118" i="18" s="1"/>
  <c r="Q118" i="20" s="1"/>
  <c r="D117" i="18" a="1"/>
  <c r="D117" i="18" s="1"/>
  <c r="O117" i="20" s="1"/>
  <c r="E116" i="18" a="1"/>
  <c r="E116" i="18" s="1"/>
  <c r="Q116" i="20" s="1"/>
  <c r="E115" i="18" a="1"/>
  <c r="E115" i="18" s="1"/>
  <c r="Q115" i="20" s="1"/>
  <c r="D113" i="18" a="1"/>
  <c r="D113" i="18" s="1"/>
  <c r="O113" i="20" s="1"/>
  <c r="E112" i="18" a="1"/>
  <c r="E112" i="18" s="1"/>
  <c r="Q112" i="20" s="1"/>
  <c r="E111" i="18" a="1"/>
  <c r="E111" i="18" s="1"/>
  <c r="Q111" i="20" s="1"/>
  <c r="F110" i="18" a="1"/>
  <c r="F110" i="18" s="1"/>
  <c r="F108" i="18" a="1"/>
  <c r="F108" i="18" s="1"/>
  <c r="S108" i="20" s="1"/>
  <c r="E106" i="18" a="1"/>
  <c r="E106" i="18" s="1"/>
  <c r="Q106" i="20" s="1"/>
  <c r="D104" i="18" a="1"/>
  <c r="D104" i="18" s="1"/>
  <c r="O104" i="20" s="1"/>
  <c r="E103" i="18" a="1"/>
  <c r="E103" i="18" s="1"/>
  <c r="Q103" i="20" s="1"/>
  <c r="D102" i="18" a="1"/>
  <c r="D102" i="18" s="1"/>
  <c r="O102" i="20" s="1"/>
  <c r="D101" i="18" a="1"/>
  <c r="D101" i="18" s="1"/>
  <c r="O101" i="20" s="1"/>
  <c r="D100" i="18" a="1"/>
  <c r="D100" i="18" s="1"/>
  <c r="O100" i="20" s="1"/>
  <c r="C99" i="18" a="1"/>
  <c r="C99" i="18" s="1"/>
  <c r="D98" i="18" a="1"/>
  <c r="D98" i="18" s="1"/>
  <c r="O98" i="20" s="1"/>
  <c r="C97" i="18" a="1"/>
  <c r="C97" i="18" s="1"/>
  <c r="C96" i="18" a="1"/>
  <c r="C96" i="18" s="1"/>
  <c r="F91" i="18" a="1"/>
  <c r="F91" i="18" s="1"/>
  <c r="S91" i="20" s="1"/>
  <c r="F90" i="18" a="1"/>
  <c r="F90" i="18" s="1"/>
  <c r="D88" i="18" a="1"/>
  <c r="D88" i="18" s="1"/>
  <c r="O88" i="20" s="1"/>
  <c r="D87" i="18" a="1"/>
  <c r="D87" i="18" s="1"/>
  <c r="O87" i="20" s="1"/>
  <c r="C86" i="18" a="1"/>
  <c r="C86" i="18" s="1"/>
  <c r="F81" i="18" a="1"/>
  <c r="F81" i="18" s="1"/>
  <c r="S81" i="20" s="1"/>
  <c r="E80" i="18" a="1"/>
  <c r="E80" i="18" s="1"/>
  <c r="P80" i="20" s="1"/>
  <c r="D78" i="18" a="1"/>
  <c r="D78" i="18" s="1"/>
  <c r="N78" i="20" s="1"/>
  <c r="D76" i="18" a="1"/>
  <c r="D76" i="18" s="1"/>
  <c r="N76" i="20" s="1"/>
  <c r="E74" i="18" a="1"/>
  <c r="E74" i="18" s="1"/>
  <c r="P74" i="20" s="1"/>
  <c r="E73" i="18" a="1"/>
  <c r="E73" i="18" s="1"/>
  <c r="P73" i="20" s="1"/>
  <c r="E72" i="18" a="1"/>
  <c r="E72" i="18" s="1"/>
  <c r="P72" i="20" s="1"/>
  <c r="F70" i="18" a="1"/>
  <c r="F70" i="18" s="1"/>
  <c r="F68" i="18" a="1"/>
  <c r="F68" i="18" s="1"/>
  <c r="R68" i="20" s="1"/>
  <c r="F67" i="18" a="1"/>
  <c r="F67" i="18" s="1"/>
  <c r="R67" i="20" s="1"/>
  <c r="F66" i="18" a="1"/>
  <c r="F66" i="18" s="1"/>
  <c r="R66" i="20" s="1"/>
  <c r="G65" i="18" a="1"/>
  <c r="G65" i="18" s="1"/>
  <c r="T65" i="20" s="1"/>
  <c r="G63" i="18" a="1"/>
  <c r="G63" i="18" s="1"/>
  <c r="T63" i="20" s="1"/>
  <c r="G62" i="18" a="1"/>
  <c r="G62" i="18" s="1"/>
  <c r="T62" i="20" s="1"/>
  <c r="G61" i="18" a="1"/>
  <c r="G61" i="18" s="1"/>
  <c r="T61" i="20" s="1"/>
  <c r="C55" i="18" a="1"/>
  <c r="C55" i="18" s="1"/>
  <c r="L55" i="20" s="1"/>
  <c r="G48" i="18" a="1"/>
  <c r="G48" i="18" s="1"/>
  <c r="T48" i="20" s="1"/>
  <c r="G47" i="18" a="1"/>
  <c r="G47" i="18" s="1"/>
  <c r="T47" i="20" s="1"/>
  <c r="G46" i="18" a="1"/>
  <c r="G46" i="18" s="1"/>
  <c r="T46" i="20" s="1"/>
  <c r="G45" i="18" a="1"/>
  <c r="G45" i="18" s="1"/>
  <c r="T45" i="20" s="1"/>
  <c r="G44" i="18" a="1"/>
  <c r="G44" i="18" s="1"/>
  <c r="T44" i="20" s="1"/>
  <c r="G123" i="18" a="1"/>
  <c r="G123" i="18" s="1"/>
  <c r="U123" i="20" s="1"/>
  <c r="G122" i="18" a="1"/>
  <c r="G122" i="18" s="1"/>
  <c r="U122" i="20" s="1"/>
  <c r="F121" i="18" a="1"/>
  <c r="F121" i="18" s="1"/>
  <c r="S121" i="20" s="1"/>
  <c r="E120" i="18" a="1"/>
  <c r="E120" i="18" s="1"/>
  <c r="Q120" i="20" s="1"/>
  <c r="D118" i="18" a="1"/>
  <c r="D118" i="18" s="1"/>
  <c r="O118" i="20" s="1"/>
  <c r="C117" i="18" a="1"/>
  <c r="C117" i="18" s="1"/>
  <c r="D116" i="18" a="1"/>
  <c r="D116" i="18" s="1"/>
  <c r="O116" i="20" s="1"/>
  <c r="D115" i="18" a="1"/>
  <c r="D115" i="18" s="1"/>
  <c r="O115" i="20" s="1"/>
  <c r="D114" i="18" a="1"/>
  <c r="D114" i="18" s="1"/>
  <c r="O114" i="20" s="1"/>
  <c r="D112" i="18" a="1"/>
  <c r="D112" i="18" s="1"/>
  <c r="O112" i="20" s="1"/>
  <c r="E110" i="18" a="1"/>
  <c r="E110" i="18" s="1"/>
  <c r="Q110" i="20" s="1"/>
  <c r="E109" i="18" a="1"/>
  <c r="E109" i="18" s="1"/>
  <c r="Q109" i="20" s="1"/>
  <c r="E108" i="18" a="1"/>
  <c r="E108" i="18" s="1"/>
  <c r="Q108" i="20" s="1"/>
  <c r="E107" i="18" a="1"/>
  <c r="E107" i="18" s="1"/>
  <c r="Q107" i="20" s="1"/>
  <c r="D106" i="18" a="1"/>
  <c r="D106" i="18" s="1"/>
  <c r="O106" i="20" s="1"/>
  <c r="E105" i="18" a="1"/>
  <c r="E105" i="18" s="1"/>
  <c r="Q105" i="20" s="1"/>
  <c r="D103" i="18" a="1"/>
  <c r="D103" i="18" s="1"/>
  <c r="O103" i="20" s="1"/>
  <c r="C101" i="18" a="1"/>
  <c r="C101" i="18" s="1"/>
  <c r="C98" i="18" a="1"/>
  <c r="C98" i="18" s="1"/>
  <c r="G93" i="18" a="1"/>
  <c r="G93" i="18" s="1"/>
  <c r="U93" i="20" s="1"/>
  <c r="G92" i="18" a="1"/>
  <c r="G92" i="18" s="1"/>
  <c r="U92" i="20" s="1"/>
  <c r="E90" i="18" a="1"/>
  <c r="E90" i="18" s="1"/>
  <c r="Q90" i="20" s="1"/>
  <c r="E89" i="18" a="1"/>
  <c r="E89" i="18" s="1"/>
  <c r="Q89" i="20" s="1"/>
  <c r="C88" i="18" a="1"/>
  <c r="C88" i="18" s="1"/>
  <c r="C87" i="18" a="1"/>
  <c r="C87" i="18" s="1"/>
  <c r="G84" i="18" a="1"/>
  <c r="G84" i="18" s="1"/>
  <c r="U84" i="20" s="1"/>
  <c r="G83" i="18" a="1"/>
  <c r="G83" i="18" s="1"/>
  <c r="U83" i="20" s="1"/>
  <c r="F82" i="18" a="1"/>
  <c r="F82" i="18" s="1"/>
  <c r="S82" i="20" s="1"/>
  <c r="E81" i="18" a="1"/>
  <c r="E81" i="18" s="1"/>
  <c r="Q81" i="20" s="1"/>
  <c r="D79" i="18" a="1"/>
  <c r="D79" i="18" s="1"/>
  <c r="N79" i="20" s="1"/>
  <c r="C78" i="18" a="1"/>
  <c r="C78" i="18" s="1"/>
  <c r="L78" i="20" s="1"/>
  <c r="D77" i="18" a="1"/>
  <c r="D77" i="18" s="1"/>
  <c r="N77" i="20" s="1"/>
  <c r="C76" i="18" a="1"/>
  <c r="C76" i="18" s="1"/>
  <c r="L76" i="20" s="1"/>
  <c r="D75" i="18" a="1"/>
  <c r="D75" i="18" s="1"/>
  <c r="N75" i="20" s="1"/>
  <c r="D74" i="18" a="1"/>
  <c r="D74" i="18" s="1"/>
  <c r="N74" i="20" s="1"/>
  <c r="D72" i="18" a="1"/>
  <c r="D72" i="18" s="1"/>
  <c r="N72" i="20" s="1"/>
  <c r="E71" i="18" a="1"/>
  <c r="E71" i="18" s="1"/>
  <c r="P71" i="20" s="1"/>
  <c r="E70" i="18" a="1"/>
  <c r="E70" i="18" s="1"/>
  <c r="P70" i="20" s="1"/>
  <c r="E69" i="18" a="1"/>
  <c r="E69" i="18" s="1"/>
  <c r="P69" i="20" s="1"/>
  <c r="E67" i="18" a="1"/>
  <c r="E67" i="18" s="1"/>
  <c r="P67" i="20" s="1"/>
  <c r="F65" i="18" a="1"/>
  <c r="F65" i="18" s="1"/>
  <c r="R65" i="20" s="1"/>
  <c r="F64" i="18" a="1"/>
  <c r="F64" i="18" s="1"/>
  <c r="R64" i="20" s="1"/>
  <c r="F63" i="18" a="1"/>
  <c r="F63" i="18" s="1"/>
  <c r="R63" i="20" s="1"/>
  <c r="F61" i="18" a="1"/>
  <c r="F61" i="18" s="1"/>
  <c r="R61" i="20" s="1"/>
  <c r="G60" i="18" a="1"/>
  <c r="G60" i="18" s="1"/>
  <c r="G59" i="18" a="1"/>
  <c r="G59" i="18" s="1"/>
  <c r="T59" i="20" s="1"/>
  <c r="G58" i="18" a="1"/>
  <c r="G58" i="18" s="1"/>
  <c r="T58" i="20" s="1"/>
  <c r="G56" i="18" a="1"/>
  <c r="G56" i="18" s="1"/>
  <c r="T56" i="20" s="1"/>
  <c r="G51" i="18" a="1"/>
  <c r="G51" i="18" s="1"/>
  <c r="T51" i="20" s="1"/>
  <c r="G50" i="18" a="1"/>
  <c r="G50" i="18" s="1"/>
  <c r="G49" i="18" a="1"/>
  <c r="G49" i="18" s="1"/>
  <c r="T49" i="20" s="1"/>
  <c r="F47" i="18" a="1"/>
  <c r="F47" i="18" s="1"/>
  <c r="R47" i="20" s="1"/>
  <c r="F46" i="18" a="1"/>
  <c r="F46" i="18" s="1"/>
  <c r="R46" i="20" s="1"/>
  <c r="F123" i="18" a="1"/>
  <c r="F123" i="18" s="1"/>
  <c r="S123" i="20" s="1"/>
  <c r="F122" i="18" a="1"/>
  <c r="F122" i="18" s="1"/>
  <c r="S122" i="20" s="1"/>
  <c r="E121" i="18" a="1"/>
  <c r="E121" i="18" s="1"/>
  <c r="Q121" i="20" s="1"/>
  <c r="D120" i="18" a="1"/>
  <c r="D120" i="18" s="1"/>
  <c r="O120" i="20" s="1"/>
  <c r="E119" i="18" a="1"/>
  <c r="E119" i="18" s="1"/>
  <c r="Q119" i="20" s="1"/>
  <c r="C116" i="18" a="1"/>
  <c r="C116" i="18" s="1"/>
  <c r="C115" i="18" a="1"/>
  <c r="C115" i="18" s="1"/>
  <c r="C114" i="18" a="1"/>
  <c r="C114" i="18" s="1"/>
  <c r="C113" i="18" a="1"/>
  <c r="C113" i="18" s="1"/>
  <c r="C112" i="18" a="1"/>
  <c r="C112" i="18" s="1"/>
  <c r="D111" i="18" a="1"/>
  <c r="D111" i="18" s="1"/>
  <c r="O111" i="20" s="1"/>
  <c r="D110" i="18" a="1"/>
  <c r="D110" i="18" s="1"/>
  <c r="O110" i="20" s="1"/>
  <c r="D108" i="18" a="1"/>
  <c r="D108" i="18" s="1"/>
  <c r="O108" i="20" s="1"/>
  <c r="D107" i="18" a="1"/>
  <c r="D107" i="18" s="1"/>
  <c r="O107" i="20" s="1"/>
  <c r="C106" i="18" a="1"/>
  <c r="C106" i="18" s="1"/>
  <c r="D105" i="18" a="1"/>
  <c r="D105" i="18" s="1"/>
  <c r="O105" i="20" s="1"/>
  <c r="C104" i="18" a="1"/>
  <c r="C104" i="18" s="1"/>
  <c r="C103" i="18" a="1"/>
  <c r="C103" i="18" s="1"/>
  <c r="C102" i="18" a="1"/>
  <c r="C102" i="18" s="1"/>
  <c r="C100" i="18" a="1"/>
  <c r="C100" i="18" s="1"/>
  <c r="G95" i="18" a="1"/>
  <c r="G95" i="18" s="1"/>
  <c r="U95" i="20" s="1"/>
  <c r="F93" i="18" a="1"/>
  <c r="F93" i="18" s="1"/>
  <c r="S93" i="20" s="1"/>
  <c r="F92" i="18" a="1"/>
  <c r="F92" i="18" s="1"/>
  <c r="S92" i="20" s="1"/>
  <c r="E91" i="18" a="1"/>
  <c r="E91" i="18" s="1"/>
  <c r="Q91" i="20" s="1"/>
  <c r="D90" i="18" a="1"/>
  <c r="D90" i="18" s="1"/>
  <c r="O90" i="20" s="1"/>
  <c r="D89" i="18" a="1"/>
  <c r="D89" i="18" s="1"/>
  <c r="O89" i="20" s="1"/>
  <c r="G85" i="18" a="1"/>
  <c r="G85" i="18" s="1"/>
  <c r="U85" i="20" s="1"/>
  <c r="F83" i="18" a="1"/>
  <c r="F83" i="18" s="1"/>
  <c r="S83" i="20" s="1"/>
  <c r="E82" i="18" a="1"/>
  <c r="E82" i="18" s="1"/>
  <c r="Q82" i="20" s="1"/>
  <c r="D81" i="18" a="1"/>
  <c r="D81" i="18" s="1"/>
  <c r="O81" i="20" s="1"/>
  <c r="D80" i="18" a="1"/>
  <c r="D80" i="18" s="1"/>
  <c r="N80" i="20" s="1"/>
  <c r="C79" i="18" a="1"/>
  <c r="C79" i="18" s="1"/>
  <c r="L79" i="20" s="1"/>
  <c r="C77" i="18" a="1"/>
  <c r="C77" i="18" s="1"/>
  <c r="L77" i="20" s="1"/>
  <c r="C75" i="18" a="1"/>
  <c r="C75" i="18" s="1"/>
  <c r="L75" i="20" s="1"/>
  <c r="D73" i="18" a="1"/>
  <c r="D73" i="18" s="1"/>
  <c r="N73" i="20" s="1"/>
  <c r="D71" i="18" a="1"/>
  <c r="D71" i="18" s="1"/>
  <c r="N71" i="20" s="1"/>
  <c r="D70" i="18" a="1"/>
  <c r="D70" i="18" s="1"/>
  <c r="N70" i="20" s="1"/>
  <c r="D69" i="18" a="1"/>
  <c r="D69" i="18" s="1"/>
  <c r="N69" i="20" s="1"/>
  <c r="E68" i="18" a="1"/>
  <c r="E68" i="18" s="1"/>
  <c r="P68" i="20" s="1"/>
  <c r="E66" i="18" a="1"/>
  <c r="E66" i="18" s="1"/>
  <c r="P66" i="20" s="1"/>
  <c r="E65" i="18" a="1"/>
  <c r="E65" i="18" s="1"/>
  <c r="P65" i="20" s="1"/>
  <c r="E64" i="18" a="1"/>
  <c r="E64" i="18" s="1"/>
  <c r="P64" i="20" s="1"/>
  <c r="F62" i="18" a="1"/>
  <c r="F62" i="18" s="1"/>
  <c r="R62" i="20" s="1"/>
  <c r="F60" i="18" a="1"/>
  <c r="F60" i="18" s="1"/>
  <c r="F59" i="18" a="1"/>
  <c r="F59" i="18" s="1"/>
  <c r="R59" i="20" s="1"/>
  <c r="F58" i="18" a="1"/>
  <c r="F58" i="18" s="1"/>
  <c r="R58" i="20" s="1"/>
  <c r="G57" i="18" a="1"/>
  <c r="G57" i="18" s="1"/>
  <c r="T57" i="20" s="1"/>
  <c r="G55" i="18" a="1"/>
  <c r="G55" i="18" s="1"/>
  <c r="T55" i="20" s="1"/>
  <c r="G54" i="18" a="1"/>
  <c r="G54" i="18" s="1"/>
  <c r="T54" i="20" s="1"/>
  <c r="G53" i="18" a="1"/>
  <c r="G53" i="18" s="1"/>
  <c r="T53" i="20" s="1"/>
  <c r="G52" i="18" a="1"/>
  <c r="G52" i="18" s="1"/>
  <c r="T52" i="20" s="1"/>
  <c r="F51" i="18" a="1"/>
  <c r="F51" i="18" s="1"/>
  <c r="R51" i="20" s="1"/>
  <c r="G124" i="18" a="1"/>
  <c r="G124" i="18" s="1"/>
  <c r="U124" i="20" s="1"/>
  <c r="D121" i="18" a="1"/>
  <c r="D121" i="18" s="1"/>
  <c r="O121" i="20" s="1"/>
  <c r="D119" i="18" a="1"/>
  <c r="D119" i="18" s="1"/>
  <c r="O119" i="20" s="1"/>
  <c r="C118" i="18" a="1"/>
  <c r="C118" i="18" s="1"/>
  <c r="C111" i="18" a="1"/>
  <c r="C111" i="18" s="1"/>
  <c r="D109" i="18" a="1"/>
  <c r="D109" i="18" s="1"/>
  <c r="O109" i="20" s="1"/>
  <c r="C108" i="18" a="1"/>
  <c r="C108" i="18" s="1"/>
  <c r="C107" i="18" a="1"/>
  <c r="C107" i="18" s="1"/>
  <c r="C105" i="18" a="1"/>
  <c r="C105" i="18" s="1"/>
  <c r="G100" i="18" a="1"/>
  <c r="G100" i="18" s="1"/>
  <c r="G98" i="18" a="1"/>
  <c r="G98" i="18" s="1"/>
  <c r="U98" i="20" s="1"/>
  <c r="G97" i="18" a="1"/>
  <c r="G97" i="18" s="1"/>
  <c r="U97" i="20" s="1"/>
  <c r="G96" i="18" a="1"/>
  <c r="G96" i="18" s="1"/>
  <c r="U96" i="20" s="1"/>
  <c r="F95" i="18" a="1"/>
  <c r="F95" i="18" s="1"/>
  <c r="S95" i="20" s="1"/>
  <c r="G94" i="18" a="1"/>
  <c r="G94" i="18" s="1"/>
  <c r="U94" i="20" s="1"/>
  <c r="E93" i="18" a="1"/>
  <c r="E93" i="18" s="1"/>
  <c r="Q93" i="20" s="1"/>
  <c r="E92" i="18" a="1"/>
  <c r="E92" i="18" s="1"/>
  <c r="Q92" i="20" s="1"/>
  <c r="D91" i="18" a="1"/>
  <c r="D91" i="18" s="1"/>
  <c r="O91" i="20" s="1"/>
  <c r="C90" i="18" a="1"/>
  <c r="C90" i="18" s="1"/>
  <c r="C89" i="18" a="1"/>
  <c r="C89" i="18" s="1"/>
  <c r="G86" i="18" a="1"/>
  <c r="G86" i="18" s="1"/>
  <c r="U86" i="20" s="1"/>
  <c r="F84" i="18" a="1"/>
  <c r="F84" i="18" s="1"/>
  <c r="S84" i="20" s="1"/>
  <c r="E83" i="18" a="1"/>
  <c r="E83" i="18" s="1"/>
  <c r="Q83" i="20" s="1"/>
  <c r="C81" i="18" a="1"/>
  <c r="C81" i="18" s="1"/>
  <c r="C80" i="18" a="1"/>
  <c r="C80" i="18" s="1"/>
  <c r="G77" i="18" a="1"/>
  <c r="G77" i="18" s="1"/>
  <c r="T77" i="20" s="1"/>
  <c r="C74" i="18" a="1"/>
  <c r="C74" i="18" s="1"/>
  <c r="L74" i="20" s="1"/>
  <c r="C73" i="18" a="1"/>
  <c r="C73" i="18" s="1"/>
  <c r="L73" i="20" s="1"/>
  <c r="C72" i="18" a="1"/>
  <c r="C72" i="18" s="1"/>
  <c r="L72" i="20" s="1"/>
  <c r="C70" i="18" a="1"/>
  <c r="C70" i="18" s="1"/>
  <c r="D68" i="18" a="1"/>
  <c r="D68" i="18" s="1"/>
  <c r="N68" i="20" s="1"/>
  <c r="D67" i="18" a="1"/>
  <c r="D67" i="18" s="1"/>
  <c r="N67" i="20" s="1"/>
  <c r="D66" i="18" a="1"/>
  <c r="D66" i="18" s="1"/>
  <c r="N66" i="20" s="1"/>
  <c r="D64" i="18" a="1"/>
  <c r="D64" i="18" s="1"/>
  <c r="N64" i="20" s="1"/>
  <c r="E63" i="18" a="1"/>
  <c r="E63" i="18" s="1"/>
  <c r="P63" i="20" s="1"/>
  <c r="F124" i="18" a="1"/>
  <c r="F124" i="18" s="1"/>
  <c r="S124" i="20" s="1"/>
  <c r="E123" i="18" a="1"/>
  <c r="E123" i="18" s="1"/>
  <c r="Q123" i="20" s="1"/>
  <c r="E122" i="18" a="1"/>
  <c r="E122" i="18" s="1"/>
  <c r="Q122" i="20" s="1"/>
  <c r="C121" i="18" a="1"/>
  <c r="C121" i="18" s="1"/>
  <c r="C120" i="18" a="1"/>
  <c r="C120" i="18" s="1"/>
  <c r="C119" i="18" a="1"/>
  <c r="C119" i="18" s="1"/>
  <c r="G114" i="18" a="1"/>
  <c r="G114" i="18" s="1"/>
  <c r="U114" i="20" s="1"/>
  <c r="G113" i="18" a="1"/>
  <c r="G113" i="18" s="1"/>
  <c r="U113" i="20" s="1"/>
  <c r="G111" i="18" a="1"/>
  <c r="G111" i="18" s="1"/>
  <c r="U111" i="20" s="1"/>
  <c r="C110" i="18" a="1"/>
  <c r="C110" i="18" s="1"/>
  <c r="C109" i="18" a="1"/>
  <c r="C109" i="18" s="1"/>
  <c r="G102" i="18" a="1"/>
  <c r="G102" i="18" s="1"/>
  <c r="U102" i="20" s="1"/>
  <c r="G101" i="18" a="1"/>
  <c r="G101" i="18" s="1"/>
  <c r="U101" i="20" s="1"/>
  <c r="G99" i="18" a="1"/>
  <c r="G99" i="18" s="1"/>
  <c r="U99" i="20" s="1"/>
  <c r="F97" i="18" a="1"/>
  <c r="F97" i="18" s="1"/>
  <c r="S97" i="20" s="1"/>
  <c r="F96" i="18" a="1"/>
  <c r="F96" i="18" s="1"/>
  <c r="S96" i="20" s="1"/>
  <c r="E95" i="18" a="1"/>
  <c r="E95" i="18" s="1"/>
  <c r="Q95" i="20" s="1"/>
  <c r="F94" i="18" a="1"/>
  <c r="F94" i="18" s="1"/>
  <c r="S94" i="20" s="1"/>
  <c r="D92" i="18" a="1"/>
  <c r="D92" i="18" s="1"/>
  <c r="O92" i="20" s="1"/>
  <c r="C91" i="18" a="1"/>
  <c r="C91" i="18" s="1"/>
  <c r="G87" i="18" a="1"/>
  <c r="G87" i="18" s="1"/>
  <c r="U87" i="20" s="1"/>
  <c r="F86" i="18" a="1"/>
  <c r="F86" i="18" s="1"/>
  <c r="S86" i="20" s="1"/>
  <c r="F85" i="18" a="1"/>
  <c r="F85" i="18" s="1"/>
  <c r="S85" i="20" s="1"/>
  <c r="E84" i="18" a="1"/>
  <c r="E84" i="18" s="1"/>
  <c r="Q84" i="20" s="1"/>
  <c r="D83" i="18" a="1"/>
  <c r="D83" i="18" s="1"/>
  <c r="O83" i="20" s="1"/>
  <c r="D82" i="18" a="1"/>
  <c r="D82" i="18" s="1"/>
  <c r="O82" i="20" s="1"/>
  <c r="C71" i="18" a="1"/>
  <c r="C71" i="18" s="1"/>
  <c r="L71" i="20" s="1"/>
  <c r="C69" i="18" a="1"/>
  <c r="C69" i="18" s="1"/>
  <c r="L69" i="20" s="1"/>
  <c r="C68" i="18" a="1"/>
  <c r="C68" i="18" s="1"/>
  <c r="L68" i="20" s="1"/>
  <c r="C67" i="18" a="1"/>
  <c r="C67" i="18" s="1"/>
  <c r="L67" i="20" s="1"/>
  <c r="D65" i="18" a="1"/>
  <c r="D65" i="18" s="1"/>
  <c r="N65" i="20" s="1"/>
  <c r="D63" i="18" a="1"/>
  <c r="D63" i="18" s="1"/>
  <c r="N63" i="20" s="1"/>
  <c r="D62" i="18" a="1"/>
  <c r="D62" i="18" s="1"/>
  <c r="N62" i="20" s="1"/>
  <c r="D61" i="18" a="1"/>
  <c r="D61" i="18" s="1"/>
  <c r="N61" i="20" s="1"/>
  <c r="E60" i="18" a="1"/>
  <c r="E60" i="18" s="1"/>
  <c r="P60" i="20" s="1"/>
  <c r="E58" i="18" a="1"/>
  <c r="E58" i="18" s="1"/>
  <c r="P58" i="20" s="1"/>
  <c r="E57" i="18" a="1"/>
  <c r="E57" i="18" s="1"/>
  <c r="P57" i="20" s="1"/>
  <c r="E56" i="18" a="1"/>
  <c r="E56" i="18" s="1"/>
  <c r="P56" i="20" s="1"/>
  <c r="F54" i="18" a="1"/>
  <c r="F54" i="18" s="1"/>
  <c r="R54" i="20" s="1"/>
  <c r="E53" i="18" a="1"/>
  <c r="E53" i="18" s="1"/>
  <c r="P53" i="20" s="1"/>
  <c r="D50" i="18" a="1"/>
  <c r="D50" i="18" s="1"/>
  <c r="N50" i="20" s="1"/>
  <c r="D48" i="18" a="1"/>
  <c r="D48" i="18" s="1"/>
  <c r="N48" i="20" s="1"/>
  <c r="D47" i="18" a="1"/>
  <c r="D47" i="18" s="1"/>
  <c r="N47" i="20" s="1"/>
  <c r="D45" i="18" a="1"/>
  <c r="D45" i="18" s="1"/>
  <c r="N45" i="20" s="1"/>
  <c r="D44" i="18" a="1"/>
  <c r="D44" i="18" s="1"/>
  <c r="N44" i="20" s="1"/>
  <c r="D43" i="18" a="1"/>
  <c r="D43" i="18" s="1"/>
  <c r="N43" i="20" s="1"/>
  <c r="E124" i="18" a="1"/>
  <c r="E124" i="18" s="1"/>
  <c r="Q124" i="20" s="1"/>
  <c r="D123" i="18" a="1"/>
  <c r="D123" i="18" s="1"/>
  <c r="O123" i="20" s="1"/>
  <c r="E94" i="18" a="1"/>
  <c r="E94" i="18" s="1"/>
  <c r="Q94" i="20" s="1"/>
  <c r="E85" i="18" a="1"/>
  <c r="E85" i="18" s="1"/>
  <c r="Q85" i="20" s="1"/>
  <c r="G76" i="18" a="1"/>
  <c r="G76" i="18" s="1"/>
  <c r="T76" i="20" s="1"/>
  <c r="C62" i="18" a="1"/>
  <c r="C62" i="18" s="1"/>
  <c r="L62" i="20" s="1"/>
  <c r="D58" i="18" a="1"/>
  <c r="D58" i="18" s="1"/>
  <c r="N58" i="20" s="1"/>
  <c r="E54" i="18" a="1"/>
  <c r="E54" i="18" s="1"/>
  <c r="P54" i="20" s="1"/>
  <c r="D51" i="18" a="1"/>
  <c r="D51" i="18" s="1"/>
  <c r="N51" i="20" s="1"/>
  <c r="D49" i="18" a="1"/>
  <c r="D49" i="18" s="1"/>
  <c r="N49" i="20" s="1"/>
  <c r="E45" i="18" a="1"/>
  <c r="E45" i="18" s="1"/>
  <c r="P45" i="20" s="1"/>
  <c r="F42" i="18" a="1"/>
  <c r="F42" i="18" s="1"/>
  <c r="R42" i="20" s="1"/>
  <c r="G41" i="18" a="1"/>
  <c r="G41" i="18" s="1"/>
  <c r="T41" i="20" s="1"/>
  <c r="F39" i="18" a="1"/>
  <c r="F39" i="18" s="1"/>
  <c r="R39" i="20" s="1"/>
  <c r="G38" i="18" a="1"/>
  <c r="G38" i="18" s="1"/>
  <c r="T38" i="20" s="1"/>
  <c r="G37" i="18" a="1"/>
  <c r="G37" i="18" s="1"/>
  <c r="T37" i="20" s="1"/>
  <c r="G36" i="18" a="1"/>
  <c r="G36" i="18" s="1"/>
  <c r="T36" i="20" s="1"/>
  <c r="F35" i="18" a="1"/>
  <c r="F35" i="18" s="1"/>
  <c r="R35" i="20" s="1"/>
  <c r="G34" i="18" a="1"/>
  <c r="G34" i="18" s="1"/>
  <c r="T34" i="20" s="1"/>
  <c r="G32" i="18" a="1"/>
  <c r="G32" i="18" s="1"/>
  <c r="T32" i="20" s="1"/>
  <c r="G27" i="18" a="1"/>
  <c r="G27" i="18" s="1"/>
  <c r="T27" i="20" s="1"/>
  <c r="G25" i="18" a="1"/>
  <c r="G25" i="18" s="1"/>
  <c r="T25" i="20" s="1"/>
  <c r="G24" i="18" a="1"/>
  <c r="G24" i="18" s="1"/>
  <c r="T24" i="20" s="1"/>
  <c r="G23" i="18" a="1"/>
  <c r="G23" i="18" s="1"/>
  <c r="T23" i="20" s="1"/>
  <c r="F22" i="18" a="1"/>
  <c r="F22" i="18" s="1"/>
  <c r="R22" i="20" s="1"/>
  <c r="G21" i="18" a="1"/>
  <c r="G21" i="18" s="1"/>
  <c r="T21" i="20" s="1"/>
  <c r="F20" i="18" a="1"/>
  <c r="F20" i="18" s="1"/>
  <c r="F19" i="18" a="1"/>
  <c r="F19" i="18" s="1"/>
  <c r="R19" i="20" s="1"/>
  <c r="E17" i="18" a="1"/>
  <c r="E17" i="18" s="1"/>
  <c r="P17" i="20" s="1"/>
  <c r="E15" i="18" a="1"/>
  <c r="E15" i="18" s="1"/>
  <c r="P15" i="20" s="1"/>
  <c r="E14" i="18" a="1"/>
  <c r="E14" i="18" s="1"/>
  <c r="P14" i="20" s="1"/>
  <c r="D13" i="18" a="1"/>
  <c r="D13" i="18" s="1"/>
  <c r="N13" i="20" s="1"/>
  <c r="D12" i="18" a="1"/>
  <c r="D12" i="18" s="1"/>
  <c r="N12" i="20" s="1"/>
  <c r="D11" i="18" a="1"/>
  <c r="D11" i="18" s="1"/>
  <c r="N11" i="20" s="1"/>
  <c r="C8" i="18" a="1"/>
  <c r="C8" i="18" s="1"/>
  <c r="L8" i="20" s="1"/>
  <c r="C7" i="18" a="1"/>
  <c r="C7" i="18" s="1"/>
  <c r="L7" i="20" s="1"/>
  <c r="C6" i="18" a="1"/>
  <c r="C6" i="18" s="1"/>
  <c r="L6" i="20" s="1"/>
  <c r="B124" i="12" a="1"/>
  <c r="B124" i="12" s="1"/>
  <c r="G117" i="18" a="1"/>
  <c r="G117" i="18" s="1"/>
  <c r="U117" i="20" s="1"/>
  <c r="D93" i="18" a="1"/>
  <c r="D93" i="18" s="1"/>
  <c r="O93" i="20" s="1"/>
  <c r="D84" i="18" a="1"/>
  <c r="D84" i="18" s="1"/>
  <c r="O84" i="20" s="1"/>
  <c r="G75" i="18" a="1"/>
  <c r="G75" i="18" s="1"/>
  <c r="T75" i="20" s="1"/>
  <c r="E61" i="18" a="1"/>
  <c r="E61" i="18" s="1"/>
  <c r="P61" i="20" s="1"/>
  <c r="F57" i="18" a="1"/>
  <c r="F57" i="18" s="1"/>
  <c r="R57" i="20" s="1"/>
  <c r="F53" i="18" a="1"/>
  <c r="F53" i="18" s="1"/>
  <c r="R53" i="20" s="1"/>
  <c r="C45" i="18" a="1"/>
  <c r="C45" i="18" s="1"/>
  <c r="L45" i="20" s="1"/>
  <c r="G43" i="18" a="1"/>
  <c r="G43" i="18" s="1"/>
  <c r="T43" i="20" s="1"/>
  <c r="F41" i="18" a="1"/>
  <c r="F41" i="18" s="1"/>
  <c r="R41" i="20" s="1"/>
  <c r="F40" i="18" a="1"/>
  <c r="F40" i="18" s="1"/>
  <c r="F37" i="18" a="1"/>
  <c r="F37" i="18" s="1"/>
  <c r="R37" i="20" s="1"/>
  <c r="F36" i="18" a="1"/>
  <c r="F36" i="18" s="1"/>
  <c r="R36" i="20" s="1"/>
  <c r="F34" i="18" a="1"/>
  <c r="F34" i="18" s="1"/>
  <c r="R34" i="20" s="1"/>
  <c r="G33" i="18" a="1"/>
  <c r="G33" i="18" s="1"/>
  <c r="T33" i="20" s="1"/>
  <c r="G31" i="18" a="1"/>
  <c r="G31" i="18" s="1"/>
  <c r="T31" i="20" s="1"/>
  <c r="G29" i="18" a="1"/>
  <c r="G29" i="18" s="1"/>
  <c r="T29" i="20" s="1"/>
  <c r="G26" i="18" a="1"/>
  <c r="G26" i="18" s="1"/>
  <c r="T26" i="20" s="1"/>
  <c r="F24" i="18" a="1"/>
  <c r="F24" i="18" s="1"/>
  <c r="R24" i="20" s="1"/>
  <c r="E22" i="18" a="1"/>
  <c r="E22" i="18" s="1"/>
  <c r="P22" i="20" s="1"/>
  <c r="F21" i="18" a="1"/>
  <c r="F21" i="18" s="1"/>
  <c r="R21" i="20" s="1"/>
  <c r="E20" i="18" a="1"/>
  <c r="E20" i="18" s="1"/>
  <c r="P20" i="20" s="1"/>
  <c r="E19" i="18" a="1"/>
  <c r="E19" i="18" s="1"/>
  <c r="P19" i="20" s="1"/>
  <c r="E18" i="18" a="1"/>
  <c r="E18" i="18" s="1"/>
  <c r="P18" i="20" s="1"/>
  <c r="D17" i="18" a="1"/>
  <c r="D17" i="18" s="1"/>
  <c r="N17" i="20" s="1"/>
  <c r="E16" i="18" a="1"/>
  <c r="E16" i="18" s="1"/>
  <c r="P16" i="20" s="1"/>
  <c r="D15" i="18" a="1"/>
  <c r="D15" i="18" s="1"/>
  <c r="N15" i="20" s="1"/>
  <c r="D14" i="18" a="1"/>
  <c r="D14" i="18" s="1"/>
  <c r="N14" i="20" s="1"/>
  <c r="C12" i="18" a="1"/>
  <c r="C12" i="18" s="1"/>
  <c r="L12" i="20" s="1"/>
  <c r="C10" i="18" a="1"/>
  <c r="C10" i="18" s="1"/>
  <c r="C9" i="18" a="1"/>
  <c r="C9" i="18" s="1"/>
  <c r="L9" i="20" s="1"/>
  <c r="G122" i="12" a="1"/>
  <c r="G122" i="12" s="1"/>
  <c r="K122" i="20" s="1"/>
  <c r="G121" i="12" a="1"/>
  <c r="G121" i="12" s="1"/>
  <c r="K121" i="20" s="1"/>
  <c r="G120" i="12" a="1"/>
  <c r="G120" i="12" s="1"/>
  <c r="F119" i="12" a="1"/>
  <c r="F119" i="12" s="1"/>
  <c r="I119" i="20" s="1"/>
  <c r="F118" i="12" a="1"/>
  <c r="F118" i="12" s="1"/>
  <c r="I118" i="20" s="1"/>
  <c r="F116" i="12" a="1"/>
  <c r="F116" i="12" s="1"/>
  <c r="I116" i="20" s="1"/>
  <c r="E114" i="12" a="1"/>
  <c r="E114" i="12" s="1"/>
  <c r="G114" i="20" s="1"/>
  <c r="E113" i="12" a="1"/>
  <c r="E113" i="12" s="1"/>
  <c r="G113" i="20" s="1"/>
  <c r="D112" i="12" a="1"/>
  <c r="D112" i="12" s="1"/>
  <c r="E112" i="20" s="1"/>
  <c r="E111" i="12" a="1"/>
  <c r="E111" i="12" s="1"/>
  <c r="G111" i="20" s="1"/>
  <c r="D110" i="12" a="1"/>
  <c r="D110" i="12" s="1"/>
  <c r="E110" i="20" s="1"/>
  <c r="D109" i="12" a="1"/>
  <c r="D109" i="12" s="1"/>
  <c r="E109" i="20" s="1"/>
  <c r="D108" i="12" a="1"/>
  <c r="D108" i="12" s="1"/>
  <c r="E108" i="20" s="1"/>
  <c r="C107" i="12" a="1"/>
  <c r="C107" i="12" s="1"/>
  <c r="D106" i="12" a="1"/>
  <c r="D106" i="12" s="1"/>
  <c r="E106" i="20" s="1"/>
  <c r="C104" i="12" a="1"/>
  <c r="C104" i="12" s="1"/>
  <c r="B102" i="12" a="1"/>
  <c r="B102" i="12" s="1"/>
  <c r="G99" i="12" a="1"/>
  <c r="G99" i="12" s="1"/>
  <c r="K99" i="20" s="1"/>
  <c r="B99" i="12" a="1"/>
  <c r="B99" i="12" s="1"/>
  <c r="G97" i="12" a="1"/>
  <c r="G97" i="12" s="1"/>
  <c r="K97" i="20" s="1"/>
  <c r="G116" i="18" a="1"/>
  <c r="G116" i="18" s="1"/>
  <c r="U116" i="20" s="1"/>
  <c r="F100" i="18" a="1"/>
  <c r="F100" i="18" s="1"/>
  <c r="C92" i="18" a="1"/>
  <c r="C92" i="18" s="1"/>
  <c r="C83" i="18" a="1"/>
  <c r="C83" i="18" s="1"/>
  <c r="G74" i="18" a="1"/>
  <c r="G74" i="18" s="1"/>
  <c r="T74" i="20" s="1"/>
  <c r="D53" i="18" a="1"/>
  <c r="D53" i="18" s="1"/>
  <c r="N53" i="20" s="1"/>
  <c r="F50" i="18" a="1"/>
  <c r="F50" i="18" s="1"/>
  <c r="F48" i="18" a="1"/>
  <c r="F48" i="18" s="1"/>
  <c r="R48" i="20" s="1"/>
  <c r="E46" i="18" a="1"/>
  <c r="E46" i="18" s="1"/>
  <c r="P46" i="20" s="1"/>
  <c r="F43" i="18" a="1"/>
  <c r="F43" i="18" s="1"/>
  <c r="R43" i="20" s="1"/>
  <c r="E42" i="18" a="1"/>
  <c r="E42" i="18" s="1"/>
  <c r="P42" i="20" s="1"/>
  <c r="E41" i="18" a="1"/>
  <c r="E41" i="18" s="1"/>
  <c r="P41" i="20" s="1"/>
  <c r="E40" i="18" a="1"/>
  <c r="E40" i="18" s="1"/>
  <c r="P40" i="20" s="1"/>
  <c r="E39" i="18" a="1"/>
  <c r="E39" i="18" s="1"/>
  <c r="P39" i="20" s="1"/>
  <c r="F38" i="18" a="1"/>
  <c r="F38" i="18" s="1"/>
  <c r="R38" i="20" s="1"/>
  <c r="E37" i="18" a="1"/>
  <c r="E37" i="18" s="1"/>
  <c r="P37" i="20" s="1"/>
  <c r="E35" i="18" a="1"/>
  <c r="E35" i="18" s="1"/>
  <c r="P35" i="20" s="1"/>
  <c r="F33" i="18" a="1"/>
  <c r="F33" i="18" s="1"/>
  <c r="R33" i="20" s="1"/>
  <c r="F32" i="18" a="1"/>
  <c r="F32" i="18" s="1"/>
  <c r="R32" i="20" s="1"/>
  <c r="G30" i="18" a="1"/>
  <c r="G30" i="18" s="1"/>
  <c r="F29" i="18" a="1"/>
  <c r="F29" i="18" s="1"/>
  <c r="R29" i="20" s="1"/>
  <c r="G28" i="18" a="1"/>
  <c r="G28" i="18" s="1"/>
  <c r="T28" i="20" s="1"/>
  <c r="F27" i="18" a="1"/>
  <c r="F27" i="18" s="1"/>
  <c r="R27" i="20" s="1"/>
  <c r="F26" i="18" a="1"/>
  <c r="F26" i="18" s="1"/>
  <c r="R26" i="20" s="1"/>
  <c r="F25" i="18" a="1"/>
  <c r="F25" i="18" s="1"/>
  <c r="R25" i="20" s="1"/>
  <c r="E24" i="18" a="1"/>
  <c r="E24" i="18" s="1"/>
  <c r="P24" i="20" s="1"/>
  <c r="F23" i="18" a="1"/>
  <c r="F23" i="18" s="1"/>
  <c r="R23" i="20" s="1"/>
  <c r="E21" i="18" a="1"/>
  <c r="E21" i="18" s="1"/>
  <c r="P21" i="20" s="1"/>
  <c r="D19" i="18" a="1"/>
  <c r="D19" i="18" s="1"/>
  <c r="N19" i="20" s="1"/>
  <c r="C17" i="18" a="1"/>
  <c r="C17" i="18" s="1"/>
  <c r="L17" i="20" s="1"/>
  <c r="D16" i="18" a="1"/>
  <c r="D16" i="18" s="1"/>
  <c r="N16" i="20" s="1"/>
  <c r="C15" i="18" a="1"/>
  <c r="C15" i="18" s="1"/>
  <c r="L15" i="20" s="1"/>
  <c r="C14" i="18" a="1"/>
  <c r="C14" i="18" s="1"/>
  <c r="L14" i="20" s="1"/>
  <c r="C13" i="18" a="1"/>
  <c r="C13" i="18" s="1"/>
  <c r="L13" i="20" s="1"/>
  <c r="C11" i="18" a="1"/>
  <c r="C11" i="18" s="1"/>
  <c r="L11" i="20" s="1"/>
  <c r="G6" i="18" a="1"/>
  <c r="G6" i="18" s="1"/>
  <c r="T6" i="20" s="1"/>
  <c r="G124" i="12" a="1"/>
  <c r="G124" i="12" s="1"/>
  <c r="K124" i="20" s="1"/>
  <c r="G123" i="12" a="1"/>
  <c r="G123" i="12" s="1"/>
  <c r="K123" i="20" s="1"/>
  <c r="F122" i="12" a="1"/>
  <c r="F122" i="12" s="1"/>
  <c r="I122" i="20" s="1"/>
  <c r="F121" i="12" a="1"/>
  <c r="F121" i="12" s="1"/>
  <c r="I121" i="20" s="1"/>
  <c r="F120" i="12" a="1"/>
  <c r="F120" i="12" s="1"/>
  <c r="E117" i="12" a="1"/>
  <c r="E117" i="12" s="1"/>
  <c r="G117" i="20" s="1"/>
  <c r="E116" i="12" a="1"/>
  <c r="E116" i="12" s="1"/>
  <c r="G116" i="20" s="1"/>
  <c r="E115" i="12" a="1"/>
  <c r="E115" i="12" s="1"/>
  <c r="G115" i="20" s="1"/>
  <c r="D114" i="12" a="1"/>
  <c r="D114" i="12" s="1"/>
  <c r="E114" i="20" s="1"/>
  <c r="D113" i="12" a="1"/>
  <c r="D113" i="12" s="1"/>
  <c r="E113" i="20" s="1"/>
  <c r="D111" i="12" a="1"/>
  <c r="D111" i="12" s="1"/>
  <c r="E111" i="20" s="1"/>
  <c r="C109" i="12" a="1"/>
  <c r="C109" i="12" s="1"/>
  <c r="C108" i="12" a="1"/>
  <c r="C108" i="12" s="1"/>
  <c r="B107" i="12" a="1"/>
  <c r="B107" i="12" s="1"/>
  <c r="C106" i="12" a="1"/>
  <c r="C106" i="12" s="1"/>
  <c r="B105" i="12" a="1"/>
  <c r="B105" i="12" s="1"/>
  <c r="B104" i="12" a="1"/>
  <c r="B104" i="12" s="1"/>
  <c r="B103" i="12" a="1"/>
  <c r="B103" i="12" s="1"/>
  <c r="G101" i="12" a="1"/>
  <c r="G101" i="12" s="1"/>
  <c r="K101" i="20" s="1"/>
  <c r="B101" i="12" a="1"/>
  <c r="B101" i="12" s="1"/>
  <c r="G98" i="12" a="1"/>
  <c r="G98" i="12" s="1"/>
  <c r="K98" i="20" s="1"/>
  <c r="G115" i="18" a="1"/>
  <c r="G115" i="18" s="1"/>
  <c r="U115" i="20" s="1"/>
  <c r="F99" i="18" a="1"/>
  <c r="F99" i="18" s="1"/>
  <c r="S99" i="20" s="1"/>
  <c r="C82" i="18" a="1"/>
  <c r="C82" i="18" s="1"/>
  <c r="C66" i="18" a="1"/>
  <c r="C66" i="18" s="1"/>
  <c r="L66" i="20" s="1"/>
  <c r="F56" i="18" a="1"/>
  <c r="F56" i="18" s="1"/>
  <c r="R56" i="20" s="1"/>
  <c r="C53" i="18" a="1"/>
  <c r="C53" i="18" s="1"/>
  <c r="L53" i="20" s="1"/>
  <c r="E50" i="18" a="1"/>
  <c r="E50" i="18" s="1"/>
  <c r="P50" i="20" s="1"/>
  <c r="E48" i="18" a="1"/>
  <c r="E48" i="18" s="1"/>
  <c r="P48" i="20" s="1"/>
  <c r="D46" i="18" a="1"/>
  <c r="D46" i="18" s="1"/>
  <c r="N46" i="20" s="1"/>
  <c r="F44" i="18" a="1"/>
  <c r="F44" i="18" s="1"/>
  <c r="R44" i="20" s="1"/>
  <c r="E43" i="18" a="1"/>
  <c r="E43" i="18" s="1"/>
  <c r="P43" i="20" s="1"/>
  <c r="D42" i="18" a="1"/>
  <c r="D42" i="18" s="1"/>
  <c r="N42" i="20" s="1"/>
  <c r="D41" i="18" a="1"/>
  <c r="D41" i="18" s="1"/>
  <c r="N41" i="20" s="1"/>
  <c r="D40" i="18" a="1"/>
  <c r="D40" i="18" s="1"/>
  <c r="N40" i="20" s="1"/>
  <c r="E38" i="18" a="1"/>
  <c r="E38" i="18" s="1"/>
  <c r="P38" i="20" s="1"/>
  <c r="D37" i="18" a="1"/>
  <c r="D37" i="18" s="1"/>
  <c r="N37" i="20" s="1"/>
  <c r="E36" i="18" a="1"/>
  <c r="E36" i="18" s="1"/>
  <c r="P36" i="20" s="1"/>
  <c r="E34" i="18" a="1"/>
  <c r="E34" i="18" s="1"/>
  <c r="P34" i="20" s="1"/>
  <c r="E33" i="18" a="1"/>
  <c r="E33" i="18" s="1"/>
  <c r="P33" i="20" s="1"/>
  <c r="F31" i="18" a="1"/>
  <c r="F31" i="18" s="1"/>
  <c r="R31" i="20" s="1"/>
  <c r="F30" i="18" a="1"/>
  <c r="F30" i="18" s="1"/>
  <c r="F28" i="18" a="1"/>
  <c r="F28" i="18" s="1"/>
  <c r="R28" i="20" s="1"/>
  <c r="E26" i="18" a="1"/>
  <c r="E26" i="18" s="1"/>
  <c r="P26" i="20" s="1"/>
  <c r="E25" i="18" a="1"/>
  <c r="E25" i="18" s="1"/>
  <c r="P25" i="20" s="1"/>
  <c r="D24" i="18" a="1"/>
  <c r="D24" i="18" s="1"/>
  <c r="N24" i="20" s="1"/>
  <c r="E23" i="18" a="1"/>
  <c r="E23" i="18" s="1"/>
  <c r="P23" i="20" s="1"/>
  <c r="D22" i="18" a="1"/>
  <c r="D22" i="18" s="1"/>
  <c r="N22" i="20" s="1"/>
  <c r="D21" i="18" a="1"/>
  <c r="D21" i="18" s="1"/>
  <c r="N21" i="20" s="1"/>
  <c r="D20" i="18" a="1"/>
  <c r="D20" i="18" s="1"/>
  <c r="N20" i="20" s="1"/>
  <c r="C19" i="18" a="1"/>
  <c r="C19" i="18" s="1"/>
  <c r="L19" i="20" s="1"/>
  <c r="D18" i="18" a="1"/>
  <c r="D18" i="18" s="1"/>
  <c r="N18" i="20" s="1"/>
  <c r="C16" i="18" a="1"/>
  <c r="C16" i="18" s="1"/>
  <c r="L16" i="20" s="1"/>
  <c r="G11" i="18" a="1"/>
  <c r="G11" i="18" s="1"/>
  <c r="T11" i="20" s="1"/>
  <c r="G9" i="18" a="1"/>
  <c r="G9" i="18" s="1"/>
  <c r="T9" i="20" s="1"/>
  <c r="G8" i="18" a="1"/>
  <c r="G8" i="18" s="1"/>
  <c r="T8" i="20" s="1"/>
  <c r="G7" i="18" a="1"/>
  <c r="G7" i="18" s="1"/>
  <c r="T7" i="20" s="1"/>
  <c r="F6" i="18" a="1"/>
  <c r="F6" i="18" s="1"/>
  <c r="R6" i="20" s="1"/>
  <c r="G5" i="18" a="1"/>
  <c r="G5" i="18" s="1"/>
  <c r="T5" i="20" s="1"/>
  <c r="F124" i="12" a="1"/>
  <c r="F124" i="12" s="1"/>
  <c r="I124" i="20" s="1"/>
  <c r="F123" i="12" a="1"/>
  <c r="F123" i="12" s="1"/>
  <c r="I123" i="20" s="1"/>
  <c r="E121" i="12" a="1"/>
  <c r="E121" i="12" s="1"/>
  <c r="G121" i="20" s="1"/>
  <c r="E119" i="12" a="1"/>
  <c r="E119" i="12" s="1"/>
  <c r="G119" i="20" s="1"/>
  <c r="E118" i="12" a="1"/>
  <c r="E118" i="12" s="1"/>
  <c r="G118" i="20" s="1"/>
  <c r="D117" i="12" a="1"/>
  <c r="D117" i="12" s="1"/>
  <c r="E117" i="20" s="1"/>
  <c r="D116" i="12" a="1"/>
  <c r="D116" i="12" s="1"/>
  <c r="E116" i="20" s="1"/>
  <c r="D115" i="12" a="1"/>
  <c r="D115" i="12" s="1"/>
  <c r="E115" i="20" s="1"/>
  <c r="C112" i="12" a="1"/>
  <c r="C112" i="12" s="1"/>
  <c r="C111" i="12" a="1"/>
  <c r="C111" i="12" s="1"/>
  <c r="C110" i="12" a="1"/>
  <c r="C110" i="12" s="1"/>
  <c r="B109" i="12" a="1"/>
  <c r="B109" i="12" s="1"/>
  <c r="B108" i="12" a="1"/>
  <c r="B108" i="12" s="1"/>
  <c r="B106" i="12" a="1"/>
  <c r="B106" i="12" s="1"/>
  <c r="G103" i="12" a="1"/>
  <c r="G103" i="12" s="1"/>
  <c r="K103" i="20" s="1"/>
  <c r="G102" i="12" a="1"/>
  <c r="G102" i="12" s="1"/>
  <c r="K102" i="20" s="1"/>
  <c r="F101" i="12" a="1"/>
  <c r="F101" i="12" s="1"/>
  <c r="I101" i="20" s="1"/>
  <c r="G100" i="12" a="1"/>
  <c r="G100" i="12" s="1"/>
  <c r="F99" i="12" a="1"/>
  <c r="F99" i="12" s="1"/>
  <c r="I99" i="20" s="1"/>
  <c r="F98" i="12" a="1"/>
  <c r="F98" i="12" s="1"/>
  <c r="I98" i="20" s="1"/>
  <c r="F97" i="12" a="1"/>
  <c r="F97" i="12" s="1"/>
  <c r="I97" i="20" s="1"/>
  <c r="E96" i="12" a="1"/>
  <c r="E96" i="12" s="1"/>
  <c r="G96" i="20" s="1"/>
  <c r="F114" i="18" a="1"/>
  <c r="F114" i="18" s="1"/>
  <c r="S114" i="20" s="1"/>
  <c r="F98" i="18" a="1"/>
  <c r="F98" i="18" s="1"/>
  <c r="S98" i="20" s="1"/>
  <c r="G72" i="18" a="1"/>
  <c r="G72" i="18" s="1"/>
  <c r="T72" i="20" s="1"/>
  <c r="C65" i="18" a="1"/>
  <c r="C65" i="18" s="1"/>
  <c r="L65" i="20" s="1"/>
  <c r="D60" i="18" a="1"/>
  <c r="D60" i="18" s="1"/>
  <c r="N60" i="20" s="1"/>
  <c r="D56" i="18" a="1"/>
  <c r="D56" i="18" s="1"/>
  <c r="N56" i="20" s="1"/>
  <c r="F52" i="18" a="1"/>
  <c r="F52" i="18" s="1"/>
  <c r="R52" i="20" s="1"/>
  <c r="C48" i="18" a="1"/>
  <c r="C48" i="18" s="1"/>
  <c r="L48" i="20" s="1"/>
  <c r="C46" i="18" a="1"/>
  <c r="C46" i="18" s="1"/>
  <c r="L46" i="20" s="1"/>
  <c r="C41" i="18" a="1"/>
  <c r="C41" i="18" s="1"/>
  <c r="L41" i="20" s="1"/>
  <c r="D39" i="18" a="1"/>
  <c r="D39" i="18" s="1"/>
  <c r="N39" i="20" s="1"/>
  <c r="D38" i="18" a="1"/>
  <c r="D38" i="18" s="1"/>
  <c r="N38" i="20" s="1"/>
  <c r="D36" i="18" a="1"/>
  <c r="D36" i="18" s="1"/>
  <c r="N36" i="20" s="1"/>
  <c r="D35" i="18" a="1"/>
  <c r="D35" i="18" s="1"/>
  <c r="N35" i="20" s="1"/>
  <c r="D34" i="18" a="1"/>
  <c r="D34" i="18" s="1"/>
  <c r="N34" i="20" s="1"/>
  <c r="E32" i="18" a="1"/>
  <c r="E32" i="18" s="1"/>
  <c r="P32" i="20" s="1"/>
  <c r="E29" i="18" a="1"/>
  <c r="E29" i="18" s="1"/>
  <c r="P29" i="20" s="1"/>
  <c r="E28" i="18" a="1"/>
  <c r="E28" i="18" s="1"/>
  <c r="P28" i="20" s="1"/>
  <c r="E27" i="18" a="1"/>
  <c r="E27" i="18" s="1"/>
  <c r="P27" i="20" s="1"/>
  <c r="D26" i="18" a="1"/>
  <c r="D26" i="18" s="1"/>
  <c r="N26" i="20" s="1"/>
  <c r="D25" i="18" a="1"/>
  <c r="D25" i="18" s="1"/>
  <c r="N25" i="20" s="1"/>
  <c r="D23" i="18" a="1"/>
  <c r="D23" i="18" s="1"/>
  <c r="N23" i="20" s="1"/>
  <c r="C21" i="18" a="1"/>
  <c r="C21" i="18" s="1"/>
  <c r="L21" i="20" s="1"/>
  <c r="C20" i="18" a="1"/>
  <c r="C20" i="18" s="1"/>
  <c r="C18" i="18" a="1"/>
  <c r="C18" i="18" s="1"/>
  <c r="L18" i="20" s="1"/>
  <c r="G13" i="18" a="1"/>
  <c r="G13" i="18" s="1"/>
  <c r="T13" i="20" s="1"/>
  <c r="G10" i="18" a="1"/>
  <c r="G10" i="18" s="1"/>
  <c r="F8" i="18" a="1"/>
  <c r="F8" i="18" s="1"/>
  <c r="R8" i="20" s="1"/>
  <c r="E6" i="18" a="1"/>
  <c r="E6" i="18" s="1"/>
  <c r="P6" i="20" s="1"/>
  <c r="F5" i="18" a="1"/>
  <c r="F5" i="18" s="1"/>
  <c r="R5" i="20" s="1"/>
  <c r="E124" i="12" a="1"/>
  <c r="E124" i="12" s="1"/>
  <c r="G124" i="20" s="1"/>
  <c r="E123" i="12" a="1"/>
  <c r="E123" i="12" s="1"/>
  <c r="G123" i="20" s="1"/>
  <c r="E122" i="12" a="1"/>
  <c r="E122" i="12" s="1"/>
  <c r="G122" i="20" s="1"/>
  <c r="D121" i="12" a="1"/>
  <c r="D121" i="12" s="1"/>
  <c r="E121" i="20" s="1"/>
  <c r="E120" i="12" a="1"/>
  <c r="E120" i="12" s="1"/>
  <c r="G120" i="20" s="1"/>
  <c r="D119" i="12" a="1"/>
  <c r="D119" i="12" s="1"/>
  <c r="E119" i="20" s="1"/>
  <c r="D118" i="12" a="1"/>
  <c r="D118" i="12" s="1"/>
  <c r="E118" i="20" s="1"/>
  <c r="C116" i="12" a="1"/>
  <c r="C116" i="12" s="1"/>
  <c r="C114" i="12" a="1"/>
  <c r="C114" i="12" s="1"/>
  <c r="C113" i="12" a="1"/>
  <c r="C113" i="12" s="1"/>
  <c r="B112" i="12" a="1"/>
  <c r="B112" i="12" s="1"/>
  <c r="B111" i="12" a="1"/>
  <c r="B111" i="12" s="1"/>
  <c r="B110" i="12" a="1"/>
  <c r="B110" i="12" s="1"/>
  <c r="G106" i="12" a="1"/>
  <c r="G106" i="12" s="1"/>
  <c r="K106" i="20" s="1"/>
  <c r="G105" i="12" a="1"/>
  <c r="G105" i="12" s="1"/>
  <c r="K105" i="20" s="1"/>
  <c r="G104" i="12" a="1"/>
  <c r="G104" i="12" s="1"/>
  <c r="K104" i="20" s="1"/>
  <c r="F103" i="12" a="1"/>
  <c r="F103" i="12" s="1"/>
  <c r="I103" i="20" s="1"/>
  <c r="F102" i="12" a="1"/>
  <c r="F102" i="12" s="1"/>
  <c r="I102" i="20" s="1"/>
  <c r="F100" i="12" a="1"/>
  <c r="F100" i="12" s="1"/>
  <c r="E98" i="12" a="1"/>
  <c r="E98" i="12" s="1"/>
  <c r="G98" i="20" s="1"/>
  <c r="E97" i="12" a="1"/>
  <c r="E97" i="12" s="1"/>
  <c r="G97" i="20" s="1"/>
  <c r="D96" i="12" a="1"/>
  <c r="D96" i="12" s="1"/>
  <c r="E96" i="20" s="1"/>
  <c r="E95" i="12" a="1"/>
  <c r="E95" i="12" s="1"/>
  <c r="G95" i="20" s="1"/>
  <c r="D94" i="12" a="1"/>
  <c r="D94" i="12" s="1"/>
  <c r="E94" i="20" s="1"/>
  <c r="D93" i="12" a="1"/>
  <c r="D93" i="12" s="1"/>
  <c r="E93" i="20" s="1"/>
  <c r="D92" i="12" a="1"/>
  <c r="D92" i="12" s="1"/>
  <c r="E92" i="20" s="1"/>
  <c r="C91" i="12" a="1"/>
  <c r="C91" i="12" s="1"/>
  <c r="D122" i="18" a="1"/>
  <c r="D122" i="18" s="1"/>
  <c r="O122" i="20" s="1"/>
  <c r="F113" i="18" a="1"/>
  <c r="F113" i="18" s="1"/>
  <c r="S113" i="20" s="1"/>
  <c r="G105" i="18" a="1"/>
  <c r="G105" i="18" s="1"/>
  <c r="U105" i="20" s="1"/>
  <c r="E97" i="18" a="1"/>
  <c r="E97" i="18" s="1"/>
  <c r="Q97" i="20" s="1"/>
  <c r="G88" i="18" a="1"/>
  <c r="G88" i="18" s="1"/>
  <c r="U88" i="20" s="1"/>
  <c r="G79" i="18" a="1"/>
  <c r="G79" i="18" s="1"/>
  <c r="T79" i="20" s="1"/>
  <c r="C64" i="18" a="1"/>
  <c r="C64" i="18" s="1"/>
  <c r="L64" i="20" s="1"/>
  <c r="E59" i="18" a="1"/>
  <c r="E59" i="18" s="1"/>
  <c r="P59" i="20" s="1"/>
  <c r="F55" i="18" a="1"/>
  <c r="F55" i="18" s="1"/>
  <c r="R55" i="20" s="1"/>
  <c r="E52" i="18" a="1"/>
  <c r="E52" i="18" s="1"/>
  <c r="P52" i="20" s="1"/>
  <c r="E44" i="18" a="1"/>
  <c r="E44" i="18" s="1"/>
  <c r="P44" i="20" s="1"/>
  <c r="C43" i="18" a="1"/>
  <c r="C43" i="18" s="1"/>
  <c r="L43" i="20" s="1"/>
  <c r="C42" i="18" a="1"/>
  <c r="C42" i="18" s="1"/>
  <c r="L42" i="20" s="1"/>
  <c r="C40" i="18" a="1"/>
  <c r="C40" i="18" s="1"/>
  <c r="C38" i="18" a="1"/>
  <c r="C38" i="18" s="1"/>
  <c r="L38" i="20" s="1"/>
  <c r="C37" i="18" a="1"/>
  <c r="C37" i="18" s="1"/>
  <c r="L37" i="20" s="1"/>
  <c r="C36" i="18" a="1"/>
  <c r="C36" i="18" s="1"/>
  <c r="L36" i="20" s="1"/>
  <c r="C35" i="18" a="1"/>
  <c r="C35" i="18" s="1"/>
  <c r="L35" i="20" s="1"/>
  <c r="D33" i="18" a="1"/>
  <c r="D33" i="18" s="1"/>
  <c r="N33" i="20" s="1"/>
  <c r="E31" i="18" a="1"/>
  <c r="E31" i="18" s="1"/>
  <c r="P31" i="20" s="1"/>
  <c r="E30" i="18" a="1"/>
  <c r="E30" i="18" s="1"/>
  <c r="P30" i="20" s="1"/>
  <c r="D29" i="18" a="1"/>
  <c r="D29" i="18" s="1"/>
  <c r="N29" i="20" s="1"/>
  <c r="D28" i="18" a="1"/>
  <c r="D28" i="18" s="1"/>
  <c r="N28" i="20" s="1"/>
  <c r="D27" i="18" a="1"/>
  <c r="D27" i="18" s="1"/>
  <c r="N27" i="20" s="1"/>
  <c r="C24" i="18" a="1"/>
  <c r="C24" i="18" s="1"/>
  <c r="L24" i="20" s="1"/>
  <c r="C23" i="18" a="1"/>
  <c r="C23" i="18" s="1"/>
  <c r="L23" i="20" s="1"/>
  <c r="C22" i="18" a="1"/>
  <c r="C22" i="18" s="1"/>
  <c r="L22" i="20" s="1"/>
  <c r="G15" i="18" a="1"/>
  <c r="G15" i="18" s="1"/>
  <c r="T15" i="20" s="1"/>
  <c r="G14" i="18" a="1"/>
  <c r="G14" i="18" s="1"/>
  <c r="T14" i="20" s="1"/>
  <c r="F13" i="18" a="1"/>
  <c r="F13" i="18" s="1"/>
  <c r="R13" i="20" s="1"/>
  <c r="G12" i="18" a="1"/>
  <c r="G12" i="18" s="1"/>
  <c r="T12" i="20" s="1"/>
  <c r="F11" i="18" a="1"/>
  <c r="F11" i="18" s="1"/>
  <c r="R11" i="20" s="1"/>
  <c r="F10" i="18" a="1"/>
  <c r="F10" i="18" s="1"/>
  <c r="F9" i="18" a="1"/>
  <c r="F9" i="18" s="1"/>
  <c r="R9" i="20" s="1"/>
  <c r="E8" i="18" a="1"/>
  <c r="E8" i="18" s="1"/>
  <c r="P8" i="20" s="1"/>
  <c r="F7" i="18" a="1"/>
  <c r="F7" i="18" s="1"/>
  <c r="R7" i="20" s="1"/>
  <c r="E5" i="18" a="1"/>
  <c r="E5" i="18" s="1"/>
  <c r="P5" i="20" s="1"/>
  <c r="D123" i="12" a="1"/>
  <c r="D123" i="12" s="1"/>
  <c r="E123" i="20" s="1"/>
  <c r="C121" i="12" a="1"/>
  <c r="C121" i="12" s="1"/>
  <c r="D120" i="12" a="1"/>
  <c r="D120" i="12" s="1"/>
  <c r="E120" i="20" s="1"/>
  <c r="C119" i="12" a="1"/>
  <c r="C119" i="12" s="1"/>
  <c r="C118" i="12" a="1"/>
  <c r="C118" i="12" s="1"/>
  <c r="C117" i="12" a="1"/>
  <c r="C117" i="12" s="1"/>
  <c r="B116" i="12" a="1"/>
  <c r="B116" i="12" s="1"/>
  <c r="C115" i="12" a="1"/>
  <c r="C115" i="12" s="1"/>
  <c r="B114" i="12" a="1"/>
  <c r="B114" i="12" s="1"/>
  <c r="B113" i="12" a="1"/>
  <c r="B113" i="12" s="1"/>
  <c r="G110" i="12" a="1"/>
  <c r="G110" i="12" s="1"/>
  <c r="G108" i="12" a="1"/>
  <c r="G108" i="12" s="1"/>
  <c r="K108" i="20" s="1"/>
  <c r="G107" i="12" a="1"/>
  <c r="G107" i="12" s="1"/>
  <c r="K107" i="20" s="1"/>
  <c r="F106" i="12" a="1"/>
  <c r="F106" i="12" s="1"/>
  <c r="I106" i="20" s="1"/>
  <c r="F105" i="12" a="1"/>
  <c r="F105" i="12" s="1"/>
  <c r="I105" i="20" s="1"/>
  <c r="F104" i="12" a="1"/>
  <c r="F104" i="12" s="1"/>
  <c r="I104" i="20" s="1"/>
  <c r="E101" i="12" a="1"/>
  <c r="E101" i="12" s="1"/>
  <c r="G101" i="20" s="1"/>
  <c r="E100" i="12" a="1"/>
  <c r="E100" i="12" s="1"/>
  <c r="G100" i="20" s="1"/>
  <c r="E99" i="12" a="1"/>
  <c r="E99" i="12" s="1"/>
  <c r="G99" i="20" s="1"/>
  <c r="D98" i="12" a="1"/>
  <c r="D98" i="12" s="1"/>
  <c r="E98" i="20" s="1"/>
  <c r="D97" i="12" a="1"/>
  <c r="D97" i="12" s="1"/>
  <c r="E97" i="20" s="1"/>
  <c r="D95" i="12" a="1"/>
  <c r="D95" i="12" s="1"/>
  <c r="E95" i="20" s="1"/>
  <c r="C93" i="12" a="1"/>
  <c r="C93" i="12" s="1"/>
  <c r="C92" i="12" a="1"/>
  <c r="C92" i="12" s="1"/>
  <c r="G104" i="18" a="1"/>
  <c r="G104" i="18" s="1"/>
  <c r="U104" i="20" s="1"/>
  <c r="E96" i="18" a="1"/>
  <c r="E96" i="18" s="1"/>
  <c r="Q96" i="20" s="1"/>
  <c r="G78" i="18" a="1"/>
  <c r="G78" i="18" s="1"/>
  <c r="T78" i="20" s="1"/>
  <c r="D59" i="18" a="1"/>
  <c r="D59" i="18" s="1"/>
  <c r="N59" i="20" s="1"/>
  <c r="E55" i="18" a="1"/>
  <c r="E55" i="18" s="1"/>
  <c r="P55" i="20" s="1"/>
  <c r="C52" i="18" a="1"/>
  <c r="C52" i="18" s="1"/>
  <c r="L52" i="20" s="1"/>
  <c r="F49" i="18" a="1"/>
  <c r="F49" i="18" s="1"/>
  <c r="R49" i="20" s="1"/>
  <c r="F45" i="18" a="1"/>
  <c r="F45" i="18" s="1"/>
  <c r="R45" i="20" s="1"/>
  <c r="C44" i="18" a="1"/>
  <c r="C44" i="18" s="1"/>
  <c r="L44" i="20" s="1"/>
  <c r="C39" i="18" a="1"/>
  <c r="C39" i="18" s="1"/>
  <c r="L39" i="20" s="1"/>
  <c r="C34" i="18" a="1"/>
  <c r="C34" i="18" s="1"/>
  <c r="L34" i="20" s="1"/>
  <c r="C33" i="18" a="1"/>
  <c r="C33" i="18" s="1"/>
  <c r="L33" i="20" s="1"/>
  <c r="D32" i="18" a="1"/>
  <c r="D32" i="18" s="1"/>
  <c r="N32" i="20" s="1"/>
  <c r="D31" i="18" a="1"/>
  <c r="D31" i="18" s="1"/>
  <c r="N31" i="20" s="1"/>
  <c r="D30" i="18" a="1"/>
  <c r="D30" i="18" s="1"/>
  <c r="N30" i="20" s="1"/>
  <c r="C28" i="18" a="1"/>
  <c r="C28" i="18" s="1"/>
  <c r="L28" i="20" s="1"/>
  <c r="C26" i="18" a="1"/>
  <c r="C26" i="18" s="1"/>
  <c r="L26" i="20" s="1"/>
  <c r="C25" i="18" a="1"/>
  <c r="C25" i="18" s="1"/>
  <c r="L25" i="20" s="1"/>
  <c r="G18" i="18" a="1"/>
  <c r="G18" i="18" s="1"/>
  <c r="T18" i="20" s="1"/>
  <c r="G17" i="18" a="1"/>
  <c r="G17" i="18" s="1"/>
  <c r="T17" i="20" s="1"/>
  <c r="G16" i="18" a="1"/>
  <c r="G16" i="18" s="1"/>
  <c r="T16" i="20" s="1"/>
  <c r="F15" i="18" a="1"/>
  <c r="F15" i="18" s="1"/>
  <c r="R15" i="20" s="1"/>
  <c r="F14" i="18" a="1"/>
  <c r="F14" i="18" s="1"/>
  <c r="R14" i="20" s="1"/>
  <c r="F12" i="18" a="1"/>
  <c r="F12" i="18" s="1"/>
  <c r="R12" i="20" s="1"/>
  <c r="E10" i="18" a="1"/>
  <c r="E10" i="18" s="1"/>
  <c r="P10" i="20" s="1"/>
  <c r="E9" i="18" a="1"/>
  <c r="E9" i="18" s="1"/>
  <c r="P9" i="20" s="1"/>
  <c r="D8" i="18" a="1"/>
  <c r="D8" i="18" s="1"/>
  <c r="N8" i="20" s="1"/>
  <c r="E7" i="18" a="1"/>
  <c r="E7" i="18" s="1"/>
  <c r="P7" i="20" s="1"/>
  <c r="D6" i="18" a="1"/>
  <c r="D6" i="18" s="1"/>
  <c r="N6" i="20" s="1"/>
  <c r="D5" i="18" a="1"/>
  <c r="D5" i="18" s="1"/>
  <c r="N5" i="20" s="1"/>
  <c r="D124" i="12" a="1"/>
  <c r="D124" i="12" s="1"/>
  <c r="E124" i="20" s="1"/>
  <c r="C123" i="12" a="1"/>
  <c r="C123" i="12" s="1"/>
  <c r="D122" i="12" a="1"/>
  <c r="D122" i="12" s="1"/>
  <c r="E122" i="20" s="1"/>
  <c r="C120" i="12" a="1"/>
  <c r="C120" i="12" s="1"/>
  <c r="B118" i="12" a="1"/>
  <c r="B118" i="12" s="1"/>
  <c r="G115" i="12" a="1"/>
  <c r="G115" i="12" s="1"/>
  <c r="K115" i="20" s="1"/>
  <c r="B115" i="12" a="1"/>
  <c r="B115" i="12" s="1"/>
  <c r="G113" i="12" a="1"/>
  <c r="G113" i="12" s="1"/>
  <c r="K113" i="20" s="1"/>
  <c r="G112" i="12" a="1"/>
  <c r="G112" i="12" s="1"/>
  <c r="K112" i="20" s="1"/>
  <c r="G111" i="12" a="1"/>
  <c r="G111" i="12" s="1"/>
  <c r="K111" i="20" s="1"/>
  <c r="F110" i="12" a="1"/>
  <c r="F110" i="12" s="1"/>
  <c r="G109" i="12" a="1"/>
  <c r="G109" i="12" s="1"/>
  <c r="K109" i="20" s="1"/>
  <c r="F108" i="12" a="1"/>
  <c r="F108" i="12" s="1"/>
  <c r="I108" i="20" s="1"/>
  <c r="F107" i="12" a="1"/>
  <c r="F107" i="12" s="1"/>
  <c r="I107" i="20" s="1"/>
  <c r="E105" i="12" a="1"/>
  <c r="E105" i="12" s="1"/>
  <c r="G105" i="20" s="1"/>
  <c r="E103" i="12" a="1"/>
  <c r="E103" i="12" s="1"/>
  <c r="G103" i="20" s="1"/>
  <c r="E102" i="12" a="1"/>
  <c r="E102" i="12" s="1"/>
  <c r="G102" i="20" s="1"/>
  <c r="D101" i="12" a="1"/>
  <c r="D101" i="12" s="1"/>
  <c r="E101" i="20" s="1"/>
  <c r="D100" i="12" a="1"/>
  <c r="D100" i="12" s="1"/>
  <c r="E100" i="20" s="1"/>
  <c r="D99" i="12" a="1"/>
  <c r="D99" i="12" s="1"/>
  <c r="E99" i="20" s="1"/>
  <c r="C96" i="12" a="1"/>
  <c r="C96" i="12" s="1"/>
  <c r="C95" i="12" a="1"/>
  <c r="C95" i="12" s="1"/>
  <c r="C94" i="12" a="1"/>
  <c r="C94" i="12" s="1"/>
  <c r="B93" i="12" a="1"/>
  <c r="B93" i="12" s="1"/>
  <c r="G103" i="18" a="1"/>
  <c r="G103" i="18" s="1"/>
  <c r="U103" i="20" s="1"/>
  <c r="E86" i="18" a="1"/>
  <c r="E86" i="18" s="1"/>
  <c r="Q86" i="20" s="1"/>
  <c r="F77" i="18" a="1"/>
  <c r="F77" i="18" s="1"/>
  <c r="R77" i="20" s="1"/>
  <c r="E62" i="18" a="1"/>
  <c r="E62" i="18" s="1"/>
  <c r="P62" i="20" s="1"/>
  <c r="E51" i="18" a="1"/>
  <c r="E51" i="18" s="1"/>
  <c r="P51" i="20" s="1"/>
  <c r="E49" i="18" a="1"/>
  <c r="E49" i="18" s="1"/>
  <c r="P49" i="20" s="1"/>
  <c r="E47" i="18" a="1"/>
  <c r="E47" i="18" s="1"/>
  <c r="P47" i="20" s="1"/>
  <c r="G42" i="18" a="1"/>
  <c r="G42" i="18" s="1"/>
  <c r="T42" i="20" s="1"/>
  <c r="G40" i="18" a="1"/>
  <c r="G40" i="18" s="1"/>
  <c r="G39" i="18" a="1"/>
  <c r="G39" i="18" s="1"/>
  <c r="T39" i="20" s="1"/>
  <c r="G35" i="18" a="1"/>
  <c r="G35" i="18" s="1"/>
  <c r="T35" i="20" s="1"/>
  <c r="C32" i="18" a="1"/>
  <c r="C32" i="18" s="1"/>
  <c r="L32" i="20" s="1"/>
  <c r="C31" i="18" a="1"/>
  <c r="C31" i="18" s="1"/>
  <c r="L31" i="20" s="1"/>
  <c r="C30" i="18" a="1"/>
  <c r="C30" i="18" s="1"/>
  <c r="C29" i="18" a="1"/>
  <c r="C29" i="18" s="1"/>
  <c r="L29" i="20" s="1"/>
  <c r="C27" i="18" a="1"/>
  <c r="C27" i="18" s="1"/>
  <c r="L27" i="20" s="1"/>
  <c r="G22" i="18" a="1"/>
  <c r="G22" i="18" s="1"/>
  <c r="T22" i="20" s="1"/>
  <c r="G20" i="18" a="1"/>
  <c r="G20" i="18" s="1"/>
  <c r="G19" i="18" a="1"/>
  <c r="G19" i="18" s="1"/>
  <c r="T19" i="20" s="1"/>
  <c r="F18" i="18" a="1"/>
  <c r="F18" i="18" s="1"/>
  <c r="R18" i="20" s="1"/>
  <c r="F17" i="18" a="1"/>
  <c r="F17" i="18" s="1"/>
  <c r="R17" i="20" s="1"/>
  <c r="F16" i="18" a="1"/>
  <c r="F16" i="18" s="1"/>
  <c r="R16" i="20" s="1"/>
  <c r="E13" i="18" a="1"/>
  <c r="E13" i="18" s="1"/>
  <c r="P13" i="20" s="1"/>
  <c r="E12" i="18" a="1"/>
  <c r="E12" i="18" s="1"/>
  <c r="P12" i="20" s="1"/>
  <c r="E11" i="18" a="1"/>
  <c r="E11" i="18" s="1"/>
  <c r="P11" i="20" s="1"/>
  <c r="D10" i="18" a="1"/>
  <c r="D10" i="18" s="1"/>
  <c r="N10" i="20" s="1"/>
  <c r="D9" i="18" a="1"/>
  <c r="D9" i="18" s="1"/>
  <c r="N9" i="20" s="1"/>
  <c r="D7" i="18" a="1"/>
  <c r="D7" i="18" s="1"/>
  <c r="N7" i="20" s="1"/>
  <c r="C5" i="18" a="1"/>
  <c r="C5" i="18" s="1"/>
  <c r="L5" i="20" s="1"/>
  <c r="C124" i="12" a="1"/>
  <c r="C124" i="12" s="1"/>
  <c r="B123" i="12" a="1"/>
  <c r="B123" i="12" s="1"/>
  <c r="B121" i="12" a="1"/>
  <c r="B121" i="12" s="1"/>
  <c r="B117" i="12" a="1"/>
  <c r="B117" i="12" s="1"/>
  <c r="F112" i="12" a="1"/>
  <c r="F112" i="12" s="1"/>
  <c r="I112" i="20" s="1"/>
  <c r="E108" i="12" a="1"/>
  <c r="E108" i="12" s="1"/>
  <c r="G108" i="20" s="1"/>
  <c r="E104" i="12" a="1"/>
  <c r="E104" i="12" s="1"/>
  <c r="G104" i="20" s="1"/>
  <c r="C100" i="12" a="1"/>
  <c r="C100" i="12" s="1"/>
  <c r="B97" i="12" a="1"/>
  <c r="B97" i="12" s="1"/>
  <c r="B95" i="12" a="1"/>
  <c r="B95" i="12" s="1"/>
  <c r="F93" i="12" a="1"/>
  <c r="F93" i="12" s="1"/>
  <c r="I93" i="20" s="1"/>
  <c r="F90" i="12" a="1"/>
  <c r="F90" i="12" s="1"/>
  <c r="F89" i="12" a="1"/>
  <c r="F89" i="12" s="1"/>
  <c r="I89" i="20" s="1"/>
  <c r="F88" i="12" a="1"/>
  <c r="F88" i="12" s="1"/>
  <c r="I88" i="20" s="1"/>
  <c r="E85" i="12" a="1"/>
  <c r="E85" i="12" s="1"/>
  <c r="G85" i="20" s="1"/>
  <c r="E84" i="12" a="1"/>
  <c r="E84" i="12" s="1"/>
  <c r="G84" i="20" s="1"/>
  <c r="E83" i="12" a="1"/>
  <c r="E83" i="12" s="1"/>
  <c r="G83" i="20" s="1"/>
  <c r="D82" i="12" a="1"/>
  <c r="D82" i="12" s="1"/>
  <c r="E82" i="20" s="1"/>
  <c r="D81" i="12" a="1"/>
  <c r="D81" i="12" s="1"/>
  <c r="E81" i="20" s="1"/>
  <c r="D79" i="12" a="1"/>
  <c r="D79" i="12" s="1"/>
  <c r="D79" i="20" s="1"/>
  <c r="C77" i="12" a="1"/>
  <c r="C77" i="12" s="1"/>
  <c r="B77" i="20" s="1"/>
  <c r="C76" i="12" a="1"/>
  <c r="C76" i="12" s="1"/>
  <c r="B76" i="20" s="1"/>
  <c r="B75" i="12" a="1"/>
  <c r="B75" i="12" s="1"/>
  <c r="C74" i="12" a="1"/>
  <c r="C74" i="12" s="1"/>
  <c r="B74" i="20" s="1"/>
  <c r="B73" i="12" a="1"/>
  <c r="B73" i="12" s="1"/>
  <c r="B72" i="12" a="1"/>
  <c r="B72" i="12" s="1"/>
  <c r="B71" i="12" a="1"/>
  <c r="B71" i="12" s="1"/>
  <c r="G69" i="12" a="1"/>
  <c r="G69" i="12" s="1"/>
  <c r="J69" i="20" s="1"/>
  <c r="B69" i="12" a="1"/>
  <c r="B69" i="12" s="1"/>
  <c r="G66" i="12" a="1"/>
  <c r="G66" i="12" s="1"/>
  <c r="J66" i="20" s="1"/>
  <c r="F64" i="12" a="1"/>
  <c r="F64" i="12" s="1"/>
  <c r="H64" i="20" s="1"/>
  <c r="E62" i="12" a="1"/>
  <c r="E62" i="12" s="1"/>
  <c r="F62" i="20" s="1"/>
  <c r="F61" i="12" a="1"/>
  <c r="F61" i="12" s="1"/>
  <c r="H61" i="20" s="1"/>
  <c r="E60" i="12" a="1"/>
  <c r="E60" i="12" s="1"/>
  <c r="F60" i="20" s="1"/>
  <c r="E59" i="12" a="1"/>
  <c r="E59" i="12" s="1"/>
  <c r="F59" i="20" s="1"/>
  <c r="E58" i="12" a="1"/>
  <c r="E58" i="12" s="1"/>
  <c r="F58" i="20" s="1"/>
  <c r="D57" i="12" a="1"/>
  <c r="D57" i="12" s="1"/>
  <c r="D57" i="20" s="1"/>
  <c r="E56" i="12" a="1"/>
  <c r="E56" i="12" s="1"/>
  <c r="F56" i="20" s="1"/>
  <c r="D55" i="12" a="1"/>
  <c r="D55" i="12" s="1"/>
  <c r="D55" i="20" s="1"/>
  <c r="D54" i="12" a="1"/>
  <c r="D54" i="12" s="1"/>
  <c r="D54" i="20" s="1"/>
  <c r="C52" i="12" a="1"/>
  <c r="C52" i="12" s="1"/>
  <c r="B52" i="20" s="1"/>
  <c r="C50" i="12" a="1"/>
  <c r="C50" i="12" s="1"/>
  <c r="C49" i="12" a="1"/>
  <c r="C49" i="12" s="1"/>
  <c r="B49" i="20" s="1"/>
  <c r="B48" i="12" a="1"/>
  <c r="B48" i="12" s="1"/>
  <c r="B47" i="12" a="1"/>
  <c r="B47" i="12" s="1"/>
  <c r="B46" i="12" a="1"/>
  <c r="B46" i="12" s="1"/>
  <c r="B44" i="12" a="1"/>
  <c r="B44" i="12" s="1"/>
  <c r="B42" i="12" a="1"/>
  <c r="B42" i="12" s="1"/>
  <c r="G39" i="12" a="1"/>
  <c r="G39" i="12" s="1"/>
  <c r="J39" i="20" s="1"/>
  <c r="B38" i="12" a="1"/>
  <c r="B38" i="12" s="1"/>
  <c r="C36" i="12" a="1"/>
  <c r="C36" i="12" s="1"/>
  <c r="C35" i="12" a="1"/>
  <c r="C35" i="12" s="1"/>
  <c r="B35" i="20" s="1"/>
  <c r="C34" i="12" a="1"/>
  <c r="C34" i="12" s="1"/>
  <c r="B34" i="20" s="1"/>
  <c r="D33" i="12" a="1"/>
  <c r="D33" i="12" s="1"/>
  <c r="D33" i="20" s="1"/>
  <c r="D30" i="12" a="1"/>
  <c r="D30" i="12" s="1"/>
  <c r="D30" i="20" s="1"/>
  <c r="D29" i="12" a="1"/>
  <c r="D29" i="12" s="1"/>
  <c r="D29" i="20" s="1"/>
  <c r="E28" i="12" a="1"/>
  <c r="E28" i="12" s="1"/>
  <c r="F28" i="20" s="1"/>
  <c r="C27" i="12" a="1"/>
  <c r="C27" i="12" s="1"/>
  <c r="B27" i="20" s="1"/>
  <c r="G25" i="12" a="1"/>
  <c r="G25" i="12" s="1"/>
  <c r="J25" i="20" s="1"/>
  <c r="E24" i="12" a="1"/>
  <c r="E24" i="12" s="1"/>
  <c r="F24" i="20" s="1"/>
  <c r="C23" i="12" a="1"/>
  <c r="C23" i="12" s="1"/>
  <c r="B23" i="20" s="1"/>
  <c r="G21" i="12" a="1"/>
  <c r="G21" i="12" s="1"/>
  <c r="J21" i="20" s="1"/>
  <c r="E20" i="12" a="1"/>
  <c r="E20" i="12" s="1"/>
  <c r="F20" i="20" s="1"/>
  <c r="C19" i="12" a="1"/>
  <c r="C19" i="12" s="1"/>
  <c r="B19" i="20" s="1"/>
  <c r="G17" i="12" a="1"/>
  <c r="G17" i="12" s="1"/>
  <c r="J17" i="20" s="1"/>
  <c r="E16" i="12" a="1"/>
  <c r="E16" i="12" s="1"/>
  <c r="F16" i="20" s="1"/>
  <c r="C15" i="12" a="1"/>
  <c r="C15" i="12" s="1"/>
  <c r="B15" i="20" s="1"/>
  <c r="G13" i="12" a="1"/>
  <c r="G13" i="12" s="1"/>
  <c r="J13" i="20" s="1"/>
  <c r="E12" i="12" a="1"/>
  <c r="E12" i="12" s="1"/>
  <c r="F12" i="20" s="1"/>
  <c r="G116" i="12" a="1"/>
  <c r="G116" i="12" s="1"/>
  <c r="K116" i="20" s="1"/>
  <c r="E112" i="12" a="1"/>
  <c r="E112" i="12" s="1"/>
  <c r="G112" i="20" s="1"/>
  <c r="D104" i="12" a="1"/>
  <c r="D104" i="12" s="1"/>
  <c r="E104" i="20" s="1"/>
  <c r="B100" i="12" a="1"/>
  <c r="B100" i="12" s="1"/>
  <c r="G96" i="12" a="1"/>
  <c r="G96" i="12" s="1"/>
  <c r="K96" i="20" s="1"/>
  <c r="G94" i="12" a="1"/>
  <c r="G94" i="12" s="1"/>
  <c r="K94" i="20" s="1"/>
  <c r="E93" i="12" a="1"/>
  <c r="E93" i="12" s="1"/>
  <c r="G93" i="20" s="1"/>
  <c r="G91" i="12" a="1"/>
  <c r="G91" i="12" s="1"/>
  <c r="K91" i="20" s="1"/>
  <c r="E89" i="12" a="1"/>
  <c r="E89" i="12" s="1"/>
  <c r="G89" i="20" s="1"/>
  <c r="E87" i="12" a="1"/>
  <c r="E87" i="12" s="1"/>
  <c r="G87" i="20" s="1"/>
  <c r="E86" i="12" a="1"/>
  <c r="E86" i="12" s="1"/>
  <c r="G86" i="20" s="1"/>
  <c r="D85" i="12" a="1"/>
  <c r="D85" i="12" s="1"/>
  <c r="E85" i="20" s="1"/>
  <c r="D84" i="12" a="1"/>
  <c r="D84" i="12" s="1"/>
  <c r="E84" i="20" s="1"/>
  <c r="D83" i="12" a="1"/>
  <c r="D83" i="12" s="1"/>
  <c r="E83" i="20" s="1"/>
  <c r="C80" i="12" a="1"/>
  <c r="C80" i="12" s="1"/>
  <c r="C79" i="12" a="1"/>
  <c r="C79" i="12" s="1"/>
  <c r="B79" i="20" s="1"/>
  <c r="C78" i="12" a="1"/>
  <c r="C78" i="12" s="1"/>
  <c r="B78" i="20" s="1"/>
  <c r="B77" i="12" a="1"/>
  <c r="B77" i="12" s="1"/>
  <c r="B76" i="12" a="1"/>
  <c r="B76" i="12" s="1"/>
  <c r="B74" i="12" a="1"/>
  <c r="B74" i="12" s="1"/>
  <c r="G71" i="12" a="1"/>
  <c r="G71" i="12" s="1"/>
  <c r="J71" i="20" s="1"/>
  <c r="G70" i="12" a="1"/>
  <c r="G70" i="12" s="1"/>
  <c r="F69" i="12" a="1"/>
  <c r="F69" i="12" s="1"/>
  <c r="H69" i="20" s="1"/>
  <c r="G68" i="12" a="1"/>
  <c r="G68" i="12" s="1"/>
  <c r="J68" i="20" s="1"/>
  <c r="F67" i="12" a="1"/>
  <c r="F67" i="12" s="1"/>
  <c r="H67" i="20" s="1"/>
  <c r="F66" i="12" a="1"/>
  <c r="F66" i="12" s="1"/>
  <c r="H66" i="20" s="1"/>
  <c r="F65" i="12" a="1"/>
  <c r="F65" i="12" s="1"/>
  <c r="H65" i="20" s="1"/>
  <c r="E64" i="12" a="1"/>
  <c r="E64" i="12" s="1"/>
  <c r="F64" i="20" s="1"/>
  <c r="F63" i="12" a="1"/>
  <c r="F63" i="12" s="1"/>
  <c r="H63" i="20" s="1"/>
  <c r="E61" i="12" a="1"/>
  <c r="E61" i="12" s="1"/>
  <c r="F61" i="20" s="1"/>
  <c r="D59" i="12" a="1"/>
  <c r="D59" i="12" s="1"/>
  <c r="D59" i="20" s="1"/>
  <c r="C57" i="12" a="1"/>
  <c r="C57" i="12" s="1"/>
  <c r="B57" i="20" s="1"/>
  <c r="D56" i="12" a="1"/>
  <c r="D56" i="12" s="1"/>
  <c r="D56" i="20" s="1"/>
  <c r="C55" i="12" a="1"/>
  <c r="C55" i="12" s="1"/>
  <c r="B55" i="20" s="1"/>
  <c r="C54" i="12" a="1"/>
  <c r="C54" i="12" s="1"/>
  <c r="B54" i="20" s="1"/>
  <c r="C53" i="12" a="1"/>
  <c r="C53" i="12" s="1"/>
  <c r="B53" i="20" s="1"/>
  <c r="B52" i="12" a="1"/>
  <c r="B52" i="12" s="1"/>
  <c r="C51" i="12" a="1"/>
  <c r="C51" i="12" s="1"/>
  <c r="B51" i="20" s="1"/>
  <c r="B50" i="12" a="1"/>
  <c r="B50" i="12" s="1"/>
  <c r="B49" i="12" a="1"/>
  <c r="B49" i="12" s="1"/>
  <c r="G46" i="12" a="1"/>
  <c r="G46" i="12" s="1"/>
  <c r="G44" i="12" a="1"/>
  <c r="G44" i="12" s="1"/>
  <c r="J44" i="20" s="1"/>
  <c r="G42" i="12" a="1"/>
  <c r="G42" i="12" s="1"/>
  <c r="J42" i="20" s="1"/>
  <c r="G41" i="12" a="1"/>
  <c r="G41" i="12" s="1"/>
  <c r="J41" i="20" s="1"/>
  <c r="G40" i="12" a="1"/>
  <c r="G40" i="12" s="1"/>
  <c r="B39" i="12" a="1"/>
  <c r="B39" i="12" s="1"/>
  <c r="B37" i="12" a="1"/>
  <c r="B37" i="12" s="1"/>
  <c r="B36" i="12" a="1"/>
  <c r="B36" i="12" s="1"/>
  <c r="B35" i="12" a="1"/>
  <c r="B35" i="12" s="1"/>
  <c r="D32" i="12" a="1"/>
  <c r="D32" i="12" s="1"/>
  <c r="D32" i="20" s="1"/>
  <c r="D31" i="12" a="1"/>
  <c r="D31" i="12" s="1"/>
  <c r="D31" i="20" s="1"/>
  <c r="C30" i="12" a="1"/>
  <c r="C30" i="12" s="1"/>
  <c r="D28" i="12" a="1"/>
  <c r="D28" i="12" s="1"/>
  <c r="D28" i="20" s="1"/>
  <c r="B27" i="12" a="1"/>
  <c r="B27" i="12" s="1"/>
  <c r="F25" i="12" a="1"/>
  <c r="F25" i="12" s="1"/>
  <c r="H25" i="20" s="1"/>
  <c r="D24" i="12" a="1"/>
  <c r="D24" i="12" s="1"/>
  <c r="D24" i="20" s="1"/>
  <c r="B23" i="12" a="1"/>
  <c r="B23" i="12" s="1"/>
  <c r="F21" i="12" a="1"/>
  <c r="F21" i="12" s="1"/>
  <c r="H21" i="20" s="1"/>
  <c r="D20" i="12" a="1"/>
  <c r="D20" i="12" s="1"/>
  <c r="D20" i="20" s="1"/>
  <c r="B19" i="12" a="1"/>
  <c r="B19" i="12" s="1"/>
  <c r="F17" i="12" a="1"/>
  <c r="F17" i="12" s="1"/>
  <c r="H17" i="20" s="1"/>
  <c r="D16" i="12" a="1"/>
  <c r="D16" i="12" s="1"/>
  <c r="D16" i="20" s="1"/>
  <c r="B15" i="12" a="1"/>
  <c r="B15" i="12" s="1"/>
  <c r="F13" i="12" a="1"/>
  <c r="F13" i="12" s="1"/>
  <c r="H13" i="20" s="1"/>
  <c r="D12" i="12" a="1"/>
  <c r="D12" i="12" s="1"/>
  <c r="D12" i="20" s="1"/>
  <c r="B11" i="12" a="1"/>
  <c r="B11" i="12" s="1"/>
  <c r="B120" i="12" a="1"/>
  <c r="B120" i="12" s="1"/>
  <c r="E107" i="12" a="1"/>
  <c r="E107" i="12" s="1"/>
  <c r="G107" i="20" s="1"/>
  <c r="D103" i="12" a="1"/>
  <c r="D103" i="12" s="1"/>
  <c r="E103" i="20" s="1"/>
  <c r="F96" i="12" a="1"/>
  <c r="F96" i="12" s="1"/>
  <c r="I96" i="20" s="1"/>
  <c r="F94" i="12" a="1"/>
  <c r="F94" i="12" s="1"/>
  <c r="I94" i="20" s="1"/>
  <c r="F91" i="12" a="1"/>
  <c r="F91" i="12" s="1"/>
  <c r="I91" i="20" s="1"/>
  <c r="E90" i="12" a="1"/>
  <c r="E90" i="12" s="1"/>
  <c r="G90" i="20" s="1"/>
  <c r="D89" i="12" a="1"/>
  <c r="D89" i="12" s="1"/>
  <c r="E89" i="20" s="1"/>
  <c r="E88" i="12" a="1"/>
  <c r="E88" i="12" s="1"/>
  <c r="G88" i="20" s="1"/>
  <c r="D87" i="12" a="1"/>
  <c r="D87" i="12" s="1"/>
  <c r="E87" i="20" s="1"/>
  <c r="D86" i="12" a="1"/>
  <c r="D86" i="12" s="1"/>
  <c r="E86" i="20" s="1"/>
  <c r="C84" i="12" a="1"/>
  <c r="C84" i="12" s="1"/>
  <c r="C82" i="12" a="1"/>
  <c r="C82" i="12" s="1"/>
  <c r="C81" i="12" a="1"/>
  <c r="C81" i="12" s="1"/>
  <c r="B80" i="12" a="1"/>
  <c r="B80" i="12" s="1"/>
  <c r="B79" i="12" a="1"/>
  <c r="B79" i="12" s="1"/>
  <c r="B78" i="12" a="1"/>
  <c r="B78" i="12" s="1"/>
  <c r="G74" i="12" a="1"/>
  <c r="G74" i="12" s="1"/>
  <c r="J74" i="20" s="1"/>
  <c r="G73" i="12" a="1"/>
  <c r="G73" i="12" s="1"/>
  <c r="J73" i="20" s="1"/>
  <c r="G72" i="12" a="1"/>
  <c r="G72" i="12" s="1"/>
  <c r="J72" i="20" s="1"/>
  <c r="F71" i="12" a="1"/>
  <c r="F71" i="12" s="1"/>
  <c r="H71" i="20" s="1"/>
  <c r="F70" i="12" a="1"/>
  <c r="F70" i="12" s="1"/>
  <c r="F68" i="12" a="1"/>
  <c r="F68" i="12" s="1"/>
  <c r="H68" i="20" s="1"/>
  <c r="E66" i="12" a="1"/>
  <c r="E66" i="12" s="1"/>
  <c r="F66" i="20" s="1"/>
  <c r="E65" i="12" a="1"/>
  <c r="E65" i="12" s="1"/>
  <c r="F65" i="20" s="1"/>
  <c r="D64" i="12" a="1"/>
  <c r="D64" i="12" s="1"/>
  <c r="D64" i="20" s="1"/>
  <c r="E63" i="12" a="1"/>
  <c r="E63" i="12" s="1"/>
  <c r="F63" i="20" s="1"/>
  <c r="D62" i="12" a="1"/>
  <c r="D62" i="12" s="1"/>
  <c r="D62" i="20" s="1"/>
  <c r="D61" i="12" a="1"/>
  <c r="D61" i="12" s="1"/>
  <c r="D61" i="20" s="1"/>
  <c r="D60" i="12" a="1"/>
  <c r="D60" i="12" s="1"/>
  <c r="D60" i="20" s="1"/>
  <c r="C59" i="12" a="1"/>
  <c r="C59" i="12" s="1"/>
  <c r="B59" i="20" s="1"/>
  <c r="D58" i="12" a="1"/>
  <c r="D58" i="12" s="1"/>
  <c r="D58" i="20" s="1"/>
  <c r="C56" i="12" a="1"/>
  <c r="C56" i="12" s="1"/>
  <c r="B56" i="20" s="1"/>
  <c r="B54" i="12" a="1"/>
  <c r="B54" i="12" s="1"/>
  <c r="G51" i="12" a="1"/>
  <c r="G51" i="12" s="1"/>
  <c r="J51" i="20" s="1"/>
  <c r="B51" i="12" a="1"/>
  <c r="B51" i="12" s="1"/>
  <c r="G49" i="12" a="1"/>
  <c r="G49" i="12" s="1"/>
  <c r="J49" i="20" s="1"/>
  <c r="G48" i="12" a="1"/>
  <c r="G48" i="12" s="1"/>
  <c r="J48" i="20" s="1"/>
  <c r="G47" i="12" a="1"/>
  <c r="G47" i="12" s="1"/>
  <c r="J47" i="20" s="1"/>
  <c r="F46" i="12" a="1"/>
  <c r="F46" i="12" s="1"/>
  <c r="H46" i="20" s="1"/>
  <c r="G45" i="12" a="1"/>
  <c r="G45" i="12" s="1"/>
  <c r="J45" i="20" s="1"/>
  <c r="F44" i="12" a="1"/>
  <c r="F44" i="12" s="1"/>
  <c r="H44" i="20" s="1"/>
  <c r="G43" i="12" a="1"/>
  <c r="G43" i="12" s="1"/>
  <c r="J43" i="20" s="1"/>
  <c r="F42" i="12" a="1"/>
  <c r="F42" i="12" s="1"/>
  <c r="H42" i="20" s="1"/>
  <c r="F41" i="12" a="1"/>
  <c r="F41" i="12" s="1"/>
  <c r="H41" i="20" s="1"/>
  <c r="F40" i="12" a="1"/>
  <c r="F40" i="12" s="1"/>
  <c r="F39" i="12" a="1"/>
  <c r="F39" i="12" s="1"/>
  <c r="H39" i="20" s="1"/>
  <c r="G38" i="12" a="1"/>
  <c r="G38" i="12" s="1"/>
  <c r="J38" i="20" s="1"/>
  <c r="G37" i="12" a="1"/>
  <c r="G37" i="12" s="1"/>
  <c r="J37" i="20" s="1"/>
  <c r="G36" i="12" a="1"/>
  <c r="G36" i="12" s="1"/>
  <c r="G34" i="12" a="1"/>
  <c r="G34" i="12" s="1"/>
  <c r="J34" i="20" s="1"/>
  <c r="B34" i="12" a="1"/>
  <c r="B34" i="12" s="1"/>
  <c r="C33" i="12" a="1"/>
  <c r="C33" i="12" s="1"/>
  <c r="B33" i="20" s="1"/>
  <c r="C32" i="12" a="1"/>
  <c r="C32" i="12" s="1"/>
  <c r="B32" i="20" s="1"/>
  <c r="C31" i="12" a="1"/>
  <c r="C31" i="12" s="1"/>
  <c r="B31" i="20" s="1"/>
  <c r="B30" i="12" a="1"/>
  <c r="B30" i="12" s="1"/>
  <c r="C29" i="12" a="1"/>
  <c r="C29" i="12" s="1"/>
  <c r="B29" i="20" s="1"/>
  <c r="C28" i="12" a="1"/>
  <c r="C28" i="12" s="1"/>
  <c r="B28" i="20" s="1"/>
  <c r="G26" i="12" a="1"/>
  <c r="G26" i="12" s="1"/>
  <c r="E25" i="12" a="1"/>
  <c r="E25" i="12" s="1"/>
  <c r="F25" i="20" s="1"/>
  <c r="C24" i="12" a="1"/>
  <c r="C24" i="12" s="1"/>
  <c r="B24" i="20" s="1"/>
  <c r="G22" i="12" a="1"/>
  <c r="G22" i="12" s="1"/>
  <c r="J22" i="20" s="1"/>
  <c r="E21" i="12" a="1"/>
  <c r="E21" i="12" s="1"/>
  <c r="F21" i="20" s="1"/>
  <c r="C20" i="12" a="1"/>
  <c r="C20" i="12" s="1"/>
  <c r="G18" i="12" a="1"/>
  <c r="G18" i="12" s="1"/>
  <c r="J18" i="20" s="1"/>
  <c r="E17" i="12" a="1"/>
  <c r="E17" i="12" s="1"/>
  <c r="F17" i="20" s="1"/>
  <c r="G119" i="12" a="1"/>
  <c r="G119" i="12" s="1"/>
  <c r="K119" i="20" s="1"/>
  <c r="F115" i="12" a="1"/>
  <c r="F115" i="12" s="1"/>
  <c r="I115" i="20" s="1"/>
  <c r="F111" i="12" a="1"/>
  <c r="F111" i="12" s="1"/>
  <c r="I111" i="20" s="1"/>
  <c r="D107" i="12" a="1"/>
  <c r="D107" i="12" s="1"/>
  <c r="E107" i="20" s="1"/>
  <c r="C103" i="12" a="1"/>
  <c r="C103" i="12" s="1"/>
  <c r="C99" i="12" a="1"/>
  <c r="C99" i="12" s="1"/>
  <c r="B96" i="12" a="1"/>
  <c r="B96" i="12" s="1"/>
  <c r="E94" i="12" a="1"/>
  <c r="E94" i="12" s="1"/>
  <c r="G94" i="20" s="1"/>
  <c r="G92" i="12" a="1"/>
  <c r="G92" i="12" s="1"/>
  <c r="K92" i="20" s="1"/>
  <c r="E91" i="12" a="1"/>
  <c r="E91" i="12" s="1"/>
  <c r="G91" i="20" s="1"/>
  <c r="C89" i="12" a="1"/>
  <c r="C89" i="12" s="1"/>
  <c r="D88" i="12" a="1"/>
  <c r="D88" i="12" s="1"/>
  <c r="E88" i="20" s="1"/>
  <c r="C87" i="12" a="1"/>
  <c r="C87" i="12" s="1"/>
  <c r="C86" i="12" a="1"/>
  <c r="C86" i="12" s="1"/>
  <c r="C85" i="12" a="1"/>
  <c r="C85" i="12" s="1"/>
  <c r="B84" i="12" a="1"/>
  <c r="B84" i="12" s="1"/>
  <c r="C83" i="12" a="1"/>
  <c r="C83" i="12" s="1"/>
  <c r="B82" i="12" a="1"/>
  <c r="B82" i="12" s="1"/>
  <c r="B81" i="12" a="1"/>
  <c r="B81" i="12" s="1"/>
  <c r="G78" i="12" a="1"/>
  <c r="G78" i="12" s="1"/>
  <c r="J78" i="20" s="1"/>
  <c r="G76" i="12" a="1"/>
  <c r="G76" i="12" s="1"/>
  <c r="J76" i="20" s="1"/>
  <c r="G75" i="12" a="1"/>
  <c r="G75" i="12" s="1"/>
  <c r="J75" i="20" s="1"/>
  <c r="F74" i="12" a="1"/>
  <c r="F74" i="12" s="1"/>
  <c r="H74" i="20" s="1"/>
  <c r="F73" i="12" a="1"/>
  <c r="F73" i="12" s="1"/>
  <c r="H73" i="20" s="1"/>
  <c r="F72" i="12" a="1"/>
  <c r="F72" i="12" s="1"/>
  <c r="H72" i="20" s="1"/>
  <c r="E69" i="12" a="1"/>
  <c r="E69" i="12" s="1"/>
  <c r="F69" i="20" s="1"/>
  <c r="E68" i="12" a="1"/>
  <c r="E68" i="12" s="1"/>
  <c r="F68" i="20" s="1"/>
  <c r="E67" i="12" a="1"/>
  <c r="E67" i="12" s="1"/>
  <c r="F67" i="20" s="1"/>
  <c r="D66" i="12" a="1"/>
  <c r="D66" i="12" s="1"/>
  <c r="D66" i="20" s="1"/>
  <c r="D65" i="12" a="1"/>
  <c r="D65" i="12" s="1"/>
  <c r="D65" i="20" s="1"/>
  <c r="D63" i="12" a="1"/>
  <c r="D63" i="12" s="1"/>
  <c r="D63" i="20" s="1"/>
  <c r="C61" i="12" a="1"/>
  <c r="C61" i="12" s="1"/>
  <c r="B61" i="20" s="1"/>
  <c r="C60" i="12" a="1"/>
  <c r="C60" i="12" s="1"/>
  <c r="B59" i="12" a="1"/>
  <c r="B59" i="12" s="1"/>
  <c r="C58" i="12" a="1"/>
  <c r="C58" i="12" s="1"/>
  <c r="B58" i="20" s="1"/>
  <c r="B57" i="12" a="1"/>
  <c r="B57" i="12" s="1"/>
  <c r="B56" i="12" a="1"/>
  <c r="B56" i="12" s="1"/>
  <c r="B55" i="12" a="1"/>
  <c r="B55" i="12" s="1"/>
  <c r="B119" i="12" a="1"/>
  <c r="B119" i="12" s="1"/>
  <c r="G114" i="12" a="1"/>
  <c r="G114" i="12" s="1"/>
  <c r="K114" i="20" s="1"/>
  <c r="E110" i="12" a="1"/>
  <c r="E110" i="12" s="1"/>
  <c r="G110" i="20" s="1"/>
  <c r="E106" i="12" a="1"/>
  <c r="E106" i="12" s="1"/>
  <c r="G106" i="20" s="1"/>
  <c r="D102" i="12" a="1"/>
  <c r="D102" i="12" s="1"/>
  <c r="E102" i="20" s="1"/>
  <c r="C98" i="12" a="1"/>
  <c r="C98" i="12" s="1"/>
  <c r="F92" i="12" a="1"/>
  <c r="F92" i="12" s="1"/>
  <c r="I92" i="20" s="1"/>
  <c r="D91" i="12" a="1"/>
  <c r="D91" i="12" s="1"/>
  <c r="E91" i="20" s="1"/>
  <c r="D90" i="12" a="1"/>
  <c r="D90" i="12" s="1"/>
  <c r="E90" i="20" s="1"/>
  <c r="C88" i="12" a="1"/>
  <c r="C88" i="12" s="1"/>
  <c r="B86" i="12" a="1"/>
  <c r="B86" i="12" s="1"/>
  <c r="G83" i="12" a="1"/>
  <c r="G83" i="12" s="1"/>
  <c r="K83" i="20" s="1"/>
  <c r="B83" i="12" a="1"/>
  <c r="B83" i="12" s="1"/>
  <c r="G81" i="12" a="1"/>
  <c r="G81" i="12" s="1"/>
  <c r="K81" i="20" s="1"/>
  <c r="G80" i="12" a="1"/>
  <c r="G80" i="12" s="1"/>
  <c r="G79" i="12" a="1"/>
  <c r="G79" i="12" s="1"/>
  <c r="J79" i="20" s="1"/>
  <c r="F78" i="12" a="1"/>
  <c r="F78" i="12" s="1"/>
  <c r="H78" i="20" s="1"/>
  <c r="G77" i="12" a="1"/>
  <c r="G77" i="12" s="1"/>
  <c r="J77" i="20" s="1"/>
  <c r="F76" i="12" a="1"/>
  <c r="F76" i="12" s="1"/>
  <c r="H76" i="20" s="1"/>
  <c r="F75" i="12" a="1"/>
  <c r="F75" i="12" s="1"/>
  <c r="H75" i="20" s="1"/>
  <c r="E73" i="12" a="1"/>
  <c r="E73" i="12" s="1"/>
  <c r="F73" i="20" s="1"/>
  <c r="E71" i="12" a="1"/>
  <c r="E71" i="12" s="1"/>
  <c r="F71" i="20" s="1"/>
  <c r="E70" i="12" a="1"/>
  <c r="E70" i="12" s="1"/>
  <c r="F70" i="20" s="1"/>
  <c r="D69" i="12" a="1"/>
  <c r="D69" i="12" s="1"/>
  <c r="D69" i="20" s="1"/>
  <c r="D68" i="12" a="1"/>
  <c r="D68" i="12" s="1"/>
  <c r="D68" i="20" s="1"/>
  <c r="D67" i="12" a="1"/>
  <c r="D67" i="12" s="1"/>
  <c r="D67" i="20" s="1"/>
  <c r="C64" i="12" a="1"/>
  <c r="C64" i="12" s="1"/>
  <c r="B64" i="20" s="1"/>
  <c r="C63" i="12" a="1"/>
  <c r="C63" i="12" s="1"/>
  <c r="B63" i="20" s="1"/>
  <c r="C62" i="12" a="1"/>
  <c r="C62" i="12" s="1"/>
  <c r="B62" i="20" s="1"/>
  <c r="B61" i="12" a="1"/>
  <c r="B61" i="12" s="1"/>
  <c r="B60" i="12" a="1"/>
  <c r="B60" i="12" s="1"/>
  <c r="B58" i="12" a="1"/>
  <c r="B58" i="12" s="1"/>
  <c r="G55" i="12" a="1"/>
  <c r="G55" i="12" s="1"/>
  <c r="J55" i="20" s="1"/>
  <c r="G54" i="12" a="1"/>
  <c r="G54" i="12" s="1"/>
  <c r="J54" i="20" s="1"/>
  <c r="F53" i="12" a="1"/>
  <c r="F53" i="12" s="1"/>
  <c r="H53" i="20" s="1"/>
  <c r="G52" i="12" a="1"/>
  <c r="G52" i="12" s="1"/>
  <c r="J52" i="20" s="1"/>
  <c r="F51" i="12" a="1"/>
  <c r="F51" i="12" s="1"/>
  <c r="H51" i="20" s="1"/>
  <c r="F50" i="12" a="1"/>
  <c r="F50" i="12" s="1"/>
  <c r="F49" i="12" a="1"/>
  <c r="F49" i="12" s="1"/>
  <c r="H49" i="20" s="1"/>
  <c r="E48" i="12" a="1"/>
  <c r="E48" i="12" s="1"/>
  <c r="F48" i="20" s="1"/>
  <c r="F47" i="12" a="1"/>
  <c r="F47" i="12" s="1"/>
  <c r="H47" i="20" s="1"/>
  <c r="E45" i="12" a="1"/>
  <c r="E45" i="12" s="1"/>
  <c r="F45" i="20" s="1"/>
  <c r="E44" i="12" a="1"/>
  <c r="E44" i="12" s="1"/>
  <c r="F44" i="20" s="1"/>
  <c r="E43" i="12" a="1"/>
  <c r="E43" i="12" s="1"/>
  <c r="F43" i="20" s="1"/>
  <c r="E42" i="12" a="1"/>
  <c r="E42" i="12" s="1"/>
  <c r="F42" i="20" s="1"/>
  <c r="D41" i="12" a="1"/>
  <c r="D41" i="12" s="1"/>
  <c r="D41" i="20" s="1"/>
  <c r="E40" i="12" a="1"/>
  <c r="E40" i="12" s="1"/>
  <c r="F40" i="20" s="1"/>
  <c r="E39" i="12" a="1"/>
  <c r="E39" i="12" s="1"/>
  <c r="F39" i="20" s="1"/>
  <c r="F37" i="12" a="1"/>
  <c r="F37" i="12" s="1"/>
  <c r="H37" i="20" s="1"/>
  <c r="F36" i="12" a="1"/>
  <c r="F36" i="12" s="1"/>
  <c r="F35" i="12" a="1"/>
  <c r="F35" i="12" s="1"/>
  <c r="H35" i="20" s="1"/>
  <c r="F34" i="12" a="1"/>
  <c r="F34" i="12" s="1"/>
  <c r="H34" i="20" s="1"/>
  <c r="G33" i="12" a="1"/>
  <c r="G33" i="12" s="1"/>
  <c r="J33" i="20" s="1"/>
  <c r="G32" i="12" a="1"/>
  <c r="G32" i="12" s="1"/>
  <c r="J32" i="20" s="1"/>
  <c r="G31" i="12" a="1"/>
  <c r="G31" i="12" s="1"/>
  <c r="J31" i="20" s="1"/>
  <c r="B31" i="12" a="1"/>
  <c r="B31" i="12" s="1"/>
  <c r="G29" i="12" a="1"/>
  <c r="G29" i="12" s="1"/>
  <c r="J29" i="20" s="1"/>
  <c r="G27" i="12" a="1"/>
  <c r="G27" i="12" s="1"/>
  <c r="J27" i="20" s="1"/>
  <c r="E26" i="12" a="1"/>
  <c r="E26" i="12" s="1"/>
  <c r="F26" i="20" s="1"/>
  <c r="C25" i="12" a="1"/>
  <c r="C25" i="12" s="1"/>
  <c r="B25" i="20" s="1"/>
  <c r="G23" i="12" a="1"/>
  <c r="G23" i="12" s="1"/>
  <c r="J23" i="20" s="1"/>
  <c r="E22" i="12" a="1"/>
  <c r="E22" i="12" s="1"/>
  <c r="F22" i="20" s="1"/>
  <c r="C21" i="12" a="1"/>
  <c r="C21" i="12" s="1"/>
  <c r="B21" i="20" s="1"/>
  <c r="G19" i="12" a="1"/>
  <c r="G19" i="12" s="1"/>
  <c r="J19" i="20" s="1"/>
  <c r="E18" i="12" a="1"/>
  <c r="E18" i="12" s="1"/>
  <c r="F18" i="20" s="1"/>
  <c r="C17" i="12" a="1"/>
  <c r="C17" i="12" s="1"/>
  <c r="B17" i="20" s="1"/>
  <c r="G15" i="12" a="1"/>
  <c r="G15" i="12" s="1"/>
  <c r="J15" i="20" s="1"/>
  <c r="C122" i="12" a="1"/>
  <c r="C122" i="12" s="1"/>
  <c r="G117" i="12" a="1"/>
  <c r="G117" i="12" s="1"/>
  <c r="K117" i="20" s="1"/>
  <c r="F109" i="12" a="1"/>
  <c r="F109" i="12" s="1"/>
  <c r="I109" i="20" s="1"/>
  <c r="D105" i="12" a="1"/>
  <c r="D105" i="12" s="1"/>
  <c r="E105" i="20" s="1"/>
  <c r="B90" i="12" a="1"/>
  <c r="B90" i="12" s="1"/>
  <c r="G87" i="12" a="1"/>
  <c r="G87" i="12" s="1"/>
  <c r="K87" i="20" s="1"/>
  <c r="G86" i="12" a="1"/>
  <c r="G86" i="12" s="1"/>
  <c r="K86" i="20" s="1"/>
  <c r="F85" i="12" a="1"/>
  <c r="F85" i="12" s="1"/>
  <c r="I85" i="20" s="1"/>
  <c r="G84" i="12" a="1"/>
  <c r="G84" i="12" s="1"/>
  <c r="K84" i="20" s="1"/>
  <c r="F83" i="12" a="1"/>
  <c r="F83" i="12" s="1"/>
  <c r="I83" i="20" s="1"/>
  <c r="F82" i="12" a="1"/>
  <c r="F82" i="12" s="1"/>
  <c r="I82" i="20" s="1"/>
  <c r="F81" i="12" a="1"/>
  <c r="F81" i="12" s="1"/>
  <c r="I81" i="20" s="1"/>
  <c r="E80" i="12" a="1"/>
  <c r="E80" i="12" s="1"/>
  <c r="F80" i="20" s="1"/>
  <c r="F79" i="12" a="1"/>
  <c r="F79" i="12" s="1"/>
  <c r="H79" i="20" s="1"/>
  <c r="E77" i="12" a="1"/>
  <c r="E77" i="12" s="1"/>
  <c r="F77" i="20" s="1"/>
  <c r="D75" i="12" a="1"/>
  <c r="D75" i="12" s="1"/>
  <c r="D75" i="20" s="1"/>
  <c r="C73" i="12" a="1"/>
  <c r="C73" i="12" s="1"/>
  <c r="B73" i="20" s="1"/>
  <c r="D72" i="12" a="1"/>
  <c r="D72" i="12" s="1"/>
  <c r="D72" i="20" s="1"/>
  <c r="C71" i="12" a="1"/>
  <c r="C71" i="12" s="1"/>
  <c r="B71" i="20" s="1"/>
  <c r="C70" i="12" a="1"/>
  <c r="C70" i="12" s="1"/>
  <c r="C69" i="12" a="1"/>
  <c r="C69" i="12" s="1"/>
  <c r="B69" i="20" s="1"/>
  <c r="B68" i="12" a="1"/>
  <c r="B68" i="12" s="1"/>
  <c r="C67" i="12" a="1"/>
  <c r="C67" i="12" s="1"/>
  <c r="B67" i="20" s="1"/>
  <c r="B66" i="12" a="1"/>
  <c r="B66" i="12" s="1"/>
  <c r="B65" i="12" a="1"/>
  <c r="B65" i="12" s="1"/>
  <c r="G62" i="12" a="1"/>
  <c r="G62" i="12" s="1"/>
  <c r="J62" i="20" s="1"/>
  <c r="G60" i="12" a="1"/>
  <c r="G60" i="12" s="1"/>
  <c r="G59" i="12" a="1"/>
  <c r="G59" i="12" s="1"/>
  <c r="J59" i="20" s="1"/>
  <c r="F58" i="12" a="1"/>
  <c r="F58" i="12" s="1"/>
  <c r="H58" i="20" s="1"/>
  <c r="F57" i="12" a="1"/>
  <c r="F57" i="12" s="1"/>
  <c r="H57" i="20" s="1"/>
  <c r="F56" i="12" a="1"/>
  <c r="F56" i="12" s="1"/>
  <c r="H56" i="20" s="1"/>
  <c r="E53" i="12" a="1"/>
  <c r="E53" i="12" s="1"/>
  <c r="F53" i="20" s="1"/>
  <c r="E52" i="12" a="1"/>
  <c r="E52" i="12" s="1"/>
  <c r="F52" i="20" s="1"/>
  <c r="E51" i="12" a="1"/>
  <c r="E51" i="12" s="1"/>
  <c r="F51" i="20" s="1"/>
  <c r="D50" i="12" a="1"/>
  <c r="D50" i="12" s="1"/>
  <c r="D50" i="20" s="1"/>
  <c r="D49" i="12" a="1"/>
  <c r="D49" i="12" s="1"/>
  <c r="D49" i="20" s="1"/>
  <c r="D47" i="12" a="1"/>
  <c r="D47" i="12" s="1"/>
  <c r="D47" i="20" s="1"/>
  <c r="C45" i="12" a="1"/>
  <c r="C45" i="12" s="1"/>
  <c r="B45" i="20" s="1"/>
  <c r="D44" i="12" a="1"/>
  <c r="D44" i="12" s="1"/>
  <c r="D44" i="20" s="1"/>
  <c r="C43" i="12" a="1"/>
  <c r="C43" i="12" s="1"/>
  <c r="B43" i="20" s="1"/>
  <c r="D42" i="12" a="1"/>
  <c r="D42" i="12" s="1"/>
  <c r="D42" i="20" s="1"/>
  <c r="C40" i="12" a="1"/>
  <c r="C40" i="12" s="1"/>
  <c r="D38" i="12" a="1"/>
  <c r="D38" i="12" s="1"/>
  <c r="D38" i="20" s="1"/>
  <c r="D37" i="12" a="1"/>
  <c r="D37" i="12" s="1"/>
  <c r="D37" i="20" s="1"/>
  <c r="D35" i="12" a="1"/>
  <c r="D35" i="12" s="1"/>
  <c r="D35" i="20" s="1"/>
  <c r="F33" i="12" a="1"/>
  <c r="F33" i="12" s="1"/>
  <c r="H33" i="20" s="1"/>
  <c r="F31" i="12" a="1"/>
  <c r="F31" i="12" s="1"/>
  <c r="H31" i="20" s="1"/>
  <c r="F30" i="12" a="1"/>
  <c r="F30" i="12" s="1"/>
  <c r="F28" i="12" a="1"/>
  <c r="F28" i="12" s="1"/>
  <c r="H28" i="20" s="1"/>
  <c r="E27" i="12" a="1"/>
  <c r="E27" i="12" s="1"/>
  <c r="F27" i="20" s="1"/>
  <c r="C26" i="12" a="1"/>
  <c r="C26" i="12" s="1"/>
  <c r="G24" i="12" a="1"/>
  <c r="G24" i="12" s="1"/>
  <c r="J24" i="20" s="1"/>
  <c r="E23" i="12" a="1"/>
  <c r="E23" i="12" s="1"/>
  <c r="F23" i="20" s="1"/>
  <c r="C22" i="12" a="1"/>
  <c r="C22" i="12" s="1"/>
  <c r="B22" i="20" s="1"/>
  <c r="G20" i="12" a="1"/>
  <c r="G20" i="12" s="1"/>
  <c r="E19" i="12" a="1"/>
  <c r="E19" i="12" s="1"/>
  <c r="F19" i="20" s="1"/>
  <c r="C18" i="12" a="1"/>
  <c r="C18" i="12" s="1"/>
  <c r="B18" i="20" s="1"/>
  <c r="G16" i="12" a="1"/>
  <c r="G16" i="12" s="1"/>
  <c r="E15" i="12" a="1"/>
  <c r="E15" i="12" s="1"/>
  <c r="F15" i="20" s="1"/>
  <c r="C14" i="12" a="1"/>
  <c r="C14" i="12" s="1"/>
  <c r="B14" i="20" s="1"/>
  <c r="G12" i="12" a="1"/>
  <c r="G12" i="12" s="1"/>
  <c r="J12" i="20" s="1"/>
  <c r="E11" i="12" a="1"/>
  <c r="E11" i="12" s="1"/>
  <c r="F11" i="20" s="1"/>
  <c r="C10" i="12" a="1"/>
  <c r="C10" i="12" s="1"/>
  <c r="G8" i="12" a="1"/>
  <c r="G8" i="12" s="1"/>
  <c r="J8" i="20" s="1"/>
  <c r="E7" i="12" a="1"/>
  <c r="E7" i="12" s="1"/>
  <c r="C6" i="12" a="1"/>
  <c r="C6" i="12" s="1"/>
  <c r="B122" i="12" a="1"/>
  <c r="B122" i="12" s="1"/>
  <c r="F117" i="12" a="1"/>
  <c r="F117" i="12" s="1"/>
  <c r="I117" i="20" s="1"/>
  <c r="F113" i="12" a="1"/>
  <c r="F113" i="12" s="1"/>
  <c r="I113" i="20" s="1"/>
  <c r="E109" i="12" a="1"/>
  <c r="E109" i="12" s="1"/>
  <c r="G109" i="20" s="1"/>
  <c r="C105" i="12" a="1"/>
  <c r="C105" i="12" s="1"/>
  <c r="C101" i="12" a="1"/>
  <c r="C101" i="12" s="1"/>
  <c r="C97" i="12" a="1"/>
  <c r="C97" i="12" s="1"/>
  <c r="F95" i="12" a="1"/>
  <c r="F95" i="12" s="1"/>
  <c r="I95" i="20" s="1"/>
  <c r="G93" i="12" a="1"/>
  <c r="G93" i="12" s="1"/>
  <c r="K93" i="20" s="1"/>
  <c r="B92" i="12" a="1"/>
  <c r="B92" i="12" s="1"/>
  <c r="G90" i="12" a="1"/>
  <c r="G90" i="12" s="1"/>
  <c r="G89" i="12" a="1"/>
  <c r="G89" i="12" s="1"/>
  <c r="K89" i="20" s="1"/>
  <c r="G88" i="12" a="1"/>
  <c r="G88" i="12" s="1"/>
  <c r="K88" i="20" s="1"/>
  <c r="F87" i="12" a="1"/>
  <c r="F87" i="12" s="1"/>
  <c r="I87" i="20" s="1"/>
  <c r="F86" i="12" a="1"/>
  <c r="F86" i="12" s="1"/>
  <c r="I86" i="20" s="1"/>
  <c r="F84" i="12" a="1"/>
  <c r="F84" i="12" s="1"/>
  <c r="I84" i="20" s="1"/>
  <c r="E82" i="12" a="1"/>
  <c r="E82" i="12" s="1"/>
  <c r="G82" i="20" s="1"/>
  <c r="E81" i="12" a="1"/>
  <c r="E81" i="12" s="1"/>
  <c r="G81" i="20" s="1"/>
  <c r="D80" i="12" a="1"/>
  <c r="D80" i="12" s="1"/>
  <c r="D80" i="20" s="1"/>
  <c r="E79" i="12" a="1"/>
  <c r="E79" i="12" s="1"/>
  <c r="F79" i="20" s="1"/>
  <c r="D78" i="12" a="1"/>
  <c r="D78" i="12" s="1"/>
  <c r="D78" i="20" s="1"/>
  <c r="D77" i="12" a="1"/>
  <c r="D77" i="12" s="1"/>
  <c r="D77" i="20" s="1"/>
  <c r="D76" i="12" a="1"/>
  <c r="D76" i="12" s="1"/>
  <c r="D76" i="20" s="1"/>
  <c r="C75" i="12" a="1"/>
  <c r="C75" i="12" s="1"/>
  <c r="B75" i="20" s="1"/>
  <c r="D74" i="12" a="1"/>
  <c r="D74" i="12" s="1"/>
  <c r="D74" i="20" s="1"/>
  <c r="C72" i="12" a="1"/>
  <c r="C72" i="12" s="1"/>
  <c r="B72" i="20" s="1"/>
  <c r="B70" i="12" a="1"/>
  <c r="B70" i="12" s="1"/>
  <c r="G67" i="12" a="1"/>
  <c r="G67" i="12" s="1"/>
  <c r="J67" i="20" s="1"/>
  <c r="B67" i="12" a="1"/>
  <c r="B67" i="12" s="1"/>
  <c r="G65" i="12" a="1"/>
  <c r="G65" i="12" s="1"/>
  <c r="J65" i="20" s="1"/>
  <c r="G64" i="12" a="1"/>
  <c r="G64" i="12" s="1"/>
  <c r="J64" i="20" s="1"/>
  <c r="G63" i="12" a="1"/>
  <c r="G63" i="12" s="1"/>
  <c r="J63" i="20" s="1"/>
  <c r="F62" i="12" a="1"/>
  <c r="F62" i="12" s="1"/>
  <c r="H62" i="20" s="1"/>
  <c r="G61" i="12" a="1"/>
  <c r="G61" i="12" s="1"/>
  <c r="J61" i="20" s="1"/>
  <c r="F60" i="12" a="1"/>
  <c r="F60" i="12" s="1"/>
  <c r="F59" i="12" a="1"/>
  <c r="F59" i="12" s="1"/>
  <c r="H59" i="20" s="1"/>
  <c r="E57" i="12" a="1"/>
  <c r="E57" i="12" s="1"/>
  <c r="F57" i="20" s="1"/>
  <c r="E55" i="12" a="1"/>
  <c r="E55" i="12" s="1"/>
  <c r="F55" i="20" s="1"/>
  <c r="E54" i="12" a="1"/>
  <c r="E54" i="12" s="1"/>
  <c r="F54" i="20" s="1"/>
  <c r="D53" i="12" a="1"/>
  <c r="D53" i="12" s="1"/>
  <c r="D53" i="20" s="1"/>
  <c r="D52" i="12" a="1"/>
  <c r="D52" i="12" s="1"/>
  <c r="D52" i="20" s="1"/>
  <c r="D51" i="12" a="1"/>
  <c r="D51" i="12" s="1"/>
  <c r="D51" i="20" s="1"/>
  <c r="C48" i="12" a="1"/>
  <c r="C48" i="12" s="1"/>
  <c r="B48" i="20" s="1"/>
  <c r="C47" i="12" a="1"/>
  <c r="C47" i="12" s="1"/>
  <c r="B47" i="20" s="1"/>
  <c r="C46" i="12" a="1"/>
  <c r="C46" i="12" s="1"/>
  <c r="B45" i="12" a="1"/>
  <c r="B45" i="12" s="1"/>
  <c r="C44" i="12" a="1"/>
  <c r="C44" i="12" s="1"/>
  <c r="B44" i="20" s="1"/>
  <c r="B43" i="12" a="1"/>
  <c r="B43" i="12" s="1"/>
  <c r="C42" i="12" a="1"/>
  <c r="C42" i="12" s="1"/>
  <c r="B42" i="20" s="1"/>
  <c r="B41" i="12" a="1"/>
  <c r="B41" i="12" s="1"/>
  <c r="B40" i="12" a="1"/>
  <c r="B40" i="12" s="1"/>
  <c r="C39" i="12" a="1"/>
  <c r="C39" i="12" s="1"/>
  <c r="B39" i="20" s="1"/>
  <c r="C38" i="12" a="1"/>
  <c r="C38" i="12" s="1"/>
  <c r="B38" i="20" s="1"/>
  <c r="C37" i="12" a="1"/>
  <c r="C37" i="12" s="1"/>
  <c r="B37" i="20" s="1"/>
  <c r="D36" i="12" a="1"/>
  <c r="D36" i="12" s="1"/>
  <c r="D36" i="20" s="1"/>
  <c r="D34" i="12" a="1"/>
  <c r="D34" i="12" s="1"/>
  <c r="D34" i="20" s="1"/>
  <c r="E33" i="12" a="1"/>
  <c r="E33" i="12" s="1"/>
  <c r="F33" i="20" s="1"/>
  <c r="E32" i="12" a="1"/>
  <c r="E32" i="12" s="1"/>
  <c r="F32" i="20" s="1"/>
  <c r="E31" i="12" a="1"/>
  <c r="E31" i="12" s="1"/>
  <c r="F31" i="20" s="1"/>
  <c r="E30" i="12" a="1"/>
  <c r="E30" i="12" s="1"/>
  <c r="F30" i="20" s="1"/>
  <c r="E29" i="12" a="1"/>
  <c r="E29" i="12" s="1"/>
  <c r="F29" i="20" s="1"/>
  <c r="D27" i="12" a="1"/>
  <c r="D27" i="12" s="1"/>
  <c r="D27" i="20" s="1"/>
  <c r="B26" i="12" a="1"/>
  <c r="B26" i="12" s="1"/>
  <c r="F24" i="12" a="1"/>
  <c r="F24" i="12" s="1"/>
  <c r="H24" i="20" s="1"/>
  <c r="D23" i="12" a="1"/>
  <c r="D23" i="12" s="1"/>
  <c r="D23" i="20" s="1"/>
  <c r="B22" i="12" a="1"/>
  <c r="B22" i="12" s="1"/>
  <c r="F20" i="12" a="1"/>
  <c r="F20" i="12" s="1"/>
  <c r="C90" i="12" a="1"/>
  <c r="C90" i="12" s="1"/>
  <c r="D73" i="12" a="1"/>
  <c r="D73" i="12" s="1"/>
  <c r="D73" i="20" s="1"/>
  <c r="C65" i="12" a="1"/>
  <c r="C65" i="12" s="1"/>
  <c r="B65" i="20" s="1"/>
  <c r="G56" i="12" a="1"/>
  <c r="G56" i="12" s="1"/>
  <c r="J56" i="20" s="1"/>
  <c r="E47" i="12" a="1"/>
  <c r="E47" i="12" s="1"/>
  <c r="F47" i="20" s="1"/>
  <c r="D43" i="12" a="1"/>
  <c r="D43" i="12" s="1"/>
  <c r="D43" i="20" s="1"/>
  <c r="D39" i="12" a="1"/>
  <c r="D39" i="12" s="1"/>
  <c r="D39" i="20" s="1"/>
  <c r="E35" i="12" a="1"/>
  <c r="E35" i="12" s="1"/>
  <c r="F35" i="20" s="1"/>
  <c r="F27" i="12" a="1"/>
  <c r="F27" i="12" s="1"/>
  <c r="H27" i="20" s="1"/>
  <c r="D22" i="12" a="1"/>
  <c r="D22" i="12" s="1"/>
  <c r="D22" i="20" s="1"/>
  <c r="B18" i="12" a="1"/>
  <c r="B18" i="12" s="1"/>
  <c r="G14" i="12" a="1"/>
  <c r="G14" i="12" s="1"/>
  <c r="J14" i="20" s="1"/>
  <c r="B13" i="12" a="1"/>
  <c r="B13" i="12" s="1"/>
  <c r="G10" i="12" a="1"/>
  <c r="G10" i="12" s="1"/>
  <c r="D9" i="12" a="1"/>
  <c r="D9" i="12" s="1"/>
  <c r="D9" i="20" s="1"/>
  <c r="G7" i="12" a="1"/>
  <c r="G7" i="12" s="1"/>
  <c r="J7" i="20" s="1"/>
  <c r="D6" i="12" a="1"/>
  <c r="D6" i="12" s="1"/>
  <c r="D6" i="20" s="1"/>
  <c r="G125" i="12" a="1"/>
  <c r="G125" i="12" s="1"/>
  <c r="K125" i="20" s="1"/>
  <c r="E125" i="18" a="1"/>
  <c r="E125" i="18" s="1"/>
  <c r="Q125" i="20" s="1"/>
  <c r="B89" i="12" a="1"/>
  <c r="B89" i="12" s="1"/>
  <c r="F80" i="12" a="1"/>
  <c r="F80" i="12" s="1"/>
  <c r="E72" i="12" a="1"/>
  <c r="E72" i="12" s="1"/>
  <c r="F72" i="20" s="1"/>
  <c r="B64" i="12" a="1"/>
  <c r="B64" i="12" s="1"/>
  <c r="F55" i="12" a="1"/>
  <c r="F55" i="12" s="1"/>
  <c r="H55" i="20" s="1"/>
  <c r="G50" i="12" a="1"/>
  <c r="G50" i="12" s="1"/>
  <c r="E46" i="12" a="1"/>
  <c r="E46" i="12" s="1"/>
  <c r="F46" i="20" s="1"/>
  <c r="F38" i="12" a="1"/>
  <c r="F38" i="12" s="1"/>
  <c r="H38" i="20" s="1"/>
  <c r="F26" i="12" a="1"/>
  <c r="F26" i="12" s="1"/>
  <c r="D21" i="12" a="1"/>
  <c r="D21" i="12" s="1"/>
  <c r="D21" i="20" s="1"/>
  <c r="D17" i="12" a="1"/>
  <c r="D17" i="12" s="1"/>
  <c r="D17" i="20" s="1"/>
  <c r="F14" i="12" a="1"/>
  <c r="F14" i="12" s="1"/>
  <c r="H14" i="20" s="1"/>
  <c r="F12" i="12" a="1"/>
  <c r="F12" i="12" s="1"/>
  <c r="H12" i="20" s="1"/>
  <c r="F10" i="12" a="1"/>
  <c r="F10" i="12" s="1"/>
  <c r="C9" i="12" a="1"/>
  <c r="C9" i="12" s="1"/>
  <c r="B9" i="20" s="1"/>
  <c r="F7" i="12" a="1"/>
  <c r="F7" i="12" s="1"/>
  <c r="H7" i="20" s="1"/>
  <c r="B6" i="12" a="1"/>
  <c r="B6" i="12" s="1"/>
  <c r="F125" i="12" a="1"/>
  <c r="F125" i="12" s="1"/>
  <c r="I125" i="20" s="1"/>
  <c r="D125" i="18" a="1"/>
  <c r="D125" i="18" s="1"/>
  <c r="O125" i="20" s="1"/>
  <c r="C102" i="12" a="1"/>
  <c r="C102" i="12" s="1"/>
  <c r="B88" i="12" a="1"/>
  <c r="B88" i="12" s="1"/>
  <c r="D71" i="12" a="1"/>
  <c r="D71" i="12" s="1"/>
  <c r="D71" i="20" s="1"/>
  <c r="B63" i="12" a="1"/>
  <c r="B63" i="12" s="1"/>
  <c r="F54" i="12" a="1"/>
  <c r="F54" i="12" s="1"/>
  <c r="H54" i="20" s="1"/>
  <c r="E50" i="12" a="1"/>
  <c r="E50" i="12" s="1"/>
  <c r="F50" i="20" s="1"/>
  <c r="D46" i="12" a="1"/>
  <c r="D46" i="12" s="1"/>
  <c r="D46" i="20" s="1"/>
  <c r="E38" i="12" a="1"/>
  <c r="E38" i="12" s="1"/>
  <c r="F38" i="20" s="1"/>
  <c r="E34" i="12" a="1"/>
  <c r="E34" i="12" s="1"/>
  <c r="F34" i="20" s="1"/>
  <c r="G30" i="12" a="1"/>
  <c r="G30" i="12" s="1"/>
  <c r="D26" i="12" a="1"/>
  <c r="D26" i="12" s="1"/>
  <c r="D26" i="20" s="1"/>
  <c r="B21" i="12" a="1"/>
  <c r="B21" i="12" s="1"/>
  <c r="B17" i="12" a="1"/>
  <c r="B17" i="12" s="1"/>
  <c r="E14" i="12" a="1"/>
  <c r="E14" i="12" s="1"/>
  <c r="F14" i="20" s="1"/>
  <c r="C12" i="12" a="1"/>
  <c r="C12" i="12" s="1"/>
  <c r="B12" i="20" s="1"/>
  <c r="E10" i="12" a="1"/>
  <c r="E10" i="12" s="1"/>
  <c r="F10" i="20" s="1"/>
  <c r="B9" i="12" a="1"/>
  <c r="B9" i="12" s="1"/>
  <c r="D7" i="12" a="1"/>
  <c r="D7" i="12" s="1"/>
  <c r="D7" i="20" s="1"/>
  <c r="G5" i="12" a="1"/>
  <c r="G5" i="12" s="1"/>
  <c r="E125" i="12" a="1"/>
  <c r="E125" i="12" s="1"/>
  <c r="G125" i="20" s="1"/>
  <c r="C125" i="18" a="1"/>
  <c r="C125" i="18" s="1"/>
  <c r="B98" i="12" a="1"/>
  <c r="B98" i="12" s="1"/>
  <c r="B87" i="12" a="1"/>
  <c r="B87" i="12" s="1"/>
  <c r="E78" i="12" a="1"/>
  <c r="E78" i="12" s="1"/>
  <c r="F78" i="20" s="1"/>
  <c r="D70" i="12" a="1"/>
  <c r="D70" i="12" s="1"/>
  <c r="D70" i="20" s="1"/>
  <c r="B62" i="12" a="1"/>
  <c r="B62" i="12" s="1"/>
  <c r="G53" i="12" a="1"/>
  <c r="G53" i="12" s="1"/>
  <c r="J53" i="20" s="1"/>
  <c r="F45" i="12" a="1"/>
  <c r="F45" i="12" s="1"/>
  <c r="H45" i="20" s="1"/>
  <c r="E41" i="12" a="1"/>
  <c r="E41" i="12" s="1"/>
  <c r="F41" i="20" s="1"/>
  <c r="D25" i="12" a="1"/>
  <c r="D25" i="12" s="1"/>
  <c r="D25" i="20" s="1"/>
  <c r="B20" i="12" a="1"/>
  <c r="B20" i="12" s="1"/>
  <c r="F16" i="12" a="1"/>
  <c r="F16" i="12" s="1"/>
  <c r="D14" i="12" a="1"/>
  <c r="D14" i="12" s="1"/>
  <c r="D14" i="20" s="1"/>
  <c r="B12" i="12" a="1"/>
  <c r="B12" i="12" s="1"/>
  <c r="D10" i="12" a="1"/>
  <c r="D10" i="12" s="1"/>
  <c r="D10" i="20" s="1"/>
  <c r="F8" i="12" a="1"/>
  <c r="F8" i="12" s="1"/>
  <c r="H8" i="20" s="1"/>
  <c r="C7" i="12" a="1"/>
  <c r="C7" i="12" s="1"/>
  <c r="F5" i="12" a="1"/>
  <c r="F5" i="12" s="1"/>
  <c r="D125" i="12" a="1"/>
  <c r="D125" i="12" s="1"/>
  <c r="E125" i="20" s="1"/>
  <c r="G95" i="12" a="1"/>
  <c r="G95" i="12" s="1"/>
  <c r="K95" i="20" s="1"/>
  <c r="G85" i="12" a="1"/>
  <c r="G85" i="12" s="1"/>
  <c r="K85" i="20" s="1"/>
  <c r="F77" i="12" a="1"/>
  <c r="F77" i="12" s="1"/>
  <c r="H77" i="20" s="1"/>
  <c r="E49" i="12" a="1"/>
  <c r="E49" i="12" s="1"/>
  <c r="F49" i="20" s="1"/>
  <c r="D45" i="12" a="1"/>
  <c r="D45" i="12" s="1"/>
  <c r="D45" i="20" s="1"/>
  <c r="C41" i="12" a="1"/>
  <c r="C41" i="12" s="1"/>
  <c r="B41" i="20" s="1"/>
  <c r="E37" i="12" a="1"/>
  <c r="E37" i="12" s="1"/>
  <c r="F37" i="20" s="1"/>
  <c r="F29" i="12" a="1"/>
  <c r="F29" i="12" s="1"/>
  <c r="H29" i="20" s="1"/>
  <c r="B25" i="12" a="1"/>
  <c r="B25" i="12" s="1"/>
  <c r="F19" i="12" a="1"/>
  <c r="F19" i="12" s="1"/>
  <c r="H19" i="20" s="1"/>
  <c r="C16" i="12" a="1"/>
  <c r="C16" i="12" s="1"/>
  <c r="B14" i="12" a="1"/>
  <c r="B14" i="12" s="1"/>
  <c r="G11" i="12" a="1"/>
  <c r="G11" i="12" s="1"/>
  <c r="J11" i="20" s="1"/>
  <c r="B10" i="12" a="1"/>
  <c r="B10" i="12" s="1"/>
  <c r="E8" i="12" a="1"/>
  <c r="E8" i="12" s="1"/>
  <c r="F8" i="20" s="1"/>
  <c r="B7" i="12" a="1"/>
  <c r="B7" i="12" s="1"/>
  <c r="E5" i="12" a="1"/>
  <c r="E5" i="12" s="1"/>
  <c r="C125" i="12" a="1"/>
  <c r="C125" i="12" s="1"/>
  <c r="B94" i="12" a="1"/>
  <c r="B94" i="12" s="1"/>
  <c r="B85" i="12" a="1"/>
  <c r="B85" i="12" s="1"/>
  <c r="E76" i="12" a="1"/>
  <c r="E76" i="12" s="1"/>
  <c r="F76" i="20" s="1"/>
  <c r="C68" i="12" a="1"/>
  <c r="C68" i="12" s="1"/>
  <c r="B68" i="20" s="1"/>
  <c r="B53" i="12" a="1"/>
  <c r="B53" i="12" s="1"/>
  <c r="F48" i="12" a="1"/>
  <c r="F48" i="12" s="1"/>
  <c r="H48" i="20" s="1"/>
  <c r="B33" i="12" a="1"/>
  <c r="B33" i="12" s="1"/>
  <c r="B29" i="12" a="1"/>
  <c r="B29" i="12" s="1"/>
  <c r="B24" i="12" a="1"/>
  <c r="B24" i="12" s="1"/>
  <c r="D19" i="12" a="1"/>
  <c r="D19" i="12" s="1"/>
  <c r="D19" i="20" s="1"/>
  <c r="B16" i="12" a="1"/>
  <c r="B16" i="12" s="1"/>
  <c r="E13" i="12" a="1"/>
  <c r="E13" i="12" s="1"/>
  <c r="F13" i="20" s="1"/>
  <c r="F11" i="12" a="1"/>
  <c r="F11" i="12" s="1"/>
  <c r="H11" i="20" s="1"/>
  <c r="G9" i="12" a="1"/>
  <c r="G9" i="12" s="1"/>
  <c r="J9" i="20" s="1"/>
  <c r="D8" i="12" a="1"/>
  <c r="D8" i="12" s="1"/>
  <c r="D8" i="20" s="1"/>
  <c r="G6" i="12" a="1"/>
  <c r="G6" i="12" s="1"/>
  <c r="D5" i="12" a="1"/>
  <c r="D5" i="12" s="1"/>
  <c r="B125" i="12" a="1"/>
  <c r="B125" i="12" s="1"/>
  <c r="G118" i="12" a="1"/>
  <c r="G118" i="12" s="1"/>
  <c r="K118" i="20" s="1"/>
  <c r="E92" i="12" a="1"/>
  <c r="E92" i="12" s="1"/>
  <c r="G92" i="20" s="1"/>
  <c r="E75" i="12" a="1"/>
  <c r="E75" i="12" s="1"/>
  <c r="F75" i="20" s="1"/>
  <c r="G58" i="12" a="1"/>
  <c r="G58" i="12" s="1"/>
  <c r="J58" i="20" s="1"/>
  <c r="F52" i="12" a="1"/>
  <c r="F52" i="12" s="1"/>
  <c r="H52" i="20" s="1"/>
  <c r="D48" i="12" a="1"/>
  <c r="D48" i="12" s="1"/>
  <c r="D48" i="20" s="1"/>
  <c r="D40" i="12" a="1"/>
  <c r="D40" i="12" s="1"/>
  <c r="D40" i="20" s="1"/>
  <c r="E36" i="12" a="1"/>
  <c r="E36" i="12" s="1"/>
  <c r="F36" i="20" s="1"/>
  <c r="F32" i="12" a="1"/>
  <c r="F32" i="12" s="1"/>
  <c r="H32" i="20" s="1"/>
  <c r="G28" i="12" a="1"/>
  <c r="G28" i="12" s="1"/>
  <c r="J28" i="20" s="1"/>
  <c r="F23" i="12" a="1"/>
  <c r="F23" i="12" s="1"/>
  <c r="H23" i="20" s="1"/>
  <c r="F18" i="12" a="1"/>
  <c r="F18" i="12" s="1"/>
  <c r="H18" i="20" s="1"/>
  <c r="F15" i="12" a="1"/>
  <c r="F15" i="12" s="1"/>
  <c r="H15" i="20" s="1"/>
  <c r="D13" i="12" a="1"/>
  <c r="D13" i="12" s="1"/>
  <c r="D13" i="20" s="1"/>
  <c r="D11" i="12" a="1"/>
  <c r="D11" i="12" s="1"/>
  <c r="D11" i="20" s="1"/>
  <c r="F9" i="12" a="1"/>
  <c r="F9" i="12" s="1"/>
  <c r="H9" i="20" s="1"/>
  <c r="C8" i="12" a="1"/>
  <c r="C8" i="12" s="1"/>
  <c r="B8" i="20" s="1"/>
  <c r="F6" i="12" a="1"/>
  <c r="F6" i="12" s="1"/>
  <c r="C5" i="12" a="1"/>
  <c r="C5" i="12" s="1"/>
  <c r="G125" i="18" a="1"/>
  <c r="G125" i="18" s="1"/>
  <c r="U125" i="20" s="1"/>
  <c r="E74" i="12" a="1"/>
  <c r="E74" i="12" s="1"/>
  <c r="F74" i="20" s="1"/>
  <c r="B32" i="12" a="1"/>
  <c r="B32" i="12" s="1"/>
  <c r="B8" i="12" a="1"/>
  <c r="B8" i="12" s="1"/>
  <c r="C66" i="12" a="1"/>
  <c r="C66" i="12" s="1"/>
  <c r="B66" i="20" s="1"/>
  <c r="B28" i="12" a="1"/>
  <c r="B28" i="12" s="1"/>
  <c r="E6" i="12" a="1"/>
  <c r="E6" i="12" s="1"/>
  <c r="G57" i="12" a="1"/>
  <c r="G57" i="12" s="1"/>
  <c r="J57" i="20" s="1"/>
  <c r="F22" i="12" a="1"/>
  <c r="F22" i="12" s="1"/>
  <c r="H22" i="20" s="1"/>
  <c r="B5" i="12" a="1"/>
  <c r="B5" i="12" s="1"/>
  <c r="D18" i="12" a="1"/>
  <c r="D18" i="12" s="1"/>
  <c r="D18" i="20" s="1"/>
  <c r="F125" i="18" a="1"/>
  <c r="F125" i="18" s="1"/>
  <c r="S125" i="20" s="1"/>
  <c r="D15" i="12" a="1"/>
  <c r="D15" i="12" s="1"/>
  <c r="D15" i="20" s="1"/>
  <c r="G35" i="12" a="1"/>
  <c r="G35" i="12" s="1"/>
  <c r="J35" i="20" s="1"/>
  <c r="F114" i="12" a="1"/>
  <c r="F114" i="12" s="1"/>
  <c r="I114" i="20" s="1"/>
  <c r="F43" i="12" a="1"/>
  <c r="F43" i="12" s="1"/>
  <c r="H43" i="20" s="1"/>
  <c r="C13" i="12" a="1"/>
  <c r="C13" i="12" s="1"/>
  <c r="B13" i="20" s="1"/>
  <c r="G82" i="12" a="1"/>
  <c r="G82" i="12" s="1"/>
  <c r="K82" i="20" s="1"/>
  <c r="B91" i="12" a="1"/>
  <c r="B91" i="12" s="1"/>
  <c r="C11" i="12" a="1"/>
  <c r="C11" i="12" s="1"/>
  <c r="B11" i="20" s="1"/>
  <c r="E9" i="12" a="1"/>
  <c r="E9" i="12" s="1"/>
  <c r="D116" i="24" a="1"/>
  <c r="D116" i="24" s="1"/>
  <c r="B95" i="24" a="1"/>
  <c r="B95" i="24" s="1"/>
  <c r="B82" i="24" a="1"/>
  <c r="B82" i="24" s="1"/>
  <c r="D33" i="24" a="1"/>
  <c r="D33" i="24" s="1"/>
  <c r="G119" i="24" a="1"/>
  <c r="G119" i="24" s="1"/>
  <c r="C116" i="24" a="1"/>
  <c r="C116" i="24" s="1"/>
  <c r="F98" i="24" a="1"/>
  <c r="F98" i="24" s="1"/>
  <c r="D76" i="24" a="1"/>
  <c r="D76" i="24" s="1"/>
  <c r="C125" i="24" a="1"/>
  <c r="C125" i="24" s="1"/>
  <c r="B116" i="24" a="1"/>
  <c r="B116" i="24" s="1"/>
  <c r="F94" i="24" a="1"/>
  <c r="F94" i="24" s="1"/>
  <c r="B99" i="24" a="1"/>
  <c r="B99" i="24" s="1"/>
  <c r="D98" i="24" a="1"/>
  <c r="D98" i="24" s="1"/>
  <c r="C8" i="24" a="1"/>
  <c r="C8" i="24" s="1"/>
  <c r="E100" i="24" a="1"/>
  <c r="E100" i="24" s="1"/>
  <c r="B119" i="24" a="1"/>
  <c r="B119" i="24" s="1"/>
  <c r="C109" i="24" a="1"/>
  <c r="C109" i="24" s="1"/>
  <c r="B32" i="24" a="1"/>
  <c r="B32" i="24" s="1"/>
  <c r="G23" i="24" a="1"/>
  <c r="G23" i="24" s="1"/>
  <c r="B17" i="24" a="1"/>
  <c r="B17" i="24" s="1"/>
  <c r="E11" i="24" a="1"/>
  <c r="E11" i="24" s="1"/>
  <c r="B43" i="24" a="1"/>
  <c r="B43" i="24" s="1"/>
  <c r="E37" i="24" a="1"/>
  <c r="E37" i="24" s="1"/>
  <c r="B115" i="24" a="1"/>
  <c r="B115" i="24" s="1"/>
  <c r="B96" i="24" a="1"/>
  <c r="B96" i="24" s="1"/>
  <c r="F62" i="24" a="1"/>
  <c r="F62" i="24" s="1"/>
  <c r="F112" i="24" a="1"/>
  <c r="F112" i="24" s="1"/>
  <c r="D112" i="24" a="1"/>
  <c r="D112" i="24" s="1"/>
  <c r="B91" i="24" a="1"/>
  <c r="B91" i="24" s="1"/>
  <c r="B89" i="24" a="1"/>
  <c r="B89" i="24" s="1"/>
  <c r="G90" i="24" a="1"/>
  <c r="G90" i="24" s="1"/>
  <c r="F122" i="24" a="1"/>
  <c r="F122" i="24" s="1"/>
  <c r="C93" i="24" a="1"/>
  <c r="C93" i="24" s="1"/>
  <c r="D109" i="24" a="1"/>
  <c r="D109" i="24" s="1"/>
  <c r="G97" i="24" a="1"/>
  <c r="G97" i="24" s="1"/>
  <c r="D21" i="24" a="1"/>
  <c r="D21" i="24" s="1"/>
  <c r="C13" i="24" a="1"/>
  <c r="C13" i="24" s="1"/>
  <c r="D6" i="24" a="1"/>
  <c r="D6" i="24" s="1"/>
  <c r="D71" i="24" a="1"/>
  <c r="D71" i="24" s="1"/>
  <c r="E32" i="24" a="1"/>
  <c r="E32" i="24" s="1"/>
  <c r="B7" i="24" a="1"/>
  <c r="B7" i="24" s="1"/>
  <c r="F17" i="24" a="1"/>
  <c r="F17" i="24" s="1"/>
  <c r="D28" i="24" a="1"/>
  <c r="D28" i="24" s="1"/>
  <c r="G38" i="24" a="1"/>
  <c r="G38" i="24" s="1"/>
  <c r="E49" i="24" a="1"/>
  <c r="E49" i="24" s="1"/>
  <c r="G59" i="24" a="1"/>
  <c r="G59" i="24" s="1"/>
  <c r="B71" i="24" a="1"/>
  <c r="B71" i="24" s="1"/>
  <c r="D82" i="24" a="1"/>
  <c r="D82" i="24" s="1"/>
  <c r="E12" i="24" a="1"/>
  <c r="E12" i="24" s="1"/>
  <c r="C23" i="24" a="1"/>
  <c r="C23" i="24" s="1"/>
  <c r="F33" i="24" a="1"/>
  <c r="F33" i="24" s="1"/>
  <c r="D44" i="24" a="1"/>
  <c r="D44" i="24" s="1"/>
  <c r="F8" i="24" a="1"/>
  <c r="F8" i="24" s="1"/>
  <c r="D19" i="24" a="1"/>
  <c r="D19" i="24" s="1"/>
  <c r="B30" i="24" a="1"/>
  <c r="B30" i="24" s="1"/>
  <c r="G41" i="24" a="1"/>
  <c r="G41" i="24" s="1"/>
  <c r="E52" i="24" a="1"/>
  <c r="E52" i="24" s="1"/>
  <c r="G62" i="24" a="1"/>
  <c r="G62" i="24" s="1"/>
  <c r="E72" i="24" a="1"/>
  <c r="E72" i="24" s="1"/>
  <c r="G12" i="24" a="1"/>
  <c r="G12" i="24" s="1"/>
  <c r="E23" i="24" a="1"/>
  <c r="E23" i="24" s="1"/>
  <c r="B34" i="24" a="1"/>
  <c r="B34" i="24" s="1"/>
  <c r="F44" i="24" a="1"/>
  <c r="F44" i="24" s="1"/>
  <c r="D55" i="24" a="1"/>
  <c r="D55" i="24" s="1"/>
  <c r="G67" i="24" a="1"/>
  <c r="G67" i="24" s="1"/>
  <c r="G77" i="24" a="1"/>
  <c r="G77" i="24" s="1"/>
  <c r="F7" i="24" a="1"/>
  <c r="F7" i="24" s="1"/>
  <c r="D18" i="24" a="1"/>
  <c r="D18" i="24" s="1"/>
  <c r="B29" i="24" a="1"/>
  <c r="B29" i="24" s="1"/>
  <c r="E39" i="24" a="1"/>
  <c r="E39" i="24" s="1"/>
  <c r="C50" i="24" a="1"/>
  <c r="C50" i="24" s="1"/>
  <c r="G61" i="24" a="1"/>
  <c r="G61" i="24" s="1"/>
  <c r="G72" i="24" a="1"/>
  <c r="G72" i="24" s="1"/>
  <c r="E85" i="24" a="1"/>
  <c r="E85" i="24" s="1"/>
  <c r="E14" i="24" a="1"/>
  <c r="E14" i="24" s="1"/>
  <c r="C25" i="24" a="1"/>
  <c r="C25" i="24" s="1"/>
  <c r="F35" i="24" a="1"/>
  <c r="F35" i="24" s="1"/>
  <c r="D46" i="24" a="1"/>
  <c r="D46" i="24" s="1"/>
  <c r="G56" i="24" a="1"/>
  <c r="G56" i="24" s="1"/>
  <c r="B68" i="24" a="1"/>
  <c r="B68" i="24" s="1"/>
  <c r="D79" i="24" a="1"/>
  <c r="D79" i="24" s="1"/>
  <c r="B12" i="24" a="1"/>
  <c r="B12" i="24" s="1"/>
  <c r="F22" i="24" a="1"/>
  <c r="F22" i="24" s="1"/>
  <c r="C33" i="24" a="1"/>
  <c r="C33" i="24" s="1"/>
  <c r="G43" i="24" a="1"/>
  <c r="G43" i="24" s="1"/>
  <c r="E54" i="24" a="1"/>
  <c r="E54" i="24" s="1"/>
  <c r="E64" i="24" a="1"/>
  <c r="E64" i="24" s="1"/>
  <c r="D74" i="24" a="1"/>
  <c r="D74" i="24" s="1"/>
  <c r="F69" i="24" a="1"/>
  <c r="F69" i="24" s="1"/>
  <c r="C89" i="24" a="1"/>
  <c r="C89" i="24" s="1"/>
  <c r="C99" i="24" a="1"/>
  <c r="C99" i="24" s="1"/>
  <c r="D110" i="24" a="1"/>
  <c r="D110" i="24" s="1"/>
  <c r="C120" i="24" a="1"/>
  <c r="C120" i="24" s="1"/>
  <c r="D123" i="24" a="1"/>
  <c r="D123" i="24" s="1"/>
  <c r="C16" i="24" a="1"/>
  <c r="C16" i="24" s="1"/>
  <c r="G74" i="24" a="1"/>
  <c r="G74" i="24" s="1"/>
  <c r="E90" i="24" a="1"/>
  <c r="E90" i="24" s="1"/>
  <c r="D100" i="24" a="1"/>
  <c r="D100" i="24" s="1"/>
  <c r="E110" i="24" a="1"/>
  <c r="E110" i="24" s="1"/>
  <c r="D120" i="24" a="1"/>
  <c r="D120" i="24" s="1"/>
  <c r="C24" i="24" a="1"/>
  <c r="C24" i="24" s="1"/>
  <c r="E17" i="24" a="1"/>
  <c r="E17" i="24" s="1"/>
  <c r="D78" i="24" a="1"/>
  <c r="D78" i="24" s="1"/>
  <c r="B92" i="24" a="1"/>
  <c r="B92" i="24" s="1"/>
  <c r="G101" i="24" a="1"/>
  <c r="G101" i="24" s="1"/>
  <c r="E114" i="24" a="1"/>
  <c r="E114" i="24" s="1"/>
  <c r="D8" i="24" a="1"/>
  <c r="D8" i="24" s="1"/>
  <c r="B19" i="24" a="1"/>
  <c r="B19" i="24" s="1"/>
  <c r="F29" i="24" a="1"/>
  <c r="F29" i="24" s="1"/>
  <c r="C40" i="24" a="1"/>
  <c r="C40" i="24" s="1"/>
  <c r="G50" i="24" a="1"/>
  <c r="G50" i="24" s="1"/>
  <c r="C61" i="24" a="1"/>
  <c r="C61" i="24" s="1"/>
  <c r="C72" i="24" a="1"/>
  <c r="C72" i="24" s="1"/>
  <c r="F83" i="24" a="1"/>
  <c r="F83" i="24" s="1"/>
  <c r="G13" i="24" a="1"/>
  <c r="G13" i="24" s="1"/>
  <c r="E24" i="24" a="1"/>
  <c r="E24" i="24" s="1"/>
  <c r="B35" i="24" a="1"/>
  <c r="B35" i="24" s="1"/>
  <c r="F45" i="24" a="1"/>
  <c r="F45" i="24" s="1"/>
  <c r="B10" i="24" a="1"/>
  <c r="B10" i="24" s="1"/>
  <c r="F20" i="24" a="1"/>
  <c r="F20" i="24" s="1"/>
  <c r="D31" i="24" a="1"/>
  <c r="D31" i="24" s="1"/>
  <c r="C43" i="24" a="1"/>
  <c r="C43" i="24" s="1"/>
  <c r="G53" i="24" a="1"/>
  <c r="G53" i="24" s="1"/>
  <c r="B64" i="24" a="1"/>
  <c r="B64" i="24" s="1"/>
  <c r="F73" i="24" a="1"/>
  <c r="F73" i="24" s="1"/>
  <c r="C14" i="24" a="1"/>
  <c r="C14" i="24" s="1"/>
  <c r="G24" i="24" a="1"/>
  <c r="G24" i="24" s="1"/>
  <c r="D35" i="24" a="1"/>
  <c r="D35" i="24" s="1"/>
  <c r="B46" i="24" a="1"/>
  <c r="B46" i="24" s="1"/>
  <c r="G57" i="24" a="1"/>
  <c r="G57" i="24" s="1"/>
  <c r="B69" i="24" a="1"/>
  <c r="B69" i="24" s="1"/>
  <c r="B79" i="24" a="1"/>
  <c r="B79" i="24" s="1"/>
  <c r="B9" i="24" a="1"/>
  <c r="B9" i="24" s="1"/>
  <c r="F19" i="24" a="1"/>
  <c r="F19" i="24" s="1"/>
  <c r="D30" i="24" a="1"/>
  <c r="D30" i="24" s="1"/>
  <c r="G40" i="24" a="1"/>
  <c r="G40" i="24" s="1"/>
  <c r="E51" i="24" a="1"/>
  <c r="E51" i="24" s="1"/>
  <c r="B63" i="24" a="1"/>
  <c r="B63" i="24" s="1"/>
  <c r="B74" i="24" a="1"/>
  <c r="B74" i="24" s="1"/>
  <c r="F86" i="24" a="1"/>
  <c r="F86" i="24" s="1"/>
  <c r="G15" i="24" a="1"/>
  <c r="G15" i="24" s="1"/>
  <c r="E26" i="24" a="1"/>
  <c r="E26" i="24" s="1"/>
  <c r="B37" i="24" a="1"/>
  <c r="B37" i="24" s="1"/>
  <c r="F47" i="24" a="1"/>
  <c r="F47" i="24" s="1"/>
  <c r="C58" i="24" a="1"/>
  <c r="C58" i="24" s="1"/>
  <c r="D69" i="24" a="1"/>
  <c r="D69" i="24" s="1"/>
  <c r="E80" i="24" a="1"/>
  <c r="E80" i="24" s="1"/>
  <c r="D13" i="24" a="1"/>
  <c r="D13" i="24" s="1"/>
  <c r="B24" i="24" a="1"/>
  <c r="B24" i="24" s="1"/>
  <c r="E34" i="24" a="1"/>
  <c r="E34" i="24" s="1"/>
  <c r="C45" i="24" a="1"/>
  <c r="C45" i="24" s="1"/>
  <c r="G55" i="24" a="1"/>
  <c r="G55" i="24" s="1"/>
  <c r="G65" i="24" a="1"/>
  <c r="G65" i="24" s="1"/>
  <c r="G14" i="24" a="1"/>
  <c r="G14" i="24" s="1"/>
  <c r="E74" i="24" a="1"/>
  <c r="E74" i="24" s="1"/>
  <c r="D90" i="24" a="1"/>
  <c r="D90" i="24" s="1"/>
  <c r="E101" i="24" a="1"/>
  <c r="E101" i="24" s="1"/>
  <c r="F111" i="24" a="1"/>
  <c r="F111" i="24" s="1"/>
  <c r="E121" i="24" a="1"/>
  <c r="E121" i="24" s="1"/>
  <c r="E13" i="24" a="1"/>
  <c r="E13" i="24" s="1"/>
  <c r="G26" i="24" a="1"/>
  <c r="G26" i="24" s="1"/>
  <c r="F77" i="24" a="1"/>
  <c r="F77" i="24" s="1"/>
  <c r="G91" i="24" a="1"/>
  <c r="G91" i="24" s="1"/>
  <c r="F101" i="24" a="1"/>
  <c r="F101" i="24" s="1"/>
  <c r="G111" i="24" a="1"/>
  <c r="G111" i="24" s="1"/>
  <c r="F121" i="24" a="1"/>
  <c r="F121" i="24" s="1"/>
  <c r="F53" i="24" a="1"/>
  <c r="F53" i="24" s="1"/>
  <c r="F9" i="24" a="1"/>
  <c r="F9" i="24" s="1"/>
  <c r="D20" i="24" a="1"/>
  <c r="D20" i="24" s="1"/>
  <c r="B31" i="24" a="1"/>
  <c r="B31" i="24" s="1"/>
  <c r="E41" i="24" a="1"/>
  <c r="E41" i="24" s="1"/>
  <c r="C52" i="24" a="1"/>
  <c r="C52" i="24" s="1"/>
  <c r="E62" i="24" a="1"/>
  <c r="E62" i="24" s="1"/>
  <c r="D73" i="24" a="1"/>
  <c r="D73" i="24" s="1"/>
  <c r="G84" i="24" a="1"/>
  <c r="G84" i="24" s="1"/>
  <c r="C15" i="24" a="1"/>
  <c r="C15" i="24" s="1"/>
  <c r="G25" i="24" a="1"/>
  <c r="G25" i="24" s="1"/>
  <c r="D36" i="24" a="1"/>
  <c r="D36" i="24" s="1"/>
  <c r="B47" i="24" a="1"/>
  <c r="B47" i="24" s="1"/>
  <c r="D11" i="24" a="1"/>
  <c r="D11" i="24" s="1"/>
  <c r="B22" i="24" a="1"/>
  <c r="B22" i="24" s="1"/>
  <c r="G33" i="24" a="1"/>
  <c r="G33" i="24" s="1"/>
  <c r="E44" i="24" a="1"/>
  <c r="E44" i="24" s="1"/>
  <c r="C55" i="24" a="1"/>
  <c r="C55" i="24" s="1"/>
  <c r="C65" i="24" a="1"/>
  <c r="C65" i="24" s="1"/>
  <c r="B75" i="24" a="1"/>
  <c r="B75" i="24" s="1"/>
  <c r="E15" i="24" a="1"/>
  <c r="E15" i="24" s="1"/>
  <c r="C26" i="24" a="1"/>
  <c r="C26" i="24" s="1"/>
  <c r="F36" i="24" a="1"/>
  <c r="F36" i="24" s="1"/>
  <c r="D47" i="24" a="1"/>
  <c r="D47" i="24" s="1"/>
  <c r="C59" i="24" a="1"/>
  <c r="C59" i="24" s="1"/>
  <c r="C70" i="24" a="1"/>
  <c r="C70" i="24" s="1"/>
  <c r="D80" i="24" a="1"/>
  <c r="D80" i="24" s="1"/>
  <c r="D10" i="24" a="1"/>
  <c r="D10" i="24" s="1"/>
  <c r="B21" i="24" a="1"/>
  <c r="B21" i="24" s="1"/>
  <c r="F31" i="24" a="1"/>
  <c r="F31" i="24" s="1"/>
  <c r="C42" i="24" a="1"/>
  <c r="C42" i="24" s="1"/>
  <c r="G52" i="24" a="1"/>
  <c r="G52" i="24" s="1"/>
  <c r="D64" i="24" a="1"/>
  <c r="D64" i="24" s="1"/>
  <c r="D75" i="24" a="1"/>
  <c r="D75" i="24" s="1"/>
  <c r="E6" i="24" a="1"/>
  <c r="E6" i="24" s="1"/>
  <c r="C17" i="24" a="1"/>
  <c r="C17" i="24" s="1"/>
  <c r="G27" i="24" a="1"/>
  <c r="G27" i="24" s="1"/>
  <c r="D38" i="24" a="1"/>
  <c r="D38" i="24" s="1"/>
  <c r="B49" i="24" a="1"/>
  <c r="B49" i="24" s="1"/>
  <c r="D59" i="24" a="1"/>
  <c r="D59" i="24" s="1"/>
  <c r="E70" i="24" a="1"/>
  <c r="E70" i="24" s="1"/>
  <c r="G81" i="24" a="1"/>
  <c r="G81" i="24" s="1"/>
  <c r="F14" i="24" a="1"/>
  <c r="F14" i="24" s="1"/>
  <c r="D25" i="24" a="1"/>
  <c r="D25" i="24" s="1"/>
  <c r="G35" i="24" a="1"/>
  <c r="G35" i="24" s="1"/>
  <c r="E46" i="24" a="1"/>
  <c r="E46" i="24" s="1"/>
  <c r="B57" i="24" a="1"/>
  <c r="B57" i="24" s="1"/>
  <c r="B67" i="24" a="1"/>
  <c r="B67" i="24" s="1"/>
  <c r="E25" i="24" a="1"/>
  <c r="E25" i="24" s="1"/>
  <c r="E77" i="24" a="1"/>
  <c r="E77" i="24" s="1"/>
  <c r="F91" i="24" a="1"/>
  <c r="F91" i="24" s="1"/>
  <c r="G102" i="24" a="1"/>
  <c r="G102" i="24" s="1"/>
  <c r="B113" i="24" a="1"/>
  <c r="B113" i="24" s="1"/>
  <c r="G122" i="24" a="1"/>
  <c r="G122" i="24" s="1"/>
  <c r="G58" i="24" a="1"/>
  <c r="G58" i="24" s="1"/>
  <c r="D37" i="24" a="1"/>
  <c r="D37" i="24" s="1"/>
  <c r="C80" i="24" a="1"/>
  <c r="C80" i="24" s="1"/>
  <c r="B93" i="24" a="1"/>
  <c r="B93" i="24" s="1"/>
  <c r="B103" i="24" a="1"/>
  <c r="B103" i="24" s="1"/>
  <c r="C113" i="24" a="1"/>
  <c r="C113" i="24" s="1"/>
  <c r="B123" i="24" a="1"/>
  <c r="B123" i="24" s="1"/>
  <c r="F79" i="24" a="1"/>
  <c r="F79" i="24" s="1"/>
  <c r="F38" i="24" a="1"/>
  <c r="F38" i="24" s="1"/>
  <c r="D83" i="24" a="1"/>
  <c r="D83" i="24" s="1"/>
  <c r="D94" i="24" a="1"/>
  <c r="D94" i="24" s="1"/>
  <c r="E104" i="24" a="1"/>
  <c r="E104" i="24" s="1"/>
  <c r="G116" i="24" a="1"/>
  <c r="G116" i="24" s="1"/>
  <c r="G63" i="24" a="1"/>
  <c r="G63" i="24" s="1"/>
  <c r="E29" i="24" a="1"/>
  <c r="E29" i="24" s="1"/>
  <c r="E78" i="24" a="1"/>
  <c r="E78" i="24" s="1"/>
  <c r="C92" i="24" a="1"/>
  <c r="C92" i="24" s="1"/>
  <c r="B102" i="24" a="1"/>
  <c r="B102" i="24" s="1"/>
  <c r="D113" i="24" a="1"/>
  <c r="D113" i="24" s="1"/>
  <c r="G107" i="24" a="1"/>
  <c r="G107" i="24" s="1"/>
  <c r="C57" i="24" a="1"/>
  <c r="C57" i="24" s="1"/>
  <c r="D87" i="24" a="1"/>
  <c r="D87" i="24" s="1"/>
  <c r="E98" i="24" a="1"/>
  <c r="E98" i="24" s="1"/>
  <c r="F109" i="24" a="1"/>
  <c r="F109" i="24" s="1"/>
  <c r="E119" i="24" a="1"/>
  <c r="E119" i="24" s="1"/>
  <c r="E106" i="24" a="1"/>
  <c r="E106" i="24" s="1"/>
  <c r="F97" i="24" a="1"/>
  <c r="F97" i="24" s="1"/>
  <c r="D52" i="24" a="1"/>
  <c r="D52" i="24" s="1"/>
  <c r="B84" i="24" a="1"/>
  <c r="B84" i="24" s="1"/>
  <c r="B11" i="24" a="1"/>
  <c r="B11" i="24" s="1"/>
  <c r="F21" i="24" a="1"/>
  <c r="F21" i="24" s="1"/>
  <c r="D32" i="24" a="1"/>
  <c r="D32" i="24" s="1"/>
  <c r="G42" i="24" a="1"/>
  <c r="G42" i="24" s="1"/>
  <c r="E53" i="24" a="1"/>
  <c r="E53" i="24" s="1"/>
  <c r="F63" i="24" a="1"/>
  <c r="F63" i="24" s="1"/>
  <c r="F74" i="24" a="1"/>
  <c r="F74" i="24" s="1"/>
  <c r="B86" i="24" a="1"/>
  <c r="B86" i="24" s="1"/>
  <c r="E16" i="24" a="1"/>
  <c r="E16" i="24" s="1"/>
  <c r="C27" i="24" a="1"/>
  <c r="C27" i="24" s="1"/>
  <c r="F37" i="24" a="1"/>
  <c r="F37" i="24" s="1"/>
  <c r="D48" i="24" a="1"/>
  <c r="D48" i="24" s="1"/>
  <c r="F12" i="24" a="1"/>
  <c r="F12" i="24" s="1"/>
  <c r="D23" i="24" a="1"/>
  <c r="D23" i="24" s="1"/>
  <c r="C35" i="24" a="1"/>
  <c r="C35" i="24" s="1"/>
  <c r="G45" i="24" a="1"/>
  <c r="G45" i="24" s="1"/>
  <c r="E56" i="24" a="1"/>
  <c r="E56" i="24" s="1"/>
  <c r="D66" i="24" a="1"/>
  <c r="D66" i="24" s="1"/>
  <c r="C6" i="24" a="1"/>
  <c r="C6" i="24" s="1"/>
  <c r="G16" i="24" a="1"/>
  <c r="G16" i="24" s="1"/>
  <c r="E27" i="24" a="1"/>
  <c r="E27" i="24" s="1"/>
  <c r="B38" i="24" a="1"/>
  <c r="B38" i="24" s="1"/>
  <c r="F48" i="24" a="1"/>
  <c r="F48" i="24" s="1"/>
  <c r="D60" i="24" a="1"/>
  <c r="D60" i="24" s="1"/>
  <c r="E71" i="24" a="1"/>
  <c r="E71" i="24" s="1"/>
  <c r="E81" i="24" a="1"/>
  <c r="E81" i="24" s="1"/>
  <c r="F11" i="24" a="1"/>
  <c r="F11" i="24" s="1"/>
  <c r="D22" i="24" a="1"/>
  <c r="D22" i="24" s="1"/>
  <c r="G32" i="24" a="1"/>
  <c r="G32" i="24" s="1"/>
  <c r="E43" i="24" a="1"/>
  <c r="E43" i="24" s="1"/>
  <c r="C54" i="24" a="1"/>
  <c r="C54" i="24" s="1"/>
  <c r="E65" i="24" a="1"/>
  <c r="E65" i="24" s="1"/>
  <c r="F76" i="24" a="1"/>
  <c r="F76" i="24" s="1"/>
  <c r="G7" i="24" a="1"/>
  <c r="G7" i="24" s="1"/>
  <c r="E18" i="24" a="1"/>
  <c r="E18" i="24" s="1"/>
  <c r="C29" i="24" a="1"/>
  <c r="C29" i="24" s="1"/>
  <c r="F39" i="24" a="1"/>
  <c r="F39" i="24" s="1"/>
  <c r="D50" i="24" a="1"/>
  <c r="D50" i="24" s="1"/>
  <c r="F60" i="24" a="1"/>
  <c r="F60" i="24" s="1"/>
  <c r="B73" i="24" a="1"/>
  <c r="B73" i="24" s="1"/>
  <c r="C83" i="24" a="1"/>
  <c r="C83" i="24" s="1"/>
  <c r="B16" i="24" a="1"/>
  <c r="B16" i="24" s="1"/>
  <c r="F26" i="24" a="1"/>
  <c r="F26" i="24" s="1"/>
  <c r="C37" i="24" a="1"/>
  <c r="C37" i="24" s="1"/>
  <c r="G47" i="24" a="1"/>
  <c r="G47" i="24" s="1"/>
  <c r="D58" i="24" a="1"/>
  <c r="D58" i="24" s="1"/>
  <c r="C68" i="24" a="1"/>
  <c r="C68" i="24" s="1"/>
  <c r="B36" i="24" a="1"/>
  <c r="B36" i="24" s="1"/>
  <c r="B80" i="24" a="1"/>
  <c r="B80" i="24" s="1"/>
  <c r="G92" i="24" a="1"/>
  <c r="G92" i="24" s="1"/>
  <c r="C104" i="24" a="1"/>
  <c r="C104" i="24" s="1"/>
  <c r="C114" i="24" a="1"/>
  <c r="C114" i="24" s="1"/>
  <c r="C124" i="24" a="1"/>
  <c r="C124" i="24" s="1"/>
  <c r="C82" i="24" a="1"/>
  <c r="C82" i="24" s="1"/>
  <c r="B48" i="24" a="1"/>
  <c r="B48" i="24" s="1"/>
  <c r="F82" i="24" a="1"/>
  <c r="F82" i="24" s="1"/>
  <c r="C94" i="24" a="1"/>
  <c r="C94" i="24" s="1"/>
  <c r="D104" i="24" a="1"/>
  <c r="D104" i="24" s="1"/>
  <c r="D114" i="24" a="1"/>
  <c r="D114" i="24" s="1"/>
  <c r="D124" i="24" a="1"/>
  <c r="D124" i="24" s="1"/>
  <c r="F92" i="24" a="1"/>
  <c r="F92" i="24" s="1"/>
  <c r="D49" i="24" a="1"/>
  <c r="D49" i="24" s="1"/>
  <c r="C85" i="24" a="1"/>
  <c r="C85" i="24" s="1"/>
  <c r="E95" i="24" a="1"/>
  <c r="E95" i="24" s="1"/>
  <c r="G105" i="24" a="1"/>
  <c r="G105" i="24" s="1"/>
  <c r="B118" i="24" a="1"/>
  <c r="B118" i="24" s="1"/>
  <c r="E84" i="24" a="1"/>
  <c r="E84" i="24" s="1"/>
  <c r="B40" i="24" a="1"/>
  <c r="B40" i="24" s="1"/>
  <c r="G80" i="24" a="1"/>
  <c r="G80" i="24" s="1"/>
  <c r="D93" i="24" a="1"/>
  <c r="D93" i="24" s="1"/>
  <c r="D103" i="24" a="1"/>
  <c r="D103" i="24" s="1"/>
  <c r="F114" i="24" a="1"/>
  <c r="F114" i="24" s="1"/>
  <c r="C115" i="24" a="1"/>
  <c r="C115" i="24" s="1"/>
  <c r="D62" i="24" a="1"/>
  <c r="D62" i="24" s="1"/>
  <c r="E88" i="24" a="1"/>
  <c r="E88" i="24" s="1"/>
  <c r="G99" i="24" a="1"/>
  <c r="G99" i="24" s="1"/>
  <c r="B111" i="24" a="1"/>
  <c r="B111" i="24" s="1"/>
  <c r="G120" i="24" a="1"/>
  <c r="G120" i="24" s="1"/>
  <c r="G108" i="24" a="1"/>
  <c r="G108" i="24" s="1"/>
  <c r="D105" i="24" a="1"/>
  <c r="D105" i="24" s="1"/>
  <c r="E57" i="24" a="1"/>
  <c r="E57" i="24" s="1"/>
  <c r="G85" i="24" a="1"/>
  <c r="G85" i="24" s="1"/>
  <c r="D97" i="24" a="1"/>
  <c r="D97" i="24" s="1"/>
  <c r="F108" i="24" a="1"/>
  <c r="F108" i="24" s="1"/>
  <c r="F119" i="24" a="1"/>
  <c r="F119" i="24" s="1"/>
  <c r="D12" i="24" a="1"/>
  <c r="D12" i="24" s="1"/>
  <c r="B23" i="24" a="1"/>
  <c r="B23" i="24" s="1"/>
  <c r="E33" i="24" a="1"/>
  <c r="E33" i="24" s="1"/>
  <c r="C44" i="24" a="1"/>
  <c r="C44" i="24" s="1"/>
  <c r="G54" i="24" a="1"/>
  <c r="G54" i="24" s="1"/>
  <c r="G64" i="24" a="1"/>
  <c r="G64" i="24" s="1"/>
  <c r="B76" i="24" a="1"/>
  <c r="B76" i="24" s="1"/>
  <c r="C7" i="24" a="1"/>
  <c r="C7" i="24" s="1"/>
  <c r="G17" i="24" a="1"/>
  <c r="G17" i="24" s="1"/>
  <c r="E28" i="24" a="1"/>
  <c r="E28" i="24" s="1"/>
  <c r="B39" i="24" a="1"/>
  <c r="B39" i="24" s="1"/>
  <c r="F49" i="24" a="1"/>
  <c r="F49" i="24" s="1"/>
  <c r="B14" i="24" a="1"/>
  <c r="B14" i="24" s="1"/>
  <c r="F24" i="24" a="1"/>
  <c r="F24" i="24" s="1"/>
  <c r="E36" i="24" a="1"/>
  <c r="E36" i="24" s="1"/>
  <c r="C47" i="24" a="1"/>
  <c r="C47" i="24" s="1"/>
  <c r="F57" i="24" a="1"/>
  <c r="F57" i="24" s="1"/>
  <c r="F67" i="24" a="1"/>
  <c r="F67" i="24" s="1"/>
  <c r="E7" i="24" a="1"/>
  <c r="E7" i="24" s="1"/>
  <c r="C18" i="24" a="1"/>
  <c r="C18" i="24" s="1"/>
  <c r="G28" i="24" a="1"/>
  <c r="G28" i="24" s="1"/>
  <c r="D39" i="24" a="1"/>
  <c r="D39" i="24" s="1"/>
  <c r="B50" i="24" a="1"/>
  <c r="B50" i="24" s="1"/>
  <c r="F61" i="24" a="1"/>
  <c r="F61" i="24" s="1"/>
  <c r="F72" i="24" a="1"/>
  <c r="F72" i="24" s="1"/>
  <c r="G82" i="24" a="1"/>
  <c r="G82" i="24" s="1"/>
  <c r="B13" i="24" a="1"/>
  <c r="B13" i="24" s="1"/>
  <c r="F23" i="24" a="1"/>
  <c r="F23" i="24" s="1"/>
  <c r="C34" i="24" a="1"/>
  <c r="C34" i="24" s="1"/>
  <c r="G44" i="24" a="1"/>
  <c r="G44" i="24" s="1"/>
  <c r="E55" i="24" a="1"/>
  <c r="E55" i="24" s="1"/>
  <c r="F66" i="24" a="1"/>
  <c r="F66" i="24" s="1"/>
  <c r="B78" i="24" a="1"/>
  <c r="B78" i="24" s="1"/>
  <c r="C9" i="24" a="1"/>
  <c r="C9" i="24" s="1"/>
  <c r="G19" i="24" a="1"/>
  <c r="G19" i="24" s="1"/>
  <c r="E30" i="24" a="1"/>
  <c r="E30" i="24" s="1"/>
  <c r="B41" i="24" a="1"/>
  <c r="B41" i="24" s="1"/>
  <c r="F51" i="24" a="1"/>
  <c r="F51" i="24" s="1"/>
  <c r="B62" i="24" a="1"/>
  <c r="B62" i="24" s="1"/>
  <c r="C74" i="24" a="1"/>
  <c r="C74" i="24" s="1"/>
  <c r="F6" i="24" a="1"/>
  <c r="F6" i="24" s="1"/>
  <c r="D17" i="24" a="1"/>
  <c r="D17" i="24" s="1"/>
  <c r="B28" i="24" a="1"/>
  <c r="B28" i="24" s="1"/>
  <c r="E38" i="24" a="1"/>
  <c r="E38" i="24" s="1"/>
  <c r="C49" i="24" a="1"/>
  <c r="C49" i="24" s="1"/>
  <c r="E59" i="24" a="1"/>
  <c r="E59" i="24" s="1"/>
  <c r="E69" i="24" a="1"/>
  <c r="E69" i="24" s="1"/>
  <c r="F46" i="24" a="1"/>
  <c r="F46" i="24" s="1"/>
  <c r="E82" i="24" a="1"/>
  <c r="E82" i="24" s="1"/>
  <c r="B94" i="24" a="1"/>
  <c r="B94" i="24" s="1"/>
  <c r="E105" i="24" a="1"/>
  <c r="E105" i="24" s="1"/>
  <c r="D115" i="24" a="1"/>
  <c r="D115" i="24" s="1"/>
  <c r="E125" i="24" a="1"/>
  <c r="E125" i="24" s="1"/>
  <c r="E91" i="24" a="1"/>
  <c r="E91" i="24" s="1"/>
  <c r="B55" i="24" a="1"/>
  <c r="B55" i="24" s="1"/>
  <c r="B85" i="24" a="1"/>
  <c r="B85" i="24" s="1"/>
  <c r="D95" i="24" a="1"/>
  <c r="D95" i="24" s="1"/>
  <c r="F105" i="24" a="1"/>
  <c r="F105" i="24" s="1"/>
  <c r="E115" i="24" a="1"/>
  <c r="E115" i="24" s="1"/>
  <c r="F125" i="24" a="1"/>
  <c r="F125" i="24" s="1"/>
  <c r="F102" i="24" a="1"/>
  <c r="F102" i="24" s="1"/>
  <c r="B56" i="24" a="1"/>
  <c r="B56" i="24" s="1"/>
  <c r="B87" i="24" a="1"/>
  <c r="B87" i="24" s="1"/>
  <c r="G96" i="24" a="1"/>
  <c r="G96" i="24" s="1"/>
  <c r="D108" i="24" a="1"/>
  <c r="D108" i="24" s="1"/>
  <c r="C119" i="24" a="1"/>
  <c r="C119" i="24" s="1"/>
  <c r="D96" i="24" a="1"/>
  <c r="D96" i="24" s="1"/>
  <c r="F50" i="24" a="1"/>
  <c r="F50" i="24" s="1"/>
  <c r="E83" i="24" a="1"/>
  <c r="E83" i="24" s="1"/>
  <c r="E94" i="24" a="1"/>
  <c r="E94" i="24" s="1"/>
  <c r="F104" i="24" a="1"/>
  <c r="F104" i="24" s="1"/>
  <c r="D119" i="24" a="1"/>
  <c r="D119" i="24" s="1"/>
  <c r="D125" i="24" a="1"/>
  <c r="D125" i="24" s="1"/>
  <c r="C67" i="24" a="1"/>
  <c r="C67" i="24" s="1"/>
  <c r="F13" i="24" a="1"/>
  <c r="F13" i="24" s="1"/>
  <c r="D24" i="24" a="1"/>
  <c r="D24" i="24" s="1"/>
  <c r="G34" i="24" a="1"/>
  <c r="G34" i="24" s="1"/>
  <c r="E45" i="24" a="1"/>
  <c r="E45" i="24" s="1"/>
  <c r="C56" i="24" a="1"/>
  <c r="C56" i="24" s="1"/>
  <c r="B66" i="24" a="1"/>
  <c r="B66" i="24" s="1"/>
  <c r="D77" i="24" a="1"/>
  <c r="D77" i="24" s="1"/>
  <c r="E8" i="24" a="1"/>
  <c r="E8" i="24" s="1"/>
  <c r="C19" i="24" a="1"/>
  <c r="C19" i="24" s="1"/>
  <c r="G29" i="24" a="1"/>
  <c r="G29" i="24" s="1"/>
  <c r="D40" i="24" a="1"/>
  <c r="D40" i="24" s="1"/>
  <c r="B51" i="24" a="1"/>
  <c r="B51" i="24" s="1"/>
  <c r="D15" i="24" a="1"/>
  <c r="D15" i="24" s="1"/>
  <c r="B26" i="24" a="1"/>
  <c r="B26" i="24" s="1"/>
  <c r="G37" i="24" a="1"/>
  <c r="G37" i="24" s="1"/>
  <c r="E48" i="24" a="1"/>
  <c r="E48" i="24" s="1"/>
  <c r="B59" i="24" a="1"/>
  <c r="B59" i="24" s="1"/>
  <c r="G68" i="24" a="1"/>
  <c r="G68" i="24" s="1"/>
  <c r="G8" i="24" a="1"/>
  <c r="G8" i="24" s="1"/>
  <c r="E19" i="24" a="1"/>
  <c r="E19" i="24" s="1"/>
  <c r="C30" i="24" a="1"/>
  <c r="C30" i="24" s="1"/>
  <c r="F40" i="24" a="1"/>
  <c r="F40" i="24" s="1"/>
  <c r="D51" i="24" a="1"/>
  <c r="D51" i="24" s="1"/>
  <c r="C64" i="24" a="1"/>
  <c r="C64" i="24" s="1"/>
  <c r="G73" i="24" a="1"/>
  <c r="G73" i="24" s="1"/>
  <c r="C84" i="24" a="1"/>
  <c r="C84" i="24" s="1"/>
  <c r="D14" i="24" a="1"/>
  <c r="D14" i="24" s="1"/>
  <c r="B25" i="24" a="1"/>
  <c r="B25" i="24" s="1"/>
  <c r="E35" i="24" a="1"/>
  <c r="E35" i="24" s="1"/>
  <c r="C46" i="24" a="1"/>
  <c r="C46" i="24" s="1"/>
  <c r="F56" i="24" a="1"/>
  <c r="F56" i="24" s="1"/>
  <c r="C69" i="24" a="1"/>
  <c r="C69" i="24" s="1"/>
  <c r="C79" i="24" a="1"/>
  <c r="C79" i="24" s="1"/>
  <c r="E10" i="24" a="1"/>
  <c r="E10" i="24" s="1"/>
  <c r="C21" i="24" a="1"/>
  <c r="C21" i="24" s="1"/>
  <c r="G31" i="24" a="1"/>
  <c r="G31" i="24" s="1"/>
  <c r="D42" i="24" a="1"/>
  <c r="D42" i="24" s="1"/>
  <c r="B53" i="24" a="1"/>
  <c r="B53" i="24" s="1"/>
  <c r="C63" i="24" a="1"/>
  <c r="C63" i="24" s="1"/>
  <c r="E75" i="24" a="1"/>
  <c r="E75" i="24" s="1"/>
  <c r="B8" i="24" a="1"/>
  <c r="B8" i="24" s="1"/>
  <c r="F18" i="24" a="1"/>
  <c r="F18" i="24" s="1"/>
  <c r="D29" i="24" a="1"/>
  <c r="D29" i="24" s="1"/>
  <c r="G39" i="24" a="1"/>
  <c r="G39" i="24" s="1"/>
  <c r="E50" i="24" a="1"/>
  <c r="E50" i="24" s="1"/>
  <c r="G60" i="24" a="1"/>
  <c r="G60" i="24" s="1"/>
  <c r="F70" i="24" a="1"/>
  <c r="F70" i="24" s="1"/>
  <c r="F54" i="24" a="1"/>
  <c r="F54" i="24" s="1"/>
  <c r="F84" i="24" a="1"/>
  <c r="F84" i="24" s="1"/>
  <c r="C95" i="24" a="1"/>
  <c r="C95" i="24" s="1"/>
  <c r="G106" i="24" a="1"/>
  <c r="G106" i="24" s="1"/>
  <c r="E116" i="24" a="1"/>
  <c r="E116" i="24" s="1"/>
  <c r="G121" i="24" a="1"/>
  <c r="G121" i="24" s="1"/>
  <c r="D101" i="24" a="1"/>
  <c r="D101" i="24" s="1"/>
  <c r="B60" i="24" a="1"/>
  <c r="B60" i="24" s="1"/>
  <c r="G86" i="24" a="1"/>
  <c r="G86" i="24" s="1"/>
  <c r="F96" i="24" a="1"/>
  <c r="F96" i="24" s="1"/>
  <c r="B107" i="24" a="1"/>
  <c r="B107" i="24" s="1"/>
  <c r="F116" i="24" a="1"/>
  <c r="F116" i="24" s="1"/>
  <c r="E124" i="24" a="1"/>
  <c r="E124" i="24" s="1"/>
  <c r="E111" i="24" a="1"/>
  <c r="E111" i="24" s="1"/>
  <c r="B61" i="24" a="1"/>
  <c r="B61" i="24" s="1"/>
  <c r="C88" i="24" a="1"/>
  <c r="C88" i="24" s="1"/>
  <c r="C98" i="24" a="1"/>
  <c r="C98" i="24" s="1"/>
  <c r="E109" i="24" a="1"/>
  <c r="E109" i="24" s="1"/>
  <c r="E120" i="24" a="1"/>
  <c r="E120" i="24" s="1"/>
  <c r="B104" i="24" a="1"/>
  <c r="B104" i="24" s="1"/>
  <c r="D56" i="24" a="1"/>
  <c r="D56" i="24" s="1"/>
  <c r="F85" i="24" a="1"/>
  <c r="F85" i="24" s="1"/>
  <c r="F95" i="24" a="1"/>
  <c r="F95" i="24" s="1"/>
  <c r="B106" i="24" a="1"/>
  <c r="B106" i="24" s="1"/>
  <c r="F124" i="24" a="1"/>
  <c r="F124" i="24" s="1"/>
  <c r="E9" i="24" a="1"/>
  <c r="E9" i="24" s="1"/>
  <c r="B72" i="24" a="1"/>
  <c r="B72" i="24" s="1"/>
  <c r="D92" i="24" a="1"/>
  <c r="D92" i="24" s="1"/>
  <c r="C102" i="24" a="1"/>
  <c r="C102" i="24" s="1"/>
  <c r="E113" i="24" a="1"/>
  <c r="E113" i="24" s="1"/>
  <c r="E123" i="24" a="1"/>
  <c r="E123" i="24" s="1"/>
  <c r="D117" i="24" a="1"/>
  <c r="D117" i="24" s="1"/>
  <c r="B124" i="24" a="1"/>
  <c r="B124" i="24" s="1"/>
  <c r="E67" i="24" a="1"/>
  <c r="E67" i="24" s="1"/>
  <c r="F88" i="24" a="1"/>
  <c r="F88" i="24" s="1"/>
  <c r="B101" i="24" a="1"/>
  <c r="B101" i="24" s="1"/>
  <c r="C111" i="24" a="1"/>
  <c r="C111" i="24" s="1"/>
  <c r="D122" i="24" a="1"/>
  <c r="D122" i="24" s="1"/>
  <c r="G123" i="24" a="1"/>
  <c r="G123" i="24" s="1"/>
  <c r="B15" i="24" a="1"/>
  <c r="B15" i="24" s="1"/>
  <c r="F25" i="24" a="1"/>
  <c r="F25" i="24" s="1"/>
  <c r="C36" i="24" a="1"/>
  <c r="C36" i="24" s="1"/>
  <c r="G46" i="24" a="1"/>
  <c r="G46" i="24" s="1"/>
  <c r="D57" i="24" a="1"/>
  <c r="D57" i="24" s="1"/>
  <c r="D67" i="24" a="1"/>
  <c r="D67" i="24" s="1"/>
  <c r="G79" i="24" a="1"/>
  <c r="G79" i="24" s="1"/>
  <c r="G9" i="24" a="1"/>
  <c r="G9" i="24" s="1"/>
  <c r="E20" i="24" a="1"/>
  <c r="E20" i="24" s="1"/>
  <c r="C31" i="24" a="1"/>
  <c r="C31" i="24" s="1"/>
  <c r="F41" i="24" a="1"/>
  <c r="F41" i="24" s="1"/>
  <c r="B6" i="24" a="1"/>
  <c r="B6" i="24" s="1"/>
  <c r="F16" i="24" a="1"/>
  <c r="F16" i="24" s="1"/>
  <c r="D27" i="24" a="1"/>
  <c r="D27" i="24" s="1"/>
  <c r="C39" i="24" a="1"/>
  <c r="C39" i="24" s="1"/>
  <c r="G49" i="24" a="1"/>
  <c r="G49" i="24" s="1"/>
  <c r="C60" i="24" a="1"/>
  <c r="C60" i="24" s="1"/>
  <c r="B70" i="24" a="1"/>
  <c r="B70" i="24" s="1"/>
  <c r="C10" i="24" a="1"/>
  <c r="C10" i="24" s="1"/>
  <c r="G20" i="24" a="1"/>
  <c r="G20" i="24" s="1"/>
  <c r="E31" i="24" a="1"/>
  <c r="E31" i="24" s="1"/>
  <c r="B42" i="24" a="1"/>
  <c r="B42" i="24" s="1"/>
  <c r="F52" i="24" a="1"/>
  <c r="F52" i="24" s="1"/>
  <c r="D65" i="24" a="1"/>
  <c r="D65" i="24" s="1"/>
  <c r="C75" i="24" a="1"/>
  <c r="C75" i="24" s="1"/>
  <c r="D85" i="24" a="1"/>
  <c r="D85" i="24" s="1"/>
  <c r="F15" i="24" a="1"/>
  <c r="F15" i="24" s="1"/>
  <c r="D26" i="24" a="1"/>
  <c r="D26" i="24" s="1"/>
  <c r="G36" i="24" a="1"/>
  <c r="G36" i="24" s="1"/>
  <c r="E47" i="24" a="1"/>
  <c r="E47" i="24" s="1"/>
  <c r="B58" i="24" a="1"/>
  <c r="B58" i="24" s="1"/>
  <c r="D70" i="24" a="1"/>
  <c r="D70" i="24" s="1"/>
  <c r="F81" i="24" a="1"/>
  <c r="F81" i="24" s="1"/>
  <c r="G11" i="24" a="1"/>
  <c r="G11" i="24" s="1"/>
  <c r="E22" i="24" a="1"/>
  <c r="E22" i="24" s="1"/>
  <c r="B33" i="24" a="1"/>
  <c r="B33" i="24" s="1"/>
  <c r="F43" i="24" a="1"/>
  <c r="F43" i="24" s="1"/>
  <c r="D54" i="24" a="1"/>
  <c r="D54" i="24" s="1"/>
  <c r="F65" i="24" a="1"/>
  <c r="F65" i="24" s="1"/>
  <c r="G76" i="24" a="1"/>
  <c r="G76" i="24" s="1"/>
  <c r="D9" i="24" a="1"/>
  <c r="D9" i="24" s="1"/>
  <c r="B20" i="24" a="1"/>
  <c r="B20" i="24" s="1"/>
  <c r="F30" i="24" a="1"/>
  <c r="F30" i="24" s="1"/>
  <c r="C41" i="24" a="1"/>
  <c r="C41" i="24" s="1"/>
  <c r="G51" i="24" a="1"/>
  <c r="G51" i="24" s="1"/>
  <c r="C62" i="24" a="1"/>
  <c r="C62" i="24" s="1"/>
  <c r="G71" i="24" a="1"/>
  <c r="G71" i="24" s="1"/>
  <c r="F59" i="24" a="1"/>
  <c r="F59" i="24" s="1"/>
  <c r="E86" i="24" a="1"/>
  <c r="E86" i="24" s="1"/>
  <c r="E96" i="24" a="1"/>
  <c r="E96" i="24" s="1"/>
  <c r="B108" i="24" a="1"/>
  <c r="B108" i="24" s="1"/>
  <c r="F117" i="24" a="1"/>
  <c r="F117" i="24" s="1"/>
  <c r="G125" i="24" a="1"/>
  <c r="G125" i="24" s="1"/>
  <c r="C110" i="24" a="1"/>
  <c r="C110" i="24" s="1"/>
  <c r="B65" i="24" a="1"/>
  <c r="B65" i="24" s="1"/>
  <c r="B88" i="24" a="1"/>
  <c r="B88" i="24" s="1"/>
  <c r="B98" i="24" a="1"/>
  <c r="B98" i="24" s="1"/>
  <c r="C108" i="24" a="1"/>
  <c r="C108" i="24" s="1"/>
  <c r="G117" i="24" a="1"/>
  <c r="G117" i="24" s="1"/>
  <c r="B117" i="24" a="1"/>
  <c r="B117" i="24" s="1"/>
  <c r="D121" i="24" a="1"/>
  <c r="D121" i="24" s="1"/>
  <c r="G70" i="24" a="1"/>
  <c r="G70" i="24" s="1"/>
  <c r="E89" i="24" a="1"/>
  <c r="E89" i="24" s="1"/>
  <c r="E99" i="24" a="1"/>
  <c r="E99" i="24" s="1"/>
  <c r="F110" i="24" a="1"/>
  <c r="F110" i="24" s="1"/>
  <c r="C123" i="24" a="1"/>
  <c r="C123" i="24" s="1"/>
  <c r="G112" i="24" a="1"/>
  <c r="G112" i="24" s="1"/>
  <c r="D61" i="24" a="1"/>
  <c r="D61" i="24" s="1"/>
  <c r="C87" i="24" a="1"/>
  <c r="C87" i="24" s="1"/>
  <c r="B97" i="24" a="1"/>
  <c r="B97" i="24" s="1"/>
  <c r="C107" i="24" a="1"/>
  <c r="C107" i="24" s="1"/>
  <c r="F34" i="24" a="1"/>
  <c r="F34" i="24" s="1"/>
  <c r="C20" i="24" a="1"/>
  <c r="C20" i="24" s="1"/>
  <c r="C76" i="24" a="1"/>
  <c r="C76" i="24" s="1"/>
  <c r="E93" i="24" a="1"/>
  <c r="E93" i="24" s="1"/>
  <c r="E103" i="24" a="1"/>
  <c r="E103" i="24" s="1"/>
  <c r="G114" i="24" a="1"/>
  <c r="G114" i="24" s="1"/>
  <c r="G124" i="24" a="1"/>
  <c r="G124" i="24" s="1"/>
  <c r="E122" i="24" a="1"/>
  <c r="E122" i="24" s="1"/>
  <c r="G10" i="24" a="1"/>
  <c r="G10" i="24" s="1"/>
  <c r="D72" i="24" a="1"/>
  <c r="D72" i="24" s="1"/>
  <c r="G89" i="24" a="1"/>
  <c r="G89" i="24" s="1"/>
  <c r="D102" i="24" a="1"/>
  <c r="D102" i="24" s="1"/>
  <c r="E112" i="24" a="1"/>
  <c r="E112" i="24" s="1"/>
  <c r="F123" i="24" a="1"/>
  <c r="F123" i="24" s="1"/>
  <c r="D45" i="24" a="1"/>
  <c r="D45" i="24" s="1"/>
  <c r="C105" i="24" a="1"/>
  <c r="C105" i="24" s="1"/>
  <c r="D91" i="24" a="1"/>
  <c r="D91" i="24" s="1"/>
  <c r="B77" i="24" a="1"/>
  <c r="B77" i="24" s="1"/>
  <c r="C12" i="24" a="1"/>
  <c r="C12" i="24" s="1"/>
  <c r="D111" i="24" a="1"/>
  <c r="D111" i="24" s="1"/>
  <c r="F113" i="24" a="1"/>
  <c r="F113" i="24" s="1"/>
  <c r="G94" i="24" a="1"/>
  <c r="G94" i="24" s="1"/>
  <c r="F42" i="24" a="1"/>
  <c r="F42" i="24" s="1"/>
  <c r="E102" i="24" a="1"/>
  <c r="E102" i="24" s="1"/>
  <c r="D107" i="24" a="1"/>
  <c r="D107" i="24" s="1"/>
  <c r="G83" i="24" a="1"/>
  <c r="G83" i="24" s="1"/>
  <c r="E73" i="24" a="1"/>
  <c r="E73" i="24" s="1"/>
  <c r="F89" i="24" a="1"/>
  <c r="F89" i="24" s="1"/>
  <c r="E5" i="24" a="1"/>
  <c r="E5" i="24" s="1"/>
  <c r="F90" i="24" a="1"/>
  <c r="F90" i="24" s="1"/>
  <c r="D99" i="24" a="1"/>
  <c r="D99" i="24" s="1"/>
  <c r="G87" i="24" a="1"/>
  <c r="G87" i="24" s="1"/>
  <c r="F10" i="24" a="1"/>
  <c r="F10" i="24" s="1"/>
  <c r="B83" i="24" a="1"/>
  <c r="B83" i="24" s="1"/>
  <c r="E76" i="24" a="1"/>
  <c r="E76" i="24" s="1"/>
  <c r="E61" i="24" a="1"/>
  <c r="E61" i="24" s="1"/>
  <c r="G21" i="24" a="1"/>
  <c r="G21" i="24" s="1"/>
  <c r="D16" i="24" a="1"/>
  <c r="D16" i="24" s="1"/>
  <c r="R9" i="3"/>
  <c r="AW9" i="3" s="1"/>
  <c r="V8" i="3"/>
  <c r="AZ8" i="3" s="1"/>
  <c r="BA8" i="3"/>
  <c r="D27" i="16"/>
  <c r="Y5" i="3"/>
  <c r="AE5" i="3" s="1"/>
  <c r="AP22" i="3"/>
  <c r="AY4" i="3"/>
  <c r="N20" i="3"/>
  <c r="AK20" i="3" s="1"/>
  <c r="R44" i="9"/>
  <c r="AT99" i="9"/>
  <c r="AM48" i="9"/>
  <c r="AR48" i="9" s="1"/>
  <c r="AQ48" i="9"/>
  <c r="AP36" i="9"/>
  <c r="AR36" i="9" s="1"/>
  <c r="AQ36" i="9"/>
  <c r="AT23" i="9"/>
  <c r="AQ23" i="9"/>
  <c r="AI20" i="3"/>
  <c r="AR25" i="3"/>
  <c r="V12" i="3"/>
  <c r="AS12" i="3" s="1"/>
  <c r="AN20" i="3"/>
  <c r="V23" i="3"/>
  <c r="AH23" i="3" s="1"/>
  <c r="D24" i="16"/>
  <c r="R11" i="3"/>
  <c r="AP11" i="3" s="1"/>
  <c r="D25" i="16"/>
  <c r="Z83" i="9"/>
  <c r="Z81" i="9"/>
  <c r="Z11" i="9"/>
  <c r="Z66" i="9"/>
  <c r="Z35" i="9"/>
  <c r="Z62" i="9"/>
  <c r="Z94" i="9"/>
  <c r="Z74" i="9"/>
  <c r="Z93" i="9"/>
  <c r="Z73" i="9"/>
  <c r="Z41" i="9"/>
  <c r="Z12" i="9"/>
  <c r="AI23" i="3"/>
  <c r="N22" i="3"/>
  <c r="X22" i="3" s="1"/>
  <c r="AF20" i="3"/>
  <c r="AT13" i="3"/>
  <c r="AG20" i="3"/>
  <c r="W22" i="3"/>
  <c r="AS20" i="3"/>
  <c r="Y20" i="3"/>
  <c r="AR20" i="3" s="1"/>
  <c r="V13" i="3"/>
  <c r="AH13" i="3" s="1"/>
  <c r="AF22" i="3"/>
  <c r="Y22" i="3"/>
  <c r="AR22" i="3" s="1"/>
  <c r="AM22" i="3"/>
  <c r="AN11" i="3"/>
  <c r="AT12" i="3"/>
  <c r="AS21" i="3"/>
  <c r="AH21" i="3"/>
  <c r="AT20" i="3"/>
  <c r="AF11" i="3"/>
  <c r="AM11" i="3"/>
  <c r="AS17" i="3"/>
  <c r="AH17" i="3"/>
  <c r="R17" i="3"/>
  <c r="AN17" i="3"/>
  <c r="L17" i="3"/>
  <c r="P18" i="3"/>
  <c r="R24" i="3"/>
  <c r="X24" i="3"/>
  <c r="AN24" i="3"/>
  <c r="AQ24" i="3" s="1"/>
  <c r="V24" i="3"/>
  <c r="AT24" i="3"/>
  <c r="AI24" i="3"/>
  <c r="AG19" i="3"/>
  <c r="AP19" i="3"/>
  <c r="Y19" i="3"/>
  <c r="AR13" i="3"/>
  <c r="AE13" i="3"/>
  <c r="AI11" i="3"/>
  <c r="V11" i="3"/>
  <c r="AT11" i="3"/>
  <c r="V14" i="3"/>
  <c r="AI14" i="3"/>
  <c r="AT14" i="3"/>
  <c r="V16" i="3"/>
  <c r="AI16" i="3"/>
  <c r="AT16" i="3"/>
  <c r="Y15" i="3"/>
  <c r="AP15" i="3"/>
  <c r="AG15" i="3"/>
  <c r="Y14" i="3"/>
  <c r="AG14" i="3"/>
  <c r="AP14" i="3"/>
  <c r="AS15" i="3"/>
  <c r="AH15" i="3"/>
  <c r="AH19" i="3"/>
  <c r="AS19" i="3"/>
  <c r="Y16" i="3"/>
  <c r="AP16" i="3"/>
  <c r="AG16" i="3"/>
  <c r="X8" i="3"/>
  <c r="AP12" i="3"/>
  <c r="Y12" i="3"/>
  <c r="AG12" i="3"/>
  <c r="X11" i="3"/>
  <c r="AK11" i="3"/>
  <c r="AP23" i="3"/>
  <c r="AG23" i="3"/>
  <c r="AR23" i="3"/>
  <c r="AE23" i="3"/>
  <c r="AE27" i="3"/>
  <c r="Y9" i="3"/>
  <c r="AY9" i="3" s="1"/>
  <c r="AN10" i="3"/>
  <c r="X10" i="3"/>
  <c r="R10" i="3"/>
  <c r="N7" i="3"/>
  <c r="X7" i="3" s="1"/>
  <c r="O7" i="3"/>
  <c r="AV7" i="3" s="1"/>
  <c r="Y8" i="3"/>
  <c r="AY8" i="3" s="1"/>
  <c r="AG6" i="3"/>
  <c r="Z65" i="9"/>
  <c r="Z37" i="9"/>
  <c r="Y102" i="9"/>
  <c r="AE102" i="9" s="1"/>
  <c r="AM68" i="9"/>
  <c r="Z64" i="9"/>
  <c r="AI53" i="9"/>
  <c r="R45" i="9"/>
  <c r="AM66" i="9"/>
  <c r="AO95" i="9"/>
  <c r="Z63" i="9"/>
  <c r="Z45" i="9"/>
  <c r="Z17" i="9"/>
  <c r="AI55" i="9"/>
  <c r="Z16" i="9"/>
  <c r="Z69" i="9"/>
  <c r="Z51" i="9"/>
  <c r="Z43" i="9"/>
  <c r="Z15" i="9"/>
  <c r="Z40" i="9"/>
  <c r="Z44" i="9"/>
  <c r="Z76" i="9"/>
  <c r="Z68" i="9"/>
  <c r="Z60" i="9"/>
  <c r="Z50" i="9"/>
  <c r="Z49" i="9"/>
  <c r="AM87" i="9"/>
  <c r="O99" i="9"/>
  <c r="AF99" i="9" s="1"/>
  <c r="AT75" i="9"/>
  <c r="AI56" i="9"/>
  <c r="AM73" i="9"/>
  <c r="V99" i="9"/>
  <c r="AK70" i="9"/>
  <c r="AM70" i="9" s="1"/>
  <c r="AT86" i="9"/>
  <c r="AM96" i="9"/>
  <c r="AS69" i="9"/>
  <c r="AP102" i="9"/>
  <c r="AR102" i="9" s="1"/>
  <c r="AP71" i="9"/>
  <c r="AR71" i="9" s="1"/>
  <c r="AN99" i="9"/>
  <c r="AK99" i="9"/>
  <c r="AN70" i="9"/>
  <c r="AS68" i="9"/>
  <c r="AT69" i="9"/>
  <c r="AS73" i="9"/>
  <c r="AT80" i="9"/>
  <c r="AT101" i="9"/>
  <c r="AT68" i="9"/>
  <c r="AT73" i="9"/>
  <c r="AS84" i="9"/>
  <c r="AT85" i="9"/>
  <c r="AT72" i="9"/>
  <c r="AT79" i="9"/>
  <c r="AS83" i="9"/>
  <c r="AT84" i="9"/>
  <c r="AT95" i="9"/>
  <c r="AT70" i="9"/>
  <c r="AT78" i="9"/>
  <c r="AT83" i="9"/>
  <c r="AN87" i="9"/>
  <c r="AK90" i="9"/>
  <c r="AM90" i="9" s="1"/>
  <c r="AS77" i="9"/>
  <c r="AT88" i="9"/>
  <c r="AS93" i="9"/>
  <c r="AT103" i="9"/>
  <c r="V67" i="9"/>
  <c r="AZ67" i="9" s="1"/>
  <c r="AS74" i="9"/>
  <c r="AT77" i="9"/>
  <c r="AS81" i="9"/>
  <c r="AT82" i="9"/>
  <c r="AN90" i="9"/>
  <c r="AS92" i="9"/>
  <c r="AT93" i="9"/>
  <c r="AS97" i="9"/>
  <c r="AT74" i="9"/>
  <c r="AS75" i="9"/>
  <c r="AT81" i="9"/>
  <c r="AS86" i="9"/>
  <c r="AT87" i="9"/>
  <c r="AT92" i="9"/>
  <c r="AT97" i="9"/>
  <c r="AN100" i="9"/>
  <c r="AS101" i="9"/>
  <c r="L76" i="9"/>
  <c r="AK76" i="9" s="1"/>
  <c r="AM76" i="9" s="1"/>
  <c r="V88" i="9"/>
  <c r="W35" i="9"/>
  <c r="AT35" i="9" s="1"/>
  <c r="R40" i="9"/>
  <c r="W71" i="9"/>
  <c r="W100" i="9"/>
  <c r="AI68" i="9"/>
  <c r="R61" i="9"/>
  <c r="AG61" i="9" s="1"/>
  <c r="AS59" i="9"/>
  <c r="W58" i="9"/>
  <c r="J27" i="9"/>
  <c r="N27" i="9" s="1"/>
  <c r="P47" i="9"/>
  <c r="R47" i="9" s="1"/>
  <c r="V47" i="9"/>
  <c r="AZ47" i="9" s="1"/>
  <c r="BA47" i="9"/>
  <c r="AI76" i="9"/>
  <c r="V76" i="9"/>
  <c r="P58" i="9"/>
  <c r="R58" i="9" s="1"/>
  <c r="P59" i="9"/>
  <c r="R59" i="9" s="1"/>
  <c r="AG59" i="9" s="1"/>
  <c r="P73" i="9"/>
  <c r="AI84" i="9"/>
  <c r="AI101" i="9"/>
  <c r="V72" i="9"/>
  <c r="P76" i="9"/>
  <c r="V78" i="9"/>
  <c r="AI92" i="9"/>
  <c r="AN61" i="9"/>
  <c r="R70" i="9"/>
  <c r="AG70" i="9" s="1"/>
  <c r="V80" i="9"/>
  <c r="W102" i="9"/>
  <c r="V102" i="9" s="1"/>
  <c r="BA46" i="9"/>
  <c r="P72" i="9"/>
  <c r="V82" i="9"/>
  <c r="AI62" i="9"/>
  <c r="J73" i="9"/>
  <c r="R71" i="9"/>
  <c r="AG71" i="9" s="1"/>
  <c r="AI60" i="9"/>
  <c r="AT49" i="9"/>
  <c r="W44" i="9"/>
  <c r="AI44" i="9" s="1"/>
  <c r="BA50" i="9"/>
  <c r="AI90" i="9"/>
  <c r="V90" i="9"/>
  <c r="R66" i="9"/>
  <c r="AG66" i="9" s="1"/>
  <c r="AN66" i="9"/>
  <c r="AH62" i="9"/>
  <c r="AS62" i="9"/>
  <c r="P48" i="9"/>
  <c r="R48" i="9" s="1"/>
  <c r="V64" i="9"/>
  <c r="AS64" i="9" s="1"/>
  <c r="V70" i="9"/>
  <c r="V79" i="9"/>
  <c r="V103" i="9"/>
  <c r="AI73" i="9"/>
  <c r="AI81" i="9"/>
  <c r="AI97" i="9"/>
  <c r="AT59" i="9"/>
  <c r="AT65" i="9"/>
  <c r="V95" i="9"/>
  <c r="AI86" i="9"/>
  <c r="AT57" i="9"/>
  <c r="AK60" i="9"/>
  <c r="AM60" i="9" s="1"/>
  <c r="W45" i="9"/>
  <c r="AI45" i="9" s="1"/>
  <c r="W61" i="9"/>
  <c r="AI66" i="9"/>
  <c r="AI75" i="9"/>
  <c r="AI83" i="9"/>
  <c r="AT63" i="9"/>
  <c r="AF102" i="9"/>
  <c r="V66" i="9"/>
  <c r="V63" i="9"/>
  <c r="V85" i="9"/>
  <c r="R90" i="9"/>
  <c r="AG90" i="9" s="1"/>
  <c r="AI69" i="9"/>
  <c r="AI77" i="9"/>
  <c r="AI93" i="9"/>
  <c r="AT56" i="9"/>
  <c r="AI59" i="9"/>
  <c r="AT62" i="9"/>
  <c r="AI74" i="9"/>
  <c r="P43" i="9"/>
  <c r="R43" i="9" s="1"/>
  <c r="V65" i="9"/>
  <c r="AS65" i="9" s="1"/>
  <c r="V87" i="9"/>
  <c r="AT64" i="9"/>
  <c r="O90" i="9"/>
  <c r="AF90" i="9" s="1"/>
  <c r="W41" i="9"/>
  <c r="W43" i="9"/>
  <c r="AI43" i="9" s="1"/>
  <c r="V57" i="9"/>
  <c r="AS57" i="9" s="1"/>
  <c r="V43" i="9"/>
  <c r="P54" i="9"/>
  <c r="R54" i="9" s="1"/>
  <c r="P31" i="9"/>
  <c r="W40" i="9"/>
  <c r="P41" i="9"/>
  <c r="AT38" i="9"/>
  <c r="AI28" i="9"/>
  <c r="V60" i="9"/>
  <c r="AS60" i="9" s="1"/>
  <c r="N60" i="9"/>
  <c r="O43" i="9"/>
  <c r="N43" i="9"/>
  <c r="AI48" i="9"/>
  <c r="V48" i="9"/>
  <c r="J32" i="9"/>
  <c r="W27" i="9"/>
  <c r="BA27" i="9" s="1"/>
  <c r="V31" i="9"/>
  <c r="AS31" i="9" s="1"/>
  <c r="V36" i="9"/>
  <c r="J40" i="9"/>
  <c r="O40" i="9" s="1"/>
  <c r="O22" i="9"/>
  <c r="V33" i="9"/>
  <c r="AS33" i="9" s="1"/>
  <c r="P32" i="9"/>
  <c r="V49" i="9"/>
  <c r="AS49" i="9" s="1"/>
  <c r="J31" i="9"/>
  <c r="O31" i="9" s="1"/>
  <c r="P35" i="9"/>
  <c r="AN35" i="9" s="1"/>
  <c r="AQ35" i="9" s="1"/>
  <c r="V44" i="9"/>
  <c r="O41" i="9"/>
  <c r="V32" i="9"/>
  <c r="AS32" i="9" s="1"/>
  <c r="V27" i="9"/>
  <c r="AZ27" i="9" s="1"/>
  <c r="N41" i="9"/>
  <c r="AI31" i="9"/>
  <c r="AI32" i="9"/>
  <c r="O28" i="9"/>
  <c r="AP23" i="9"/>
  <c r="AR23" i="9" s="1"/>
  <c r="AP24" i="9"/>
  <c r="AR24" i="9" s="1"/>
  <c r="C107" i="20" l="1"/>
  <c r="AC107" i="12"/>
  <c r="AE107" i="12"/>
  <c r="AF107" i="12"/>
  <c r="AG107" i="12"/>
  <c r="AA107" i="12"/>
  <c r="AB107" i="12"/>
  <c r="X107" i="12"/>
  <c r="Z107" i="20" s="1"/>
  <c r="Y107" i="12"/>
  <c r="AA107" i="20" s="1"/>
  <c r="W107" i="12"/>
  <c r="Y107" i="20" s="1"/>
  <c r="C122" i="20"/>
  <c r="AA122" i="12"/>
  <c r="AB122" i="12"/>
  <c r="AC122" i="12"/>
  <c r="AE122" i="20" s="1"/>
  <c r="AE122" i="12"/>
  <c r="AF122" i="12"/>
  <c r="AG122" i="12"/>
  <c r="W122" i="12"/>
  <c r="Y122" i="20" s="1"/>
  <c r="X122" i="12"/>
  <c r="Z122" i="20" s="1"/>
  <c r="Y122" i="12"/>
  <c r="AA122" i="20" s="1"/>
  <c r="Z101" i="24"/>
  <c r="AA101" i="24"/>
  <c r="AB101" i="24"/>
  <c r="S101" i="24"/>
  <c r="W101" i="24"/>
  <c r="T101" i="24"/>
  <c r="X101" i="24"/>
  <c r="U101" i="24"/>
  <c r="Y101" i="24"/>
  <c r="O101" i="24"/>
  <c r="P101" i="24"/>
  <c r="Q101" i="24"/>
  <c r="W95" i="24"/>
  <c r="X95" i="24"/>
  <c r="S95" i="24"/>
  <c r="Y95" i="24"/>
  <c r="T95" i="24"/>
  <c r="Z95" i="24"/>
  <c r="U95" i="24"/>
  <c r="AA95" i="24"/>
  <c r="AB95" i="24"/>
  <c r="Q95" i="24"/>
  <c r="P95" i="24"/>
  <c r="O95" i="24"/>
  <c r="X84" i="24"/>
  <c r="Y84" i="24"/>
  <c r="S84" i="24"/>
  <c r="Z84" i="24"/>
  <c r="T84" i="24"/>
  <c r="AA84" i="24"/>
  <c r="U84" i="24"/>
  <c r="AB84" i="24"/>
  <c r="W84" i="24"/>
  <c r="O84" i="24"/>
  <c r="P84" i="24"/>
  <c r="Q84" i="24"/>
  <c r="U115" i="24"/>
  <c r="W115" i="24"/>
  <c r="X115" i="24"/>
  <c r="Y115" i="24"/>
  <c r="Z115" i="24"/>
  <c r="AA115" i="24"/>
  <c r="AB115" i="24"/>
  <c r="S115" i="24"/>
  <c r="T115" i="24"/>
  <c r="O115" i="24"/>
  <c r="P115" i="24"/>
  <c r="Q115" i="24"/>
  <c r="AB94" i="24"/>
  <c r="T94" i="24"/>
  <c r="U94" i="24"/>
  <c r="W94" i="24"/>
  <c r="X94" i="24"/>
  <c r="Y94" i="24"/>
  <c r="Z94" i="24"/>
  <c r="S94" i="24"/>
  <c r="AA94" i="24"/>
  <c r="O94" i="24"/>
  <c r="P94" i="24"/>
  <c r="Q94" i="24"/>
  <c r="U83" i="24"/>
  <c r="W83" i="24"/>
  <c r="X83" i="24"/>
  <c r="Y83" i="24"/>
  <c r="Z83" i="24"/>
  <c r="AA83" i="24"/>
  <c r="AB83" i="24"/>
  <c r="S83" i="24"/>
  <c r="T83" i="24"/>
  <c r="P83" i="24"/>
  <c r="Q83" i="24"/>
  <c r="O83" i="24"/>
  <c r="Z113" i="24"/>
  <c r="S113" i="24"/>
  <c r="AA113" i="24"/>
  <c r="T113" i="24"/>
  <c r="AB113" i="24"/>
  <c r="U113" i="24"/>
  <c r="W113" i="24"/>
  <c r="X113" i="24"/>
  <c r="Y113" i="24"/>
  <c r="O113" i="24"/>
  <c r="P113" i="24"/>
  <c r="Q113" i="24"/>
  <c r="Z89" i="24"/>
  <c r="S89" i="24"/>
  <c r="AA89" i="24"/>
  <c r="T89" i="24"/>
  <c r="AB89" i="24"/>
  <c r="U89" i="24"/>
  <c r="W89" i="24"/>
  <c r="X89" i="24"/>
  <c r="Y89" i="24"/>
  <c r="O89" i="24"/>
  <c r="P89" i="24"/>
  <c r="Q89" i="24"/>
  <c r="C101" i="20"/>
  <c r="AA101" i="12"/>
  <c r="AC101" i="20" s="1"/>
  <c r="AB101" i="12"/>
  <c r="AD101" i="20" s="1"/>
  <c r="AC101" i="12"/>
  <c r="AE101" i="12"/>
  <c r="AF101" i="12"/>
  <c r="AG101" i="12"/>
  <c r="W101" i="12"/>
  <c r="Y101" i="20" s="1"/>
  <c r="X101" i="12"/>
  <c r="Z101" i="20" s="1"/>
  <c r="Y101" i="12"/>
  <c r="AA101" i="20" s="1"/>
  <c r="C83" i="20"/>
  <c r="AC83" i="12"/>
  <c r="AE83" i="20" s="1"/>
  <c r="AE83" i="12"/>
  <c r="AF83" i="12"/>
  <c r="AG83" i="12"/>
  <c r="AA83" i="12"/>
  <c r="AB83" i="12"/>
  <c r="W83" i="12"/>
  <c r="Y83" i="20" s="1"/>
  <c r="X83" i="12"/>
  <c r="Z83" i="20" s="1"/>
  <c r="Y83" i="12"/>
  <c r="AA83" i="20" s="1"/>
  <c r="C94" i="20"/>
  <c r="AA94" i="12"/>
  <c r="AB94" i="12"/>
  <c r="AC94" i="12"/>
  <c r="AE94" i="12"/>
  <c r="AF94" i="12"/>
  <c r="AG94" i="12"/>
  <c r="W94" i="12"/>
  <c r="Y94" i="20" s="1"/>
  <c r="X94" i="12"/>
  <c r="Z94" i="20" s="1"/>
  <c r="Y94" i="12"/>
  <c r="AA94" i="20" s="1"/>
  <c r="C118" i="20"/>
  <c r="AA118" i="12"/>
  <c r="AB118" i="12"/>
  <c r="AC118" i="12"/>
  <c r="AE118" i="12"/>
  <c r="AF118" i="12"/>
  <c r="AG118" i="12"/>
  <c r="W118" i="12"/>
  <c r="Y118" i="20" s="1"/>
  <c r="X118" i="12"/>
  <c r="Z118" i="20" s="1"/>
  <c r="Y118" i="12"/>
  <c r="AA118" i="20" s="1"/>
  <c r="C112" i="20"/>
  <c r="AF112" i="12"/>
  <c r="AG112" i="12"/>
  <c r="AA112" i="12"/>
  <c r="AC112" i="20" s="1"/>
  <c r="AB112" i="12"/>
  <c r="AC112" i="12"/>
  <c r="AE112" i="12"/>
  <c r="Y112" i="12"/>
  <c r="AA112" i="20" s="1"/>
  <c r="W112" i="12"/>
  <c r="Y112" i="20" s="1"/>
  <c r="X112" i="12"/>
  <c r="Z112" i="20" s="1"/>
  <c r="C109" i="20"/>
  <c r="AA109" i="12"/>
  <c r="AC109" i="20" s="1"/>
  <c r="AB109" i="12"/>
  <c r="AC109" i="12"/>
  <c r="AE109" i="12"/>
  <c r="AF109" i="12"/>
  <c r="AG109" i="12"/>
  <c r="X109" i="12"/>
  <c r="Z109" i="20" s="1"/>
  <c r="Y109" i="12"/>
  <c r="AA109" i="20" s="1"/>
  <c r="W109" i="12"/>
  <c r="Y109" i="20" s="1"/>
  <c r="Z97" i="24"/>
  <c r="S97" i="24"/>
  <c r="AA97" i="24"/>
  <c r="T97" i="24"/>
  <c r="AB97" i="24"/>
  <c r="U97" i="24"/>
  <c r="W97" i="24"/>
  <c r="X97" i="24"/>
  <c r="Y97" i="24"/>
  <c r="O97" i="24"/>
  <c r="P97" i="24"/>
  <c r="Q97" i="24"/>
  <c r="AB86" i="24"/>
  <c r="T86" i="24"/>
  <c r="U86" i="24"/>
  <c r="W86" i="24"/>
  <c r="X86" i="24"/>
  <c r="Y86" i="24"/>
  <c r="Z86" i="24"/>
  <c r="AA86" i="24"/>
  <c r="S86" i="24"/>
  <c r="O86" i="24"/>
  <c r="P86" i="24"/>
  <c r="Q86" i="24"/>
  <c r="AB110" i="24"/>
  <c r="T110" i="24"/>
  <c r="U110" i="24"/>
  <c r="W110" i="24"/>
  <c r="X110" i="24"/>
  <c r="Y110" i="24"/>
  <c r="Z110" i="24"/>
  <c r="AA110" i="24"/>
  <c r="S110" i="24"/>
  <c r="O110" i="24"/>
  <c r="P110" i="24"/>
  <c r="Q110" i="24"/>
  <c r="AA110" i="12"/>
  <c r="AB110" i="12"/>
  <c r="AC110" i="12"/>
  <c r="AE110" i="12"/>
  <c r="AF110" i="12"/>
  <c r="AG110" i="12"/>
  <c r="W110" i="12"/>
  <c r="Y110" i="20" s="1"/>
  <c r="X110" i="12"/>
  <c r="Z110" i="20" s="1"/>
  <c r="Y110" i="12"/>
  <c r="AA110" i="20" s="1"/>
  <c r="U99" i="24"/>
  <c r="W99" i="24"/>
  <c r="X99" i="24"/>
  <c r="Y99" i="24"/>
  <c r="Z99" i="24"/>
  <c r="AA99" i="24"/>
  <c r="AB99" i="24"/>
  <c r="S99" i="24"/>
  <c r="T99" i="24"/>
  <c r="O99" i="24"/>
  <c r="P99" i="24"/>
  <c r="Q99" i="24"/>
  <c r="C97" i="20"/>
  <c r="AA97" i="12"/>
  <c r="AB97" i="12"/>
  <c r="AC97" i="12"/>
  <c r="AE97" i="12"/>
  <c r="AF97" i="12"/>
  <c r="AG97" i="12"/>
  <c r="W97" i="12"/>
  <c r="Y97" i="20" s="1"/>
  <c r="X97" i="12"/>
  <c r="Z97" i="20" s="1"/>
  <c r="Y97" i="12"/>
  <c r="AA97" i="20" s="1"/>
  <c r="C84" i="20"/>
  <c r="AF84" i="12"/>
  <c r="AG84" i="12"/>
  <c r="AA84" i="12"/>
  <c r="AC84" i="20" s="1"/>
  <c r="AB84" i="12"/>
  <c r="AD84" i="20" s="1"/>
  <c r="AC84" i="12"/>
  <c r="AE84" i="12"/>
  <c r="W84" i="12"/>
  <c r="Y84" i="20" s="1"/>
  <c r="X84" i="12"/>
  <c r="Z84" i="20" s="1"/>
  <c r="Y84" i="12"/>
  <c r="AA84" i="20" s="1"/>
  <c r="Z93" i="24"/>
  <c r="AA93" i="24"/>
  <c r="AB93" i="24"/>
  <c r="S93" i="24"/>
  <c r="W93" i="24"/>
  <c r="T93" i="24"/>
  <c r="X93" i="24"/>
  <c r="U93" i="24"/>
  <c r="Y93" i="24"/>
  <c r="P93" i="24"/>
  <c r="Q93" i="24"/>
  <c r="O93" i="24"/>
  <c r="Z109" i="24"/>
  <c r="AA109" i="24"/>
  <c r="AB109" i="24"/>
  <c r="S109" i="24"/>
  <c r="W109" i="24"/>
  <c r="T109" i="24"/>
  <c r="X109" i="24"/>
  <c r="U109" i="24"/>
  <c r="Y109" i="24"/>
  <c r="Q109" i="24"/>
  <c r="P109" i="24"/>
  <c r="O109" i="24"/>
  <c r="Z125" i="24"/>
  <c r="AA125" i="24"/>
  <c r="AB125" i="24"/>
  <c r="S125" i="24"/>
  <c r="W125" i="24"/>
  <c r="T125" i="24"/>
  <c r="X125" i="24"/>
  <c r="U125" i="24"/>
  <c r="Y125" i="24"/>
  <c r="O125" i="24"/>
  <c r="P125" i="24"/>
  <c r="Q125" i="24"/>
  <c r="C105" i="20"/>
  <c r="AA105" i="12"/>
  <c r="AB105" i="12"/>
  <c r="AC105" i="12"/>
  <c r="AE105" i="12"/>
  <c r="AF105" i="12"/>
  <c r="AG105" i="12"/>
  <c r="W105" i="12"/>
  <c r="Y105" i="20" s="1"/>
  <c r="X105" i="12"/>
  <c r="Z105" i="20" s="1"/>
  <c r="Y105" i="12"/>
  <c r="AA105" i="20" s="1"/>
  <c r="C88" i="20"/>
  <c r="AF88" i="12"/>
  <c r="AG88" i="12"/>
  <c r="AA88" i="12"/>
  <c r="AC88" i="20" s="1"/>
  <c r="AB88" i="12"/>
  <c r="AD88" i="20" s="1"/>
  <c r="AC88" i="12"/>
  <c r="AE88" i="12"/>
  <c r="W88" i="12"/>
  <c r="Y88" i="20" s="1"/>
  <c r="X88" i="12"/>
  <c r="Z88" i="20" s="1"/>
  <c r="Y88" i="12"/>
  <c r="AA88" i="20" s="1"/>
  <c r="C124" i="20"/>
  <c r="AF124" i="12"/>
  <c r="AG124" i="12"/>
  <c r="AA124" i="12"/>
  <c r="AB124" i="12"/>
  <c r="AC124" i="12"/>
  <c r="AE124" i="12"/>
  <c r="W124" i="12"/>
  <c r="Y124" i="20" s="1"/>
  <c r="X124" i="12"/>
  <c r="Z124" i="20" s="1"/>
  <c r="Y124" i="12"/>
  <c r="AA124" i="20" s="1"/>
  <c r="C95" i="20"/>
  <c r="AC95" i="12"/>
  <c r="AE95" i="12"/>
  <c r="AF95" i="12"/>
  <c r="AG95" i="12"/>
  <c r="AA95" i="12"/>
  <c r="AB95" i="12"/>
  <c r="Y95" i="12"/>
  <c r="AA95" i="20" s="1"/>
  <c r="W95" i="12"/>
  <c r="Y95" i="20" s="1"/>
  <c r="X95" i="12"/>
  <c r="Z95" i="20" s="1"/>
  <c r="C119" i="20"/>
  <c r="AC119" i="12"/>
  <c r="AE119" i="12"/>
  <c r="AF119" i="12"/>
  <c r="AG119" i="12"/>
  <c r="AA119" i="12"/>
  <c r="AC119" i="20" s="1"/>
  <c r="AB119" i="12"/>
  <c r="W119" i="12"/>
  <c r="Y119" i="20" s="1"/>
  <c r="X119" i="12"/>
  <c r="Z119" i="20" s="1"/>
  <c r="Y119" i="12"/>
  <c r="AA119" i="20" s="1"/>
  <c r="C82" i="20"/>
  <c r="AA82" i="12"/>
  <c r="AB82" i="12"/>
  <c r="AC82" i="12"/>
  <c r="AE82" i="12"/>
  <c r="AF82" i="12"/>
  <c r="AG82" i="12"/>
  <c r="X82" i="12"/>
  <c r="Z82" i="20" s="1"/>
  <c r="Y82" i="12"/>
  <c r="AA82" i="20" s="1"/>
  <c r="W82" i="12"/>
  <c r="Y82" i="20" s="1"/>
  <c r="C111" i="20"/>
  <c r="AC111" i="12"/>
  <c r="AE111" i="12"/>
  <c r="AF111" i="12"/>
  <c r="AG111" i="12"/>
  <c r="AA111" i="12"/>
  <c r="AB111" i="12"/>
  <c r="W111" i="12"/>
  <c r="Y111" i="20" s="1"/>
  <c r="X111" i="12"/>
  <c r="Z111" i="20" s="1"/>
  <c r="Y111" i="12"/>
  <c r="AA111" i="20" s="1"/>
  <c r="C108" i="20"/>
  <c r="AF108" i="12"/>
  <c r="AG108" i="12"/>
  <c r="AA108" i="12"/>
  <c r="AB108" i="12"/>
  <c r="AC108" i="12"/>
  <c r="AE108" i="12"/>
  <c r="W108" i="12"/>
  <c r="Y108" i="20" s="1"/>
  <c r="X108" i="12"/>
  <c r="Z108" i="20" s="1"/>
  <c r="Y108" i="12"/>
  <c r="AA108" i="20" s="1"/>
  <c r="W119" i="24"/>
  <c r="X119" i="24"/>
  <c r="S119" i="24"/>
  <c r="Y119" i="24"/>
  <c r="T119" i="24"/>
  <c r="Z119" i="24"/>
  <c r="U119" i="24"/>
  <c r="AA119" i="24"/>
  <c r="AB119" i="24"/>
  <c r="P119" i="24"/>
  <c r="Q119" i="24"/>
  <c r="O119" i="24"/>
  <c r="Z85" i="24"/>
  <c r="AA85" i="24"/>
  <c r="AB85" i="24"/>
  <c r="S85" i="24"/>
  <c r="W85" i="24"/>
  <c r="T85" i="24"/>
  <c r="X85" i="24"/>
  <c r="U85" i="24"/>
  <c r="Y85" i="24"/>
  <c r="O85" i="24"/>
  <c r="P85" i="24"/>
  <c r="Q85" i="24"/>
  <c r="AA90" i="12"/>
  <c r="AB90" i="12"/>
  <c r="AC90" i="12"/>
  <c r="AE90" i="12"/>
  <c r="AF90" i="12"/>
  <c r="AG90" i="12"/>
  <c r="X90" i="12"/>
  <c r="Z90" i="20" s="1"/>
  <c r="Y90" i="12"/>
  <c r="AA90" i="20" s="1"/>
  <c r="W90" i="12"/>
  <c r="Y90" i="20" s="1"/>
  <c r="C85" i="20"/>
  <c r="AA85" i="12"/>
  <c r="AB85" i="12"/>
  <c r="AC85" i="12"/>
  <c r="AE85" i="12"/>
  <c r="AF85" i="12"/>
  <c r="AG85" i="12"/>
  <c r="W85" i="12"/>
  <c r="Y85" i="20" s="1"/>
  <c r="X85" i="12"/>
  <c r="Z85" i="20" s="1"/>
  <c r="Y85" i="12"/>
  <c r="AA85" i="20" s="1"/>
  <c r="AF100" i="12"/>
  <c r="AG100" i="12"/>
  <c r="AA100" i="12"/>
  <c r="AB100" i="12"/>
  <c r="AC100" i="12"/>
  <c r="AE100" i="12"/>
  <c r="W100" i="12"/>
  <c r="Y100" i="20" s="1"/>
  <c r="X100" i="12"/>
  <c r="Z100" i="20" s="1"/>
  <c r="Y100" i="12"/>
  <c r="AA100" i="20" s="1"/>
  <c r="C96" i="20"/>
  <c r="AF96" i="12"/>
  <c r="AG96" i="12"/>
  <c r="AA96" i="12"/>
  <c r="AB96" i="12"/>
  <c r="AC96" i="12"/>
  <c r="AE96" i="12"/>
  <c r="W96" i="12"/>
  <c r="Y96" i="20" s="1"/>
  <c r="X96" i="12"/>
  <c r="Z96" i="20" s="1"/>
  <c r="Y96" i="12"/>
  <c r="AA96" i="20" s="1"/>
  <c r="C91" i="20"/>
  <c r="AC91" i="12"/>
  <c r="AE91" i="12"/>
  <c r="AF91" i="12"/>
  <c r="AG91" i="12"/>
  <c r="AA91" i="12"/>
  <c r="AB91" i="12"/>
  <c r="W91" i="12"/>
  <c r="Y91" i="20" s="1"/>
  <c r="X91" i="12"/>
  <c r="Z91" i="20" s="1"/>
  <c r="Y91" i="12"/>
  <c r="AA91" i="20" s="1"/>
  <c r="AA81" i="18"/>
  <c r="Z81" i="18"/>
  <c r="AB81" i="18"/>
  <c r="Z117" i="24"/>
  <c r="AA117" i="24"/>
  <c r="AB117" i="24"/>
  <c r="S117" i="24"/>
  <c r="W117" i="24"/>
  <c r="T117" i="24"/>
  <c r="X117" i="24"/>
  <c r="U117" i="24"/>
  <c r="Y117" i="24"/>
  <c r="O117" i="24"/>
  <c r="Q117" i="24"/>
  <c r="P117" i="24"/>
  <c r="X96" i="24"/>
  <c r="Y96" i="24"/>
  <c r="Z96" i="24"/>
  <c r="AA96" i="24"/>
  <c r="AB96" i="24"/>
  <c r="S96" i="24"/>
  <c r="T96" i="24"/>
  <c r="U96" i="24"/>
  <c r="W96" i="24"/>
  <c r="O96" i="24"/>
  <c r="Q96" i="24"/>
  <c r="P96" i="24"/>
  <c r="AB118" i="24"/>
  <c r="T118" i="24"/>
  <c r="U118" i="24"/>
  <c r="W118" i="24"/>
  <c r="X118" i="24"/>
  <c r="Y118" i="24"/>
  <c r="Z118" i="24"/>
  <c r="S118" i="24"/>
  <c r="AA118" i="24"/>
  <c r="O118" i="24"/>
  <c r="P118" i="24"/>
  <c r="Q118" i="24"/>
  <c r="U91" i="24"/>
  <c r="W91" i="24"/>
  <c r="X91" i="24"/>
  <c r="Y91" i="24"/>
  <c r="Z91" i="24"/>
  <c r="AA91" i="24"/>
  <c r="AB91" i="24"/>
  <c r="S91" i="24"/>
  <c r="T91" i="24"/>
  <c r="P91" i="24"/>
  <c r="Q91" i="24"/>
  <c r="O91" i="24"/>
  <c r="AB122" i="24"/>
  <c r="W122" i="24"/>
  <c r="S122" i="24"/>
  <c r="X122" i="24"/>
  <c r="T122" i="24"/>
  <c r="Y122" i="24"/>
  <c r="U122" i="24"/>
  <c r="Z122" i="24"/>
  <c r="AA122" i="24"/>
  <c r="O122" i="24"/>
  <c r="P122" i="24"/>
  <c r="Q122" i="24"/>
  <c r="W111" i="24"/>
  <c r="X111" i="24"/>
  <c r="S111" i="24"/>
  <c r="Y111" i="24"/>
  <c r="T111" i="24"/>
  <c r="Z111" i="24"/>
  <c r="U111" i="24"/>
  <c r="AA111" i="24"/>
  <c r="AB111" i="24"/>
  <c r="O111" i="24"/>
  <c r="P111" i="24"/>
  <c r="Q111" i="24"/>
  <c r="C89" i="20"/>
  <c r="AA89" i="12"/>
  <c r="AB89" i="12"/>
  <c r="AC89" i="12"/>
  <c r="AE89" i="12"/>
  <c r="AF89" i="12"/>
  <c r="AG89" i="12"/>
  <c r="W89" i="12"/>
  <c r="Y89" i="20" s="1"/>
  <c r="X89" i="12"/>
  <c r="Z89" i="20" s="1"/>
  <c r="Y89" i="12"/>
  <c r="AA89" i="20" s="1"/>
  <c r="AB106" i="24"/>
  <c r="W106" i="24"/>
  <c r="S106" i="24"/>
  <c r="X106" i="24"/>
  <c r="T106" i="24"/>
  <c r="Y106" i="24"/>
  <c r="U106" i="24"/>
  <c r="Z106" i="24"/>
  <c r="AA106" i="24"/>
  <c r="O106" i="24"/>
  <c r="P106" i="24"/>
  <c r="Q106" i="24"/>
  <c r="U123" i="24"/>
  <c r="W123" i="24"/>
  <c r="X123" i="24"/>
  <c r="Y123" i="24"/>
  <c r="Z123" i="24"/>
  <c r="AA123" i="24"/>
  <c r="AB123" i="24"/>
  <c r="S123" i="24"/>
  <c r="T123" i="24"/>
  <c r="O123" i="24"/>
  <c r="P123" i="24"/>
  <c r="Q123" i="24"/>
  <c r="AB98" i="24"/>
  <c r="W98" i="24"/>
  <c r="S98" i="24"/>
  <c r="X98" i="24"/>
  <c r="T98" i="24"/>
  <c r="Y98" i="24"/>
  <c r="U98" i="24"/>
  <c r="Z98" i="24"/>
  <c r="AA98" i="24"/>
  <c r="O98" i="24"/>
  <c r="P98" i="24"/>
  <c r="Q98" i="24"/>
  <c r="X88" i="24"/>
  <c r="Y88" i="24"/>
  <c r="Z88" i="24"/>
  <c r="AA88" i="24"/>
  <c r="AB88" i="24"/>
  <c r="S88" i="24"/>
  <c r="T88" i="24"/>
  <c r="U88" i="24"/>
  <c r="W88" i="24"/>
  <c r="Q88" i="24"/>
  <c r="O88" i="24"/>
  <c r="P88" i="24"/>
  <c r="AB82" i="24"/>
  <c r="W82" i="24"/>
  <c r="S82" i="24"/>
  <c r="X82" i="24"/>
  <c r="T82" i="24"/>
  <c r="Y82" i="24"/>
  <c r="U82" i="24"/>
  <c r="Z82" i="24"/>
  <c r="AA82" i="24"/>
  <c r="O82" i="24"/>
  <c r="P82" i="24"/>
  <c r="Q82" i="24"/>
  <c r="AG70" i="20"/>
  <c r="D63" i="16" s="1"/>
  <c r="C86" i="20"/>
  <c r="AA86" i="12"/>
  <c r="AB86" i="12"/>
  <c r="AC86" i="12"/>
  <c r="AE86" i="12"/>
  <c r="AF86" i="12"/>
  <c r="AG86" i="12"/>
  <c r="W86" i="12"/>
  <c r="Y86" i="20" s="1"/>
  <c r="X86" i="12"/>
  <c r="Z86" i="20" s="1"/>
  <c r="Y86" i="12"/>
  <c r="AA86" i="20" s="1"/>
  <c r="C99" i="20"/>
  <c r="AC99" i="12"/>
  <c r="AE99" i="12"/>
  <c r="AF99" i="12"/>
  <c r="AG99" i="12"/>
  <c r="AA99" i="12"/>
  <c r="AB99" i="12"/>
  <c r="W99" i="12"/>
  <c r="Y99" i="20" s="1"/>
  <c r="X99" i="12"/>
  <c r="Z99" i="20" s="1"/>
  <c r="Y99" i="12"/>
  <c r="AA99" i="20" s="1"/>
  <c r="AF120" i="12"/>
  <c r="AG120" i="12"/>
  <c r="AA120" i="12"/>
  <c r="AB120" i="12"/>
  <c r="AC120" i="12"/>
  <c r="AE120" i="12"/>
  <c r="Y120" i="12"/>
  <c r="AA120" i="20" s="1"/>
  <c r="W120" i="12"/>
  <c r="Y120" i="20" s="1"/>
  <c r="X120" i="12"/>
  <c r="Z120" i="20" s="1"/>
  <c r="C121" i="20"/>
  <c r="AA121" i="12"/>
  <c r="AB121" i="12"/>
  <c r="AD121" i="20" s="1"/>
  <c r="AC121" i="12"/>
  <c r="AE121" i="12"/>
  <c r="AF121" i="12"/>
  <c r="AG121" i="12"/>
  <c r="W121" i="12"/>
  <c r="Y121" i="20" s="1"/>
  <c r="X121" i="12"/>
  <c r="Z121" i="20" s="1"/>
  <c r="Y121" i="12"/>
  <c r="AA121" i="20" s="1"/>
  <c r="C113" i="20"/>
  <c r="AA113" i="12"/>
  <c r="AB113" i="12"/>
  <c r="AC113" i="12"/>
  <c r="AE113" i="12"/>
  <c r="AF113" i="12"/>
  <c r="AG113" i="12"/>
  <c r="W113" i="12"/>
  <c r="Y113" i="20" s="1"/>
  <c r="X113" i="12"/>
  <c r="Z113" i="20" s="1"/>
  <c r="Y113" i="12"/>
  <c r="AA113" i="20" s="1"/>
  <c r="Z121" i="24"/>
  <c r="S121" i="24"/>
  <c r="AA121" i="24"/>
  <c r="T121" i="24"/>
  <c r="AB121" i="24"/>
  <c r="U121" i="24"/>
  <c r="W121" i="24"/>
  <c r="X121" i="24"/>
  <c r="Y121" i="24"/>
  <c r="O121" i="24"/>
  <c r="P121" i="24"/>
  <c r="Q121" i="24"/>
  <c r="C93" i="20"/>
  <c r="AA93" i="12"/>
  <c r="AB93" i="12"/>
  <c r="AC93" i="12"/>
  <c r="AE93" i="12"/>
  <c r="AF93" i="12"/>
  <c r="AG93" i="12"/>
  <c r="W93" i="12"/>
  <c r="Y93" i="20" s="1"/>
  <c r="X93" i="12"/>
  <c r="Z93" i="20" s="1"/>
  <c r="Y93" i="12"/>
  <c r="AA93" i="20" s="1"/>
  <c r="W87" i="24"/>
  <c r="X87" i="24"/>
  <c r="S87" i="24"/>
  <c r="Y87" i="24"/>
  <c r="T87" i="24"/>
  <c r="Z87" i="24"/>
  <c r="U87" i="24"/>
  <c r="AA87" i="24"/>
  <c r="AB87" i="24"/>
  <c r="O87" i="24"/>
  <c r="P87" i="24"/>
  <c r="Q87" i="24"/>
  <c r="C117" i="20"/>
  <c r="AA117" i="12"/>
  <c r="AB117" i="12"/>
  <c r="AC117" i="12"/>
  <c r="AE117" i="12"/>
  <c r="AF117" i="12"/>
  <c r="AG117" i="12"/>
  <c r="X117" i="12"/>
  <c r="Z117" i="20" s="1"/>
  <c r="Y117" i="12"/>
  <c r="AA117" i="20" s="1"/>
  <c r="W117" i="12"/>
  <c r="Y117" i="20" s="1"/>
  <c r="X108" i="24"/>
  <c r="Y108" i="24"/>
  <c r="S108" i="24"/>
  <c r="Z108" i="24"/>
  <c r="T108" i="24"/>
  <c r="AA108" i="24"/>
  <c r="U108" i="24"/>
  <c r="AB108" i="24"/>
  <c r="W108" i="24"/>
  <c r="O108" i="24"/>
  <c r="P108" i="24"/>
  <c r="Q108" i="24"/>
  <c r="X124" i="24"/>
  <c r="Y124" i="24"/>
  <c r="S124" i="24"/>
  <c r="Z124" i="24"/>
  <c r="T124" i="24"/>
  <c r="AA124" i="24"/>
  <c r="U124" i="24"/>
  <c r="AB124" i="24"/>
  <c r="W124" i="24"/>
  <c r="Q124" i="24"/>
  <c r="O124" i="24"/>
  <c r="P124" i="24"/>
  <c r="X116" i="24"/>
  <c r="Y116" i="24"/>
  <c r="S116" i="24"/>
  <c r="Z116" i="24"/>
  <c r="T116" i="24"/>
  <c r="AA116" i="24"/>
  <c r="U116" i="24"/>
  <c r="AB116" i="24"/>
  <c r="W116" i="24"/>
  <c r="O116" i="24"/>
  <c r="P116" i="24"/>
  <c r="Q116" i="24"/>
  <c r="C125" i="20"/>
  <c r="AA125" i="12"/>
  <c r="AB125" i="12"/>
  <c r="AD125" i="20" s="1"/>
  <c r="AC125" i="12"/>
  <c r="AE125" i="12"/>
  <c r="AF125" i="12"/>
  <c r="AG125" i="12"/>
  <c r="Y125" i="12"/>
  <c r="AA125" i="20" s="1"/>
  <c r="X125" i="12"/>
  <c r="Z125" i="20" s="1"/>
  <c r="W125" i="12"/>
  <c r="Y125" i="20" s="1"/>
  <c r="C102" i="20"/>
  <c r="AA102" i="12"/>
  <c r="AB102" i="12"/>
  <c r="AC102" i="12"/>
  <c r="AE102" i="12"/>
  <c r="AF102" i="12"/>
  <c r="AG102" i="12"/>
  <c r="W102" i="12"/>
  <c r="Y102" i="20" s="1"/>
  <c r="X102" i="12"/>
  <c r="Z102" i="20" s="1"/>
  <c r="Y102" i="12"/>
  <c r="AA102" i="20" s="1"/>
  <c r="C87" i="20"/>
  <c r="AC87" i="12"/>
  <c r="AE87" i="12"/>
  <c r="AF87" i="12"/>
  <c r="AG87" i="12"/>
  <c r="AA87" i="12"/>
  <c r="AB87" i="12"/>
  <c r="AD87" i="20" s="1"/>
  <c r="Y87" i="12"/>
  <c r="AA87" i="20" s="1"/>
  <c r="W87" i="12"/>
  <c r="Y87" i="20" s="1"/>
  <c r="X87" i="12"/>
  <c r="Z87" i="20" s="1"/>
  <c r="C103" i="20"/>
  <c r="AC103" i="12"/>
  <c r="AE103" i="12"/>
  <c r="AF103" i="12"/>
  <c r="AG103" i="12"/>
  <c r="AA103" i="12"/>
  <c r="AC103" i="20" s="1"/>
  <c r="AB103" i="12"/>
  <c r="Y103" i="12"/>
  <c r="AA103" i="20" s="1"/>
  <c r="W103" i="12"/>
  <c r="Y103" i="20" s="1"/>
  <c r="X103" i="12"/>
  <c r="Z103" i="20" s="1"/>
  <c r="C114" i="20"/>
  <c r="AA114" i="12"/>
  <c r="AB114" i="12"/>
  <c r="AC114" i="12"/>
  <c r="AE114" i="12"/>
  <c r="AF114" i="12"/>
  <c r="AG114" i="12"/>
  <c r="Y114" i="12"/>
  <c r="AA114" i="20" s="1"/>
  <c r="W114" i="12"/>
  <c r="Y114" i="20" s="1"/>
  <c r="X114" i="12"/>
  <c r="Z114" i="20" s="1"/>
  <c r="C104" i="20"/>
  <c r="AF104" i="12"/>
  <c r="AG104" i="12"/>
  <c r="AA104" i="12"/>
  <c r="AB104" i="12"/>
  <c r="AC104" i="12"/>
  <c r="AE104" i="12"/>
  <c r="W104" i="12"/>
  <c r="Y104" i="20" s="1"/>
  <c r="Y104" i="12"/>
  <c r="AA104" i="20" s="1"/>
  <c r="X104" i="12"/>
  <c r="Z104" i="20" s="1"/>
  <c r="X112" i="24"/>
  <c r="Y112" i="24"/>
  <c r="Z112" i="24"/>
  <c r="AA112" i="24"/>
  <c r="AB112" i="24"/>
  <c r="S112" i="24"/>
  <c r="T112" i="24"/>
  <c r="W112" i="24"/>
  <c r="U112" i="24"/>
  <c r="O112" i="24"/>
  <c r="P112" i="24"/>
  <c r="Q112" i="24"/>
  <c r="AB102" i="24"/>
  <c r="T102" i="24"/>
  <c r="U102" i="24"/>
  <c r="W102" i="24"/>
  <c r="X102" i="24"/>
  <c r="Y102" i="24"/>
  <c r="Z102" i="24"/>
  <c r="AA102" i="24"/>
  <c r="S102" i="24"/>
  <c r="Q102" i="24"/>
  <c r="O102" i="24"/>
  <c r="P102" i="24"/>
  <c r="X104" i="24"/>
  <c r="Y104" i="24"/>
  <c r="Z104" i="24"/>
  <c r="AA104" i="24"/>
  <c r="AB104" i="24"/>
  <c r="S104" i="24"/>
  <c r="T104" i="24"/>
  <c r="W104" i="24"/>
  <c r="U104" i="24"/>
  <c r="P104" i="24"/>
  <c r="Q104" i="24"/>
  <c r="O104" i="24"/>
  <c r="AB90" i="24"/>
  <c r="W90" i="24"/>
  <c r="S90" i="24"/>
  <c r="X90" i="24"/>
  <c r="T90" i="24"/>
  <c r="Y90" i="24"/>
  <c r="U90" i="24"/>
  <c r="Z90" i="24"/>
  <c r="AA90" i="24"/>
  <c r="Q90" i="24"/>
  <c r="O90" i="24"/>
  <c r="P90" i="24"/>
  <c r="Z105" i="24"/>
  <c r="S105" i="24"/>
  <c r="AA105" i="24"/>
  <c r="T105" i="24"/>
  <c r="AB105" i="24"/>
  <c r="U105" i="24"/>
  <c r="W105" i="24"/>
  <c r="X105" i="24"/>
  <c r="Y105" i="24"/>
  <c r="P105" i="24"/>
  <c r="Q105" i="24"/>
  <c r="O105" i="24"/>
  <c r="U107" i="24"/>
  <c r="W107" i="24"/>
  <c r="X107" i="24"/>
  <c r="Y107" i="24"/>
  <c r="Z107" i="24"/>
  <c r="AA107" i="24"/>
  <c r="AB107" i="24"/>
  <c r="S107" i="24"/>
  <c r="T107" i="24"/>
  <c r="P107" i="24"/>
  <c r="Q107" i="24"/>
  <c r="O107" i="24"/>
  <c r="AB114" i="24"/>
  <c r="W114" i="24"/>
  <c r="S114" i="24"/>
  <c r="X114" i="24"/>
  <c r="T114" i="24"/>
  <c r="Y114" i="24"/>
  <c r="U114" i="24"/>
  <c r="Z114" i="24"/>
  <c r="AA114" i="24"/>
  <c r="Q114" i="24"/>
  <c r="P114" i="24"/>
  <c r="O114" i="24"/>
  <c r="X92" i="24"/>
  <c r="Y92" i="24"/>
  <c r="S92" i="24"/>
  <c r="Z92" i="24"/>
  <c r="T92" i="24"/>
  <c r="AA92" i="24"/>
  <c r="U92" i="24"/>
  <c r="AB92" i="24"/>
  <c r="W92" i="24"/>
  <c r="O92" i="24"/>
  <c r="P92" i="24"/>
  <c r="Q92" i="24"/>
  <c r="X120" i="24"/>
  <c r="Y120" i="24"/>
  <c r="Z120" i="24"/>
  <c r="AA120" i="24"/>
  <c r="AB120" i="24"/>
  <c r="S120" i="24"/>
  <c r="T120" i="24"/>
  <c r="W120" i="24"/>
  <c r="U120" i="24"/>
  <c r="O120" i="24"/>
  <c r="P120" i="24"/>
  <c r="Q120" i="24"/>
  <c r="B4" i="19"/>
  <c r="D80" i="16" s="1"/>
  <c r="C98" i="20"/>
  <c r="AA98" i="12"/>
  <c r="AB98" i="12"/>
  <c r="AC98" i="12"/>
  <c r="AE98" i="12"/>
  <c r="AF98" i="12"/>
  <c r="AG98" i="12"/>
  <c r="X98" i="12"/>
  <c r="Z98" i="20" s="1"/>
  <c r="Y98" i="12"/>
  <c r="AA98" i="20" s="1"/>
  <c r="W98" i="12"/>
  <c r="Y98" i="20" s="1"/>
  <c r="C81" i="20"/>
  <c r="AG81" i="12"/>
  <c r="AF81" i="12"/>
  <c r="AE81" i="12"/>
  <c r="AC81" i="12"/>
  <c r="AB81" i="12"/>
  <c r="AA81" i="12"/>
  <c r="Y81" i="12"/>
  <c r="AA81" i="20" s="1"/>
  <c r="W81" i="12"/>
  <c r="Y81" i="20" s="1"/>
  <c r="X81" i="12"/>
  <c r="Z81" i="20" s="1"/>
  <c r="C123" i="20"/>
  <c r="AC123" i="12"/>
  <c r="AE123" i="20" s="1"/>
  <c r="AE123" i="12"/>
  <c r="AF123" i="12"/>
  <c r="AG123" i="12"/>
  <c r="AA123" i="12"/>
  <c r="AC123" i="20" s="1"/>
  <c r="AB123" i="12"/>
  <c r="AD123" i="20" s="1"/>
  <c r="X123" i="12"/>
  <c r="Z123" i="20" s="1"/>
  <c r="Y123" i="12"/>
  <c r="AA123" i="20" s="1"/>
  <c r="W123" i="12"/>
  <c r="Y123" i="20" s="1"/>
  <c r="C92" i="20"/>
  <c r="AF92" i="12"/>
  <c r="AG92" i="12"/>
  <c r="AA92" i="12"/>
  <c r="AB92" i="12"/>
  <c r="AD92" i="20" s="1"/>
  <c r="AC92" i="12"/>
  <c r="AE92" i="12"/>
  <c r="W92" i="12"/>
  <c r="Y92" i="20" s="1"/>
  <c r="X92" i="12"/>
  <c r="Z92" i="20" s="1"/>
  <c r="Y92" i="12"/>
  <c r="AA92" i="20" s="1"/>
  <c r="C115" i="20"/>
  <c r="AC115" i="12"/>
  <c r="AE115" i="12"/>
  <c r="AF115" i="12"/>
  <c r="AG115" i="12"/>
  <c r="AA115" i="12"/>
  <c r="AB115" i="12"/>
  <c r="X115" i="12"/>
  <c r="Z115" i="20" s="1"/>
  <c r="W115" i="12"/>
  <c r="Y115" i="20" s="1"/>
  <c r="Y115" i="12"/>
  <c r="AA115" i="20" s="1"/>
  <c r="C116" i="20"/>
  <c r="AF116" i="12"/>
  <c r="AG116" i="12"/>
  <c r="AA116" i="12"/>
  <c r="AB116" i="12"/>
  <c r="AC116" i="12"/>
  <c r="AE116" i="12"/>
  <c r="W116" i="12"/>
  <c r="Y116" i="20" s="1"/>
  <c r="X116" i="12"/>
  <c r="Z116" i="20" s="1"/>
  <c r="Y116" i="12"/>
  <c r="AA116" i="20" s="1"/>
  <c r="C106" i="20"/>
  <c r="AA106" i="12"/>
  <c r="AB106" i="12"/>
  <c r="AC106" i="12"/>
  <c r="AE106" i="12"/>
  <c r="AF106" i="12"/>
  <c r="AG106" i="12"/>
  <c r="Y106" i="12"/>
  <c r="AA106" i="20" s="1"/>
  <c r="W106" i="12"/>
  <c r="Y106" i="20" s="1"/>
  <c r="X106" i="12"/>
  <c r="Z106" i="20" s="1"/>
  <c r="W103" i="24"/>
  <c r="X103" i="24"/>
  <c r="S103" i="24"/>
  <c r="Y103" i="24"/>
  <c r="T103" i="24"/>
  <c r="Z103" i="24"/>
  <c r="U103" i="24"/>
  <c r="AA103" i="24"/>
  <c r="AB103" i="24"/>
  <c r="P103" i="24"/>
  <c r="Q103" i="24"/>
  <c r="O103" i="24"/>
  <c r="Y81" i="24"/>
  <c r="AH80" i="26" s="1"/>
  <c r="H124" i="16" s="1"/>
  <c r="U81" i="24"/>
  <c r="AA81" i="24"/>
  <c r="X81" i="24"/>
  <c r="T81" i="24"/>
  <c r="Z81" i="24"/>
  <c r="W81" i="24"/>
  <c r="AB81" i="24"/>
  <c r="S81" i="24"/>
  <c r="Q81" i="24"/>
  <c r="O81" i="24"/>
  <c r="P81" i="24"/>
  <c r="X100" i="24"/>
  <c r="Y100" i="24"/>
  <c r="S100" i="24"/>
  <c r="Z100" i="24"/>
  <c r="T100" i="24"/>
  <c r="AA100" i="24"/>
  <c r="U100" i="24"/>
  <c r="AB100" i="24"/>
  <c r="W100" i="24"/>
  <c r="Q100" i="24"/>
  <c r="O100" i="24"/>
  <c r="P100" i="24"/>
  <c r="X81" i="18"/>
  <c r="W81" i="18"/>
  <c r="M121" i="20"/>
  <c r="AA121" i="18"/>
  <c r="AB121" i="18"/>
  <c r="Z121" i="18"/>
  <c r="W121" i="18"/>
  <c r="X121" i="18"/>
  <c r="Y121" i="18"/>
  <c r="O121" i="18"/>
  <c r="P121" i="18"/>
  <c r="S121" i="18"/>
  <c r="T121" i="18"/>
  <c r="U121" i="18"/>
  <c r="Q121" i="18"/>
  <c r="AL100" i="20"/>
  <c r="M89" i="20"/>
  <c r="Z89" i="18"/>
  <c r="AA89" i="18"/>
  <c r="AB89" i="18"/>
  <c r="W89" i="18"/>
  <c r="X89" i="18"/>
  <c r="Y89" i="18"/>
  <c r="U89" i="18"/>
  <c r="Q89" i="18"/>
  <c r="P89" i="18"/>
  <c r="O89" i="18"/>
  <c r="S89" i="18"/>
  <c r="T89" i="18"/>
  <c r="M118" i="20"/>
  <c r="AB118" i="18"/>
  <c r="W118" i="18"/>
  <c r="X118" i="18"/>
  <c r="Y118" i="18"/>
  <c r="Z118" i="18"/>
  <c r="AA118" i="18"/>
  <c r="S118" i="18"/>
  <c r="T118" i="18"/>
  <c r="U118" i="18"/>
  <c r="Q118" i="18"/>
  <c r="O118" i="18"/>
  <c r="AD118" i="18" s="1"/>
  <c r="P118" i="18"/>
  <c r="M114" i="20"/>
  <c r="W114" i="18"/>
  <c r="X114" i="18"/>
  <c r="Y114" i="18"/>
  <c r="Z114" i="18"/>
  <c r="AA114" i="18"/>
  <c r="AB114" i="18"/>
  <c r="S114" i="18"/>
  <c r="O114" i="18"/>
  <c r="P114" i="18"/>
  <c r="U114" i="18"/>
  <c r="Q114" i="18"/>
  <c r="T114" i="18"/>
  <c r="M97" i="20"/>
  <c r="AA97" i="18"/>
  <c r="AB97" i="18"/>
  <c r="W97" i="18"/>
  <c r="Z97" i="18"/>
  <c r="X97" i="18"/>
  <c r="Y97" i="18"/>
  <c r="S97" i="18"/>
  <c r="T97" i="18"/>
  <c r="U97" i="18"/>
  <c r="P97" i="18"/>
  <c r="Q97" i="18"/>
  <c r="O97" i="18"/>
  <c r="M94" i="20"/>
  <c r="W94" i="18"/>
  <c r="X94" i="18"/>
  <c r="Y94" i="18"/>
  <c r="Z94" i="18"/>
  <c r="AA94" i="18"/>
  <c r="AB94" i="18"/>
  <c r="P94" i="18"/>
  <c r="O94" i="18"/>
  <c r="Q94" i="18"/>
  <c r="S94" i="18"/>
  <c r="T94" i="18"/>
  <c r="U94" i="18"/>
  <c r="M108" i="20"/>
  <c r="Y108" i="18"/>
  <c r="Z108" i="18"/>
  <c r="AA108" i="18"/>
  <c r="AB108" i="18"/>
  <c r="X108" i="18"/>
  <c r="W108" i="18"/>
  <c r="Q108" i="18"/>
  <c r="AF108" i="18" s="1"/>
  <c r="O108" i="18"/>
  <c r="S108" i="18"/>
  <c r="T108" i="18"/>
  <c r="P108" i="18"/>
  <c r="U108" i="18"/>
  <c r="AB90" i="18"/>
  <c r="W90" i="18"/>
  <c r="X90" i="18"/>
  <c r="Y90" i="18"/>
  <c r="Z90" i="18"/>
  <c r="AA90" i="18"/>
  <c r="S90" i="18"/>
  <c r="O90" i="18"/>
  <c r="P90" i="18"/>
  <c r="Q90" i="18"/>
  <c r="T90" i="18"/>
  <c r="U90" i="18"/>
  <c r="M106" i="20"/>
  <c r="W106" i="18"/>
  <c r="X106" i="18"/>
  <c r="Y106" i="18"/>
  <c r="AB106" i="18"/>
  <c r="Z106" i="18"/>
  <c r="AA106" i="18"/>
  <c r="P106" i="18"/>
  <c r="U106" i="18"/>
  <c r="Q106" i="18"/>
  <c r="T106" i="18"/>
  <c r="O106" i="18"/>
  <c r="S106" i="18"/>
  <c r="M115" i="20"/>
  <c r="W115" i="18"/>
  <c r="X115" i="18"/>
  <c r="Y115" i="18"/>
  <c r="Z115" i="18"/>
  <c r="AA115" i="18"/>
  <c r="AB115" i="18"/>
  <c r="S115" i="18"/>
  <c r="P115" i="18"/>
  <c r="Q115" i="18"/>
  <c r="O115" i="18"/>
  <c r="T115" i="18"/>
  <c r="U115" i="18"/>
  <c r="M84" i="20"/>
  <c r="X84" i="18"/>
  <c r="Y84" i="18"/>
  <c r="Z84" i="18"/>
  <c r="AA84" i="18"/>
  <c r="AB84" i="18"/>
  <c r="W84" i="18"/>
  <c r="U84" i="18"/>
  <c r="O84" i="18"/>
  <c r="S84" i="18"/>
  <c r="P84" i="18"/>
  <c r="T84" i="18"/>
  <c r="Q84" i="18"/>
  <c r="M95" i="20"/>
  <c r="W95" i="18"/>
  <c r="X95" i="18"/>
  <c r="Y95" i="18"/>
  <c r="Z95" i="18"/>
  <c r="AA95" i="18"/>
  <c r="AB95" i="18"/>
  <c r="S95" i="18"/>
  <c r="O95" i="18"/>
  <c r="T95" i="18"/>
  <c r="P95" i="18"/>
  <c r="Q95" i="18"/>
  <c r="U95" i="18"/>
  <c r="M102" i="20"/>
  <c r="AB102" i="18"/>
  <c r="W102" i="18"/>
  <c r="X102" i="18"/>
  <c r="Y102" i="18"/>
  <c r="Z102" i="18"/>
  <c r="AA102" i="18"/>
  <c r="Q102" i="18"/>
  <c r="P102" i="18"/>
  <c r="O102" i="18"/>
  <c r="S102" i="18"/>
  <c r="T102" i="18"/>
  <c r="U102" i="18"/>
  <c r="M116" i="20"/>
  <c r="Y116" i="18"/>
  <c r="Z116" i="18"/>
  <c r="AA116" i="18"/>
  <c r="AB116" i="18"/>
  <c r="X116" i="18"/>
  <c r="W116" i="18"/>
  <c r="P116" i="18"/>
  <c r="T116" i="18"/>
  <c r="O116" i="18"/>
  <c r="U116" i="18"/>
  <c r="Q116" i="18"/>
  <c r="S116" i="18"/>
  <c r="M98" i="20"/>
  <c r="AB98" i="18"/>
  <c r="W98" i="18"/>
  <c r="X98" i="18"/>
  <c r="Y98" i="18"/>
  <c r="Z98" i="18"/>
  <c r="AA98" i="18"/>
  <c r="Q98" i="18"/>
  <c r="S98" i="18"/>
  <c r="O98" i="18"/>
  <c r="T98" i="18"/>
  <c r="P98" i="18"/>
  <c r="U98" i="18"/>
  <c r="M86" i="20"/>
  <c r="AB86" i="18"/>
  <c r="W86" i="18"/>
  <c r="X86" i="18"/>
  <c r="Y86" i="18"/>
  <c r="Z86" i="18"/>
  <c r="AA86" i="18"/>
  <c r="O86" i="18"/>
  <c r="Q86" i="18"/>
  <c r="P86" i="18"/>
  <c r="S86" i="18"/>
  <c r="T86" i="18"/>
  <c r="U86" i="18"/>
  <c r="M99" i="20"/>
  <c r="W99" i="18"/>
  <c r="X99" i="18"/>
  <c r="Y99" i="18"/>
  <c r="Z99" i="18"/>
  <c r="AA99" i="18"/>
  <c r="AB99" i="18"/>
  <c r="Q99" i="18"/>
  <c r="S99" i="18"/>
  <c r="T99" i="18"/>
  <c r="U99" i="18"/>
  <c r="P99" i="18"/>
  <c r="O99" i="18"/>
  <c r="M85" i="20"/>
  <c r="Z85" i="18"/>
  <c r="AA85" i="18"/>
  <c r="AB85" i="18"/>
  <c r="W85" i="18"/>
  <c r="X85" i="18"/>
  <c r="Y85" i="18"/>
  <c r="O85" i="18"/>
  <c r="P85" i="18"/>
  <c r="S85" i="18"/>
  <c r="Q85" i="18"/>
  <c r="T85" i="18"/>
  <c r="U85" i="18"/>
  <c r="M93" i="20"/>
  <c r="Z93" i="18"/>
  <c r="AA93" i="18"/>
  <c r="AB93" i="18"/>
  <c r="W93" i="18"/>
  <c r="X93" i="18"/>
  <c r="Y93" i="18"/>
  <c r="O93" i="18"/>
  <c r="P93" i="18"/>
  <c r="T93" i="18"/>
  <c r="S93" i="18"/>
  <c r="Q93" i="18"/>
  <c r="U93" i="18"/>
  <c r="M119" i="20"/>
  <c r="W119" i="18"/>
  <c r="X119" i="18"/>
  <c r="Y119" i="18"/>
  <c r="Z119" i="18"/>
  <c r="AA119" i="18"/>
  <c r="AB119" i="18"/>
  <c r="U119" i="18"/>
  <c r="S119" i="18"/>
  <c r="T119" i="18"/>
  <c r="P119" i="18"/>
  <c r="O119" i="18"/>
  <c r="Q119" i="18"/>
  <c r="M105" i="20"/>
  <c r="AA105" i="18"/>
  <c r="Z105" i="18"/>
  <c r="AB105" i="18"/>
  <c r="W105" i="18"/>
  <c r="X105" i="18"/>
  <c r="Y105" i="18"/>
  <c r="O105" i="18"/>
  <c r="S105" i="18"/>
  <c r="T105" i="18"/>
  <c r="U105" i="18"/>
  <c r="P105" i="18"/>
  <c r="Q105" i="18"/>
  <c r="M101" i="20"/>
  <c r="AA101" i="18"/>
  <c r="AB101" i="18"/>
  <c r="Z101" i="18"/>
  <c r="W101" i="18"/>
  <c r="X101" i="18"/>
  <c r="Y101" i="18"/>
  <c r="Q101" i="18"/>
  <c r="O101" i="18"/>
  <c r="U101" i="18"/>
  <c r="T101" i="18"/>
  <c r="P101" i="18"/>
  <c r="S101" i="18"/>
  <c r="M91" i="20"/>
  <c r="W91" i="18"/>
  <c r="X91" i="18"/>
  <c r="Y91" i="18"/>
  <c r="Z91" i="18"/>
  <c r="AA91" i="18"/>
  <c r="AB91" i="18"/>
  <c r="S91" i="18"/>
  <c r="U91" i="18"/>
  <c r="P91" i="18"/>
  <c r="T91" i="18"/>
  <c r="O91" i="18"/>
  <c r="Q91" i="18"/>
  <c r="M125" i="20"/>
  <c r="AA125" i="18"/>
  <c r="AB125" i="18"/>
  <c r="Z125" i="18"/>
  <c r="W125" i="18"/>
  <c r="X125" i="18"/>
  <c r="Y125" i="18"/>
  <c r="P125" i="18"/>
  <c r="S125" i="18"/>
  <c r="U125" i="18"/>
  <c r="Q125" i="18"/>
  <c r="O125" i="18"/>
  <c r="AD125" i="18" s="1"/>
  <c r="T125" i="18"/>
  <c r="Y120" i="18"/>
  <c r="X120" i="18"/>
  <c r="Z120" i="18"/>
  <c r="AA120" i="18"/>
  <c r="AB120" i="18"/>
  <c r="W120" i="18"/>
  <c r="O120" i="18"/>
  <c r="AD120" i="18" s="1"/>
  <c r="U120" i="18"/>
  <c r="T120" i="18"/>
  <c r="Q120" i="18"/>
  <c r="S120" i="18"/>
  <c r="P120" i="18"/>
  <c r="M81" i="20"/>
  <c r="Y81" i="18"/>
  <c r="Q81" i="18"/>
  <c r="O81" i="18"/>
  <c r="U81" i="18"/>
  <c r="P81" i="18"/>
  <c r="AE81" i="18" s="1"/>
  <c r="T81" i="18"/>
  <c r="S81" i="18"/>
  <c r="M107" i="20"/>
  <c r="W107" i="18"/>
  <c r="X107" i="18"/>
  <c r="Y107" i="18"/>
  <c r="Z107" i="18"/>
  <c r="AA107" i="18"/>
  <c r="AB107" i="18"/>
  <c r="P107" i="18"/>
  <c r="O107" i="18"/>
  <c r="S107" i="18"/>
  <c r="Q107" i="18"/>
  <c r="AF107" i="18" s="1"/>
  <c r="T107" i="18"/>
  <c r="U107" i="18"/>
  <c r="Y100" i="18"/>
  <c r="Z100" i="18"/>
  <c r="AA100" i="18"/>
  <c r="AB100" i="18"/>
  <c r="X100" i="18"/>
  <c r="W100" i="18"/>
  <c r="S100" i="18"/>
  <c r="T100" i="18"/>
  <c r="U100" i="18"/>
  <c r="Q100" i="18"/>
  <c r="O100" i="18"/>
  <c r="P100" i="18"/>
  <c r="M87" i="20"/>
  <c r="W87" i="18"/>
  <c r="X87" i="18"/>
  <c r="Y87" i="18"/>
  <c r="Z87" i="18"/>
  <c r="AA87" i="18"/>
  <c r="AB87" i="18"/>
  <c r="P87" i="18"/>
  <c r="Q87" i="18"/>
  <c r="U87" i="18"/>
  <c r="S87" i="18"/>
  <c r="T87" i="18"/>
  <c r="O87" i="18"/>
  <c r="M122" i="20"/>
  <c r="W122" i="18"/>
  <c r="X122" i="18"/>
  <c r="Y122" i="18"/>
  <c r="AB122" i="18"/>
  <c r="Z122" i="18"/>
  <c r="AA122" i="18"/>
  <c r="U122" i="18"/>
  <c r="P122" i="18"/>
  <c r="S122" i="18"/>
  <c r="O122" i="18"/>
  <c r="Q122" i="18"/>
  <c r="T122" i="18"/>
  <c r="M123" i="20"/>
  <c r="W123" i="18"/>
  <c r="X123" i="18"/>
  <c r="Y123" i="18"/>
  <c r="Z123" i="18"/>
  <c r="AA123" i="18"/>
  <c r="AB123" i="18"/>
  <c r="O123" i="18"/>
  <c r="AD123" i="18" s="1"/>
  <c r="Q123" i="18"/>
  <c r="T123" i="18"/>
  <c r="U123" i="18"/>
  <c r="P123" i="18"/>
  <c r="S123" i="18"/>
  <c r="M82" i="20"/>
  <c r="AB82" i="18"/>
  <c r="W82" i="18"/>
  <c r="X82" i="18"/>
  <c r="Y82" i="18"/>
  <c r="Z82" i="18"/>
  <c r="AA82" i="18"/>
  <c r="Q82" i="18"/>
  <c r="T82" i="18"/>
  <c r="O82" i="18"/>
  <c r="U82" i="18"/>
  <c r="S82" i="18"/>
  <c r="P82" i="18"/>
  <c r="M83" i="20"/>
  <c r="W83" i="18"/>
  <c r="X83" i="18"/>
  <c r="Y83" i="18"/>
  <c r="Z83" i="18"/>
  <c r="AA83" i="18"/>
  <c r="AB83" i="18"/>
  <c r="O83" i="18"/>
  <c r="Q83" i="18"/>
  <c r="S83" i="18"/>
  <c r="T83" i="18"/>
  <c r="U83" i="18"/>
  <c r="P83" i="18"/>
  <c r="M109" i="20"/>
  <c r="AA109" i="18"/>
  <c r="AB109" i="18"/>
  <c r="Z109" i="18"/>
  <c r="W109" i="18"/>
  <c r="X109" i="18"/>
  <c r="Y109" i="18"/>
  <c r="O109" i="18"/>
  <c r="T109" i="18"/>
  <c r="P109" i="18"/>
  <c r="S109" i="18"/>
  <c r="Q109" i="18"/>
  <c r="AF109" i="18" s="1"/>
  <c r="U109" i="18"/>
  <c r="M103" i="20"/>
  <c r="W103" i="18"/>
  <c r="X103" i="18"/>
  <c r="Y103" i="18"/>
  <c r="Z103" i="18"/>
  <c r="AA103" i="18"/>
  <c r="AB103" i="18"/>
  <c r="U103" i="18"/>
  <c r="O103" i="18"/>
  <c r="S103" i="18"/>
  <c r="P103" i="18"/>
  <c r="T103" i="18"/>
  <c r="Q103" i="18"/>
  <c r="M112" i="20"/>
  <c r="Y112" i="18"/>
  <c r="Z112" i="18"/>
  <c r="AA112" i="18"/>
  <c r="X112" i="18"/>
  <c r="AB112" i="18"/>
  <c r="W112" i="18"/>
  <c r="T112" i="18"/>
  <c r="Q112" i="18"/>
  <c r="S112" i="18"/>
  <c r="O112" i="18"/>
  <c r="P112" i="18"/>
  <c r="U112" i="18"/>
  <c r="M124" i="20"/>
  <c r="Y124" i="18"/>
  <c r="Z124" i="18"/>
  <c r="AA124" i="18"/>
  <c r="AB124" i="18"/>
  <c r="W124" i="18"/>
  <c r="X124" i="18"/>
  <c r="O124" i="18"/>
  <c r="S124" i="18"/>
  <c r="P124" i="18"/>
  <c r="T124" i="18"/>
  <c r="U124" i="18"/>
  <c r="Q124" i="18"/>
  <c r="M88" i="20"/>
  <c r="X88" i="18"/>
  <c r="Y88" i="18"/>
  <c r="Z88" i="18"/>
  <c r="AA88" i="18"/>
  <c r="AB88" i="18"/>
  <c r="W88" i="18"/>
  <c r="Q88" i="18"/>
  <c r="O88" i="18"/>
  <c r="P88" i="18"/>
  <c r="S88" i="18"/>
  <c r="T88" i="18"/>
  <c r="U88" i="18"/>
  <c r="M92" i="20"/>
  <c r="X92" i="18"/>
  <c r="Y92" i="18"/>
  <c r="Z92" i="18"/>
  <c r="AA92" i="18"/>
  <c r="AB92" i="18"/>
  <c r="W92" i="18"/>
  <c r="U92" i="18"/>
  <c r="Q92" i="18"/>
  <c r="P92" i="18"/>
  <c r="S92" i="18"/>
  <c r="O92" i="18"/>
  <c r="T92" i="18"/>
  <c r="W110" i="18"/>
  <c r="X110" i="18"/>
  <c r="Y110" i="18"/>
  <c r="Z110" i="18"/>
  <c r="AB110" i="18"/>
  <c r="AA110" i="18"/>
  <c r="O110" i="18"/>
  <c r="Q110" i="18"/>
  <c r="P110" i="18"/>
  <c r="S110" i="18"/>
  <c r="T110" i="18"/>
  <c r="U110" i="18"/>
  <c r="M111" i="20"/>
  <c r="W111" i="18"/>
  <c r="X111" i="18"/>
  <c r="Y111" i="18"/>
  <c r="Z111" i="18"/>
  <c r="AA111" i="18"/>
  <c r="AB111" i="18"/>
  <c r="T111" i="18"/>
  <c r="P111" i="18"/>
  <c r="Q111" i="18"/>
  <c r="S111" i="18"/>
  <c r="O111" i="18"/>
  <c r="U111" i="18"/>
  <c r="M104" i="20"/>
  <c r="Y104" i="18"/>
  <c r="Z104" i="18"/>
  <c r="AA104" i="18"/>
  <c r="AB104" i="18"/>
  <c r="W104" i="18"/>
  <c r="X104" i="18"/>
  <c r="O104" i="18"/>
  <c r="P104" i="18"/>
  <c r="U104" i="18"/>
  <c r="Q104" i="18"/>
  <c r="S104" i="18"/>
  <c r="T104" i="18"/>
  <c r="M113" i="20"/>
  <c r="AA113" i="18"/>
  <c r="Z113" i="18"/>
  <c r="AB113" i="18"/>
  <c r="W113" i="18"/>
  <c r="X113" i="18"/>
  <c r="Y113" i="18"/>
  <c r="Q113" i="18"/>
  <c r="T113" i="18"/>
  <c r="O113" i="18"/>
  <c r="P113" i="18"/>
  <c r="U113" i="18"/>
  <c r="S113" i="18"/>
  <c r="M117" i="20"/>
  <c r="AA117" i="18"/>
  <c r="AB117" i="18"/>
  <c r="W117" i="18"/>
  <c r="Z117" i="18"/>
  <c r="X117" i="18"/>
  <c r="Y117" i="18"/>
  <c r="U117" i="18"/>
  <c r="O117" i="18"/>
  <c r="T117" i="18"/>
  <c r="Q117" i="18"/>
  <c r="P117" i="18"/>
  <c r="S117" i="18"/>
  <c r="M96" i="20"/>
  <c r="Y96" i="18"/>
  <c r="X96" i="18"/>
  <c r="Z96" i="18"/>
  <c r="AA96" i="18"/>
  <c r="AB96" i="18"/>
  <c r="W96" i="18"/>
  <c r="T96" i="18"/>
  <c r="U96" i="18"/>
  <c r="Q96" i="18"/>
  <c r="S96" i="18"/>
  <c r="O96" i="18"/>
  <c r="P96" i="18"/>
  <c r="AN40" i="20"/>
  <c r="AG100" i="20"/>
  <c r="D109" i="16" s="1"/>
  <c r="AH90" i="20"/>
  <c r="C108" i="16" s="1"/>
  <c r="AL30" i="20"/>
  <c r="AI120" i="20"/>
  <c r="D117" i="16" s="1"/>
  <c r="AI40" i="20"/>
  <c r="D68" i="16" s="1"/>
  <c r="AI100" i="20"/>
  <c r="D115" i="16" s="1"/>
  <c r="AI110" i="20"/>
  <c r="D116" i="16" s="1"/>
  <c r="AH50" i="20"/>
  <c r="C61" i="16" s="1"/>
  <c r="AI50" i="20"/>
  <c r="D69" i="16" s="1"/>
  <c r="AI70" i="20"/>
  <c r="D71" i="16" s="1"/>
  <c r="AI20" i="20"/>
  <c r="D66" i="16" s="1"/>
  <c r="AI30" i="20"/>
  <c r="D67" i="16" s="1"/>
  <c r="AI90" i="20"/>
  <c r="D114" i="16" s="1"/>
  <c r="AI60" i="20"/>
  <c r="D70" i="16" s="1"/>
  <c r="AN20" i="20"/>
  <c r="AI80" i="20"/>
  <c r="D113" i="16" s="1"/>
  <c r="AD70" i="26"/>
  <c r="AB90" i="26"/>
  <c r="AM70" i="20"/>
  <c r="AM100" i="20"/>
  <c r="AK120" i="20"/>
  <c r="AJ90" i="20"/>
  <c r="C114" i="16" s="1"/>
  <c r="AJ50" i="20"/>
  <c r="C69" i="16" s="1"/>
  <c r="AD100" i="26"/>
  <c r="AK30" i="20"/>
  <c r="AH60" i="20"/>
  <c r="C62" i="16" s="1"/>
  <c r="AM40" i="20"/>
  <c r="AG110" i="20"/>
  <c r="D110" i="16" s="1"/>
  <c r="AL40" i="20"/>
  <c r="AN100" i="20"/>
  <c r="AL70" i="20"/>
  <c r="AL110" i="20"/>
  <c r="AM20" i="20"/>
  <c r="AH30" i="20"/>
  <c r="C59" i="16" s="1"/>
  <c r="AJ30" i="20"/>
  <c r="C67" i="16" s="1"/>
  <c r="AL50" i="20"/>
  <c r="AM120" i="20"/>
  <c r="AJ80" i="20"/>
  <c r="C113" i="16" s="1"/>
  <c r="AN50" i="20"/>
  <c r="AL120" i="20"/>
  <c r="AB80" i="26"/>
  <c r="Z70" i="26"/>
  <c r="AM50" i="20"/>
  <c r="AG120" i="20"/>
  <c r="D111" i="16" s="1"/>
  <c r="AH100" i="20"/>
  <c r="C109" i="16" s="1"/>
  <c r="AM110" i="20"/>
  <c r="AK100" i="20"/>
  <c r="AJ120" i="20"/>
  <c r="C117" i="16" s="1"/>
  <c r="AL60" i="20"/>
  <c r="AJ100" i="20"/>
  <c r="C115" i="16" s="1"/>
  <c r="AN70" i="20"/>
  <c r="AN80" i="20"/>
  <c r="AB120" i="26"/>
  <c r="AB70" i="26"/>
  <c r="AD120" i="26"/>
  <c r="Z80" i="26"/>
  <c r="E113" i="16" s="1"/>
  <c r="AD90" i="26"/>
  <c r="AM30" i="20"/>
  <c r="AK20" i="20"/>
  <c r="AG40" i="20"/>
  <c r="D60" i="16" s="1"/>
  <c r="AK60" i="20"/>
  <c r="AM90" i="20"/>
  <c r="AG90" i="20"/>
  <c r="D108" i="16" s="1"/>
  <c r="AH20" i="20"/>
  <c r="C58" i="16" s="1"/>
  <c r="AG30" i="20"/>
  <c r="D59" i="16" s="1"/>
  <c r="AH120" i="20"/>
  <c r="C111" i="16" s="1"/>
  <c r="AJ20" i="20"/>
  <c r="C66" i="16" s="1"/>
  <c r="AL90" i="20"/>
  <c r="AN120" i="20"/>
  <c r="AB110" i="26"/>
  <c r="AD80" i="26"/>
  <c r="AH70" i="20"/>
  <c r="C63" i="16" s="1"/>
  <c r="AG60" i="20"/>
  <c r="D62" i="16" s="1"/>
  <c r="AM80" i="20"/>
  <c r="AG80" i="20"/>
  <c r="D107" i="16" s="1"/>
  <c r="AK110" i="20"/>
  <c r="AJ40" i="20"/>
  <c r="C68" i="16" s="1"/>
  <c r="AN30" i="20"/>
  <c r="AJ70" i="20"/>
  <c r="C71" i="16" s="1"/>
  <c r="AL80" i="20"/>
  <c r="AN90" i="20"/>
  <c r="AN110" i="20"/>
  <c r="Z120" i="26"/>
  <c r="E117" i="16" s="1"/>
  <c r="AM60" i="20"/>
  <c r="AK50" i="20"/>
  <c r="AK40" i="20"/>
  <c r="AK70" i="20"/>
  <c r="AJ110" i="20"/>
  <c r="C116" i="16" s="1"/>
  <c r="AD110" i="26"/>
  <c r="Z100" i="26"/>
  <c r="E115" i="16" s="1"/>
  <c r="Z110" i="26"/>
  <c r="E116" i="16" s="1"/>
  <c r="AG20" i="20"/>
  <c r="D58" i="16" s="1"/>
  <c r="AK80" i="20"/>
  <c r="AH40" i="20"/>
  <c r="C60" i="16" s="1"/>
  <c r="AG50" i="20"/>
  <c r="D61" i="16" s="1"/>
  <c r="AH80" i="20"/>
  <c r="C107" i="16" s="1"/>
  <c r="AK90" i="20"/>
  <c r="AH110" i="20"/>
  <c r="C110" i="16" s="1"/>
  <c r="AL20" i="20"/>
  <c r="AN60" i="20"/>
  <c r="AJ60" i="20"/>
  <c r="C70" i="16" s="1"/>
  <c r="AB100" i="26"/>
  <c r="Z90" i="26"/>
  <c r="E114" i="16" s="1"/>
  <c r="Y80" i="26"/>
  <c r="F113" i="16" s="1"/>
  <c r="Y100" i="26"/>
  <c r="F115" i="16" s="1"/>
  <c r="Y70" i="26"/>
  <c r="F71" i="16" s="1"/>
  <c r="Y110" i="26"/>
  <c r="F116" i="16" s="1"/>
  <c r="Y120" i="26"/>
  <c r="F117" i="16" s="1"/>
  <c r="Y90" i="26"/>
  <c r="F114" i="16" s="1"/>
  <c r="J6" i="20"/>
  <c r="J30" i="20"/>
  <c r="H20" i="20"/>
  <c r="H60" i="20"/>
  <c r="K90" i="20"/>
  <c r="B20" i="20"/>
  <c r="L40" i="20"/>
  <c r="I120" i="20"/>
  <c r="T30" i="20"/>
  <c r="R60" i="20"/>
  <c r="F5" i="20"/>
  <c r="E4" i="19"/>
  <c r="E5" i="19" s="1"/>
  <c r="E6" i="19" s="1"/>
  <c r="E7" i="19" s="1"/>
  <c r="E8" i="19" s="1"/>
  <c r="E9" i="19" s="1"/>
  <c r="E10" i="19" s="1"/>
  <c r="E11" i="19" s="1"/>
  <c r="E12" i="19" s="1"/>
  <c r="E13" i="19" s="1"/>
  <c r="E14" i="19" s="1"/>
  <c r="E15" i="19" s="1"/>
  <c r="E16" i="19" s="1"/>
  <c r="E17" i="19" s="1"/>
  <c r="E18" i="19" s="1"/>
  <c r="E19" i="19" s="1"/>
  <c r="E20" i="19" s="1"/>
  <c r="E21" i="19" s="1"/>
  <c r="E22" i="19" s="1"/>
  <c r="E23" i="19" s="1"/>
  <c r="E24" i="19" s="1"/>
  <c r="E25" i="19" s="1"/>
  <c r="E26" i="19" s="1"/>
  <c r="E27" i="19" s="1"/>
  <c r="E28" i="19" s="1"/>
  <c r="E29" i="19" s="1"/>
  <c r="E30" i="19" s="1"/>
  <c r="E31" i="19" s="1"/>
  <c r="E32" i="19" s="1"/>
  <c r="E33" i="19" s="1"/>
  <c r="E34" i="19" s="1"/>
  <c r="E35" i="19" s="1"/>
  <c r="E36" i="19" s="1"/>
  <c r="E37" i="19" s="1"/>
  <c r="E38" i="19" s="1"/>
  <c r="E39" i="19" s="1"/>
  <c r="E40" i="19" s="1"/>
  <c r="E41" i="19" s="1"/>
  <c r="E42" i="19" s="1"/>
  <c r="E43" i="19" s="1"/>
  <c r="E44" i="19" s="1"/>
  <c r="E45" i="19" s="1"/>
  <c r="E46" i="19" s="1"/>
  <c r="E47" i="19" s="1"/>
  <c r="E48" i="19" s="1"/>
  <c r="E49" i="19" s="1"/>
  <c r="E50" i="19" s="1"/>
  <c r="E51" i="19" s="1"/>
  <c r="E52" i="19" s="1"/>
  <c r="E53" i="19" s="1"/>
  <c r="E54" i="19" s="1"/>
  <c r="E55" i="19" s="1"/>
  <c r="E56" i="19" s="1"/>
  <c r="E57" i="19" s="1"/>
  <c r="E58" i="19" s="1"/>
  <c r="E59" i="19" s="1"/>
  <c r="E60" i="19" s="1"/>
  <c r="E61" i="19" s="1"/>
  <c r="E62" i="19" s="1"/>
  <c r="E63" i="19" s="1"/>
  <c r="E64" i="19" s="1"/>
  <c r="E65" i="19" s="1"/>
  <c r="E66" i="19" s="1"/>
  <c r="E67" i="19" s="1"/>
  <c r="E68" i="19" s="1"/>
  <c r="E69" i="19" s="1"/>
  <c r="E70" i="19" s="1"/>
  <c r="E71" i="19" s="1"/>
  <c r="E72" i="19" s="1"/>
  <c r="E73" i="19" s="1"/>
  <c r="E74" i="19" s="1"/>
  <c r="E75" i="19" s="1"/>
  <c r="E76" i="19" s="1"/>
  <c r="E77" i="19" s="1"/>
  <c r="E78" i="19" s="1"/>
  <c r="E79" i="19" s="1"/>
  <c r="E80" i="19" s="1"/>
  <c r="E81" i="19" s="1"/>
  <c r="E82" i="19" s="1"/>
  <c r="E83" i="19" s="1"/>
  <c r="E84" i="19" s="1"/>
  <c r="E85" i="19" s="1"/>
  <c r="E86" i="19" s="1"/>
  <c r="E87" i="19" s="1"/>
  <c r="E88" i="19" s="1"/>
  <c r="E89" i="19" s="1"/>
  <c r="E90" i="19" s="1"/>
  <c r="E91" i="19" s="1"/>
  <c r="E92" i="19" s="1"/>
  <c r="E93" i="19" s="1"/>
  <c r="E94" i="19" s="1"/>
  <c r="E95" i="19" s="1"/>
  <c r="E96" i="19" s="1"/>
  <c r="E97" i="19" s="1"/>
  <c r="E98" i="19" s="1"/>
  <c r="E99" i="19" s="1"/>
  <c r="E100" i="19" s="1"/>
  <c r="E101" i="19" s="1"/>
  <c r="E102" i="19" s="1"/>
  <c r="E103" i="19" s="1"/>
  <c r="E104" i="19" s="1"/>
  <c r="E105" i="19" s="1"/>
  <c r="E106" i="19" s="1"/>
  <c r="E107" i="19" s="1"/>
  <c r="E108" i="19" s="1"/>
  <c r="E109" i="19" s="1"/>
  <c r="E110" i="19" s="1"/>
  <c r="E111" i="19" s="1"/>
  <c r="E112" i="19" s="1"/>
  <c r="E113" i="19" s="1"/>
  <c r="E114" i="19" s="1"/>
  <c r="E115" i="19" s="1"/>
  <c r="E116" i="19" s="1"/>
  <c r="E117" i="19" s="1"/>
  <c r="E118" i="19" s="1"/>
  <c r="E119" i="19" s="1"/>
  <c r="E120" i="19" s="1"/>
  <c r="E121" i="19" s="1"/>
  <c r="E122" i="19" s="1"/>
  <c r="E123" i="19" s="1"/>
  <c r="E124" i="19" s="1"/>
  <c r="B70" i="20"/>
  <c r="J80" i="20"/>
  <c r="J46" i="20"/>
  <c r="L30" i="20"/>
  <c r="C120" i="20"/>
  <c r="I100" i="20"/>
  <c r="H16" i="20"/>
  <c r="J10" i="20"/>
  <c r="AM10" i="20"/>
  <c r="B26" i="20"/>
  <c r="J60" i="20"/>
  <c r="H50" i="20"/>
  <c r="H40" i="20"/>
  <c r="H70" i="20"/>
  <c r="T20" i="20"/>
  <c r="T40" i="20"/>
  <c r="I110" i="20"/>
  <c r="R10" i="20"/>
  <c r="AL10" i="20"/>
  <c r="R30" i="20"/>
  <c r="R40" i="20"/>
  <c r="T60" i="20"/>
  <c r="L60" i="20"/>
  <c r="T70" i="20"/>
  <c r="T80" i="20"/>
  <c r="B5" i="20"/>
  <c r="C4" i="19"/>
  <c r="C80" i="16" s="1"/>
  <c r="H80" i="20"/>
  <c r="B6" i="20"/>
  <c r="J16" i="20"/>
  <c r="B40" i="20"/>
  <c r="B80" i="20"/>
  <c r="I90" i="20"/>
  <c r="K110" i="20"/>
  <c r="S100" i="20"/>
  <c r="M100" i="20"/>
  <c r="T50" i="20"/>
  <c r="S110" i="20"/>
  <c r="U120" i="20"/>
  <c r="L50" i="20"/>
  <c r="Y20" i="26"/>
  <c r="F66" i="16" s="1"/>
  <c r="F6" i="20"/>
  <c r="H6" i="20"/>
  <c r="AG10" i="20"/>
  <c r="D57" i="16" s="1"/>
  <c r="H5" i="20"/>
  <c r="F4" i="19"/>
  <c r="C93" i="16" s="1"/>
  <c r="B5" i="19"/>
  <c r="B6" i="19" s="1"/>
  <c r="B7" i="19" s="1"/>
  <c r="B8" i="19" s="1"/>
  <c r="B9" i="19" s="1"/>
  <c r="B10" i="19" s="1"/>
  <c r="B11" i="19" s="1"/>
  <c r="B12" i="19" s="1"/>
  <c r="B13" i="19" s="1"/>
  <c r="B14" i="19" s="1"/>
  <c r="D81" i="16" s="1"/>
  <c r="H26" i="20"/>
  <c r="F7" i="20"/>
  <c r="J70" i="20"/>
  <c r="B36" i="20"/>
  <c r="C110" i="20"/>
  <c r="M120" i="20"/>
  <c r="S90" i="20"/>
  <c r="S120" i="20"/>
  <c r="R80" i="20"/>
  <c r="U90" i="20"/>
  <c r="U110" i="20"/>
  <c r="Y60" i="26"/>
  <c r="F70" i="16" s="1"/>
  <c r="Y10" i="26"/>
  <c r="F65" i="16" s="1"/>
  <c r="Y30" i="26"/>
  <c r="F67" i="16" s="1"/>
  <c r="B7" i="20"/>
  <c r="H30" i="20"/>
  <c r="B60" i="20"/>
  <c r="J26" i="20"/>
  <c r="J40" i="20"/>
  <c r="B50" i="20"/>
  <c r="K100" i="20"/>
  <c r="R50" i="20"/>
  <c r="AJ10" i="20"/>
  <c r="C65" i="16" s="1"/>
  <c r="L10" i="20"/>
  <c r="R20" i="20"/>
  <c r="M110" i="20"/>
  <c r="M90" i="20"/>
  <c r="F9" i="20"/>
  <c r="B46" i="20"/>
  <c r="AH10" i="20"/>
  <c r="C57" i="16" s="1"/>
  <c r="B10" i="20"/>
  <c r="J20" i="20"/>
  <c r="H36" i="20"/>
  <c r="J36" i="20"/>
  <c r="B30" i="20"/>
  <c r="K120" i="20"/>
  <c r="L70" i="20"/>
  <c r="L80" i="20"/>
  <c r="Y50" i="26"/>
  <c r="F69" i="16" s="1"/>
  <c r="Y40" i="26"/>
  <c r="F68" i="16" s="1"/>
  <c r="D4" i="19"/>
  <c r="D5" i="19" s="1"/>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D43" i="19" s="1"/>
  <c r="D44" i="19" s="1"/>
  <c r="D45" i="19" s="1"/>
  <c r="D46" i="19" s="1"/>
  <c r="D47" i="19" s="1"/>
  <c r="D48" i="19" s="1"/>
  <c r="D49" i="19" s="1"/>
  <c r="D50" i="19" s="1"/>
  <c r="D51" i="19" s="1"/>
  <c r="D52" i="19" s="1"/>
  <c r="D53" i="19" s="1"/>
  <c r="D54" i="19" s="1"/>
  <c r="D55" i="19" s="1"/>
  <c r="D56" i="19" s="1"/>
  <c r="D57" i="19" s="1"/>
  <c r="D58" i="19" s="1"/>
  <c r="D59" i="19" s="1"/>
  <c r="D60" i="19" s="1"/>
  <c r="D61" i="19" s="1"/>
  <c r="D62" i="19" s="1"/>
  <c r="D63" i="19" s="1"/>
  <c r="D64" i="19" s="1"/>
  <c r="D65" i="19" s="1"/>
  <c r="D66" i="19" s="1"/>
  <c r="D67" i="19" s="1"/>
  <c r="D68" i="19" s="1"/>
  <c r="D69" i="19" s="1"/>
  <c r="D70" i="19" s="1"/>
  <c r="D71" i="19" s="1"/>
  <c r="D72" i="19" s="1"/>
  <c r="D73" i="19" s="1"/>
  <c r="D74" i="19" s="1"/>
  <c r="D75" i="19" s="1"/>
  <c r="D76" i="19" s="1"/>
  <c r="D77" i="19" s="1"/>
  <c r="D78" i="19" s="1"/>
  <c r="D79" i="19" s="1"/>
  <c r="D80" i="19" s="1"/>
  <c r="D81" i="19" s="1"/>
  <c r="D82" i="19" s="1"/>
  <c r="D83" i="19" s="1"/>
  <c r="D84" i="19" s="1"/>
  <c r="D85" i="19" s="1"/>
  <c r="D86" i="19" s="1"/>
  <c r="D87" i="19" s="1"/>
  <c r="D88" i="19" s="1"/>
  <c r="D89" i="19" s="1"/>
  <c r="D90" i="19" s="1"/>
  <c r="D91" i="19" s="1"/>
  <c r="D92" i="19" s="1"/>
  <c r="D93" i="19" s="1"/>
  <c r="D94" i="19" s="1"/>
  <c r="D95" i="19" s="1"/>
  <c r="D96" i="19" s="1"/>
  <c r="D97" i="19" s="1"/>
  <c r="D98" i="19" s="1"/>
  <c r="D99" i="19" s="1"/>
  <c r="D100" i="19" s="1"/>
  <c r="D101" i="19" s="1"/>
  <c r="D102" i="19" s="1"/>
  <c r="D103" i="19" s="1"/>
  <c r="D104" i="19" s="1"/>
  <c r="D105" i="19" s="1"/>
  <c r="D106" i="19" s="1"/>
  <c r="D107" i="19" s="1"/>
  <c r="D108" i="19" s="1"/>
  <c r="D109" i="19" s="1"/>
  <c r="D110" i="19" s="1"/>
  <c r="D111" i="19" s="1"/>
  <c r="D112" i="19" s="1"/>
  <c r="D113" i="19" s="1"/>
  <c r="D114" i="19" s="1"/>
  <c r="D115" i="19" s="1"/>
  <c r="D116" i="19" s="1"/>
  <c r="D117" i="19" s="1"/>
  <c r="D118" i="19" s="1"/>
  <c r="D119" i="19" s="1"/>
  <c r="D120" i="19" s="1"/>
  <c r="D121" i="19" s="1"/>
  <c r="D122" i="19" s="1"/>
  <c r="D123" i="19" s="1"/>
  <c r="D124" i="19" s="1"/>
  <c r="D5" i="20"/>
  <c r="B16" i="20"/>
  <c r="J5" i="20"/>
  <c r="G4" i="19"/>
  <c r="E93" i="16" s="1"/>
  <c r="AK10" i="20"/>
  <c r="H10" i="20"/>
  <c r="J50" i="20"/>
  <c r="C90" i="20"/>
  <c r="C100" i="20"/>
  <c r="AN10" i="20"/>
  <c r="T10" i="20"/>
  <c r="L20" i="20"/>
  <c r="AI10" i="20"/>
  <c r="D65" i="16" s="1"/>
  <c r="U100" i="20"/>
  <c r="R70" i="20"/>
  <c r="AQ11" i="3"/>
  <c r="X20" i="3"/>
  <c r="AP10" i="3"/>
  <c r="AR10" i="3" s="1"/>
  <c r="AQ10" i="3"/>
  <c r="AQ20" i="3"/>
  <c r="Y7" i="3"/>
  <c r="AY7" i="3" s="1"/>
  <c r="AT22" i="3"/>
  <c r="G41" i="23" s="1" a="1"/>
  <c r="G41" i="23" s="1"/>
  <c r="J41" i="26" s="1"/>
  <c r="G105" i="23" a="1"/>
  <c r="G105" i="23" s="1"/>
  <c r="K105" i="26" s="1"/>
  <c r="G60" i="23" a="1"/>
  <c r="G60" i="23" s="1"/>
  <c r="J60" i="26" s="1"/>
  <c r="G16" i="23" a="1"/>
  <c r="G16" i="23" s="1"/>
  <c r="J16" i="26" s="1"/>
  <c r="G65" i="23" a="1"/>
  <c r="G65" i="23" s="1"/>
  <c r="J65" i="26" s="1"/>
  <c r="AP90" i="9"/>
  <c r="AR90" i="9" s="1"/>
  <c r="AQ90" i="9"/>
  <c r="AP66" i="9"/>
  <c r="AQ66" i="9"/>
  <c r="AP61" i="9"/>
  <c r="AR61" i="9" s="1"/>
  <c r="AQ61" i="9"/>
  <c r="AP87" i="9"/>
  <c r="AR87" i="9" s="1"/>
  <c r="AQ87" i="9"/>
  <c r="AP100" i="9"/>
  <c r="AR100" i="9" s="1"/>
  <c r="AQ100" i="9"/>
  <c r="AP70" i="9"/>
  <c r="AR70" i="9" s="1"/>
  <c r="AQ70" i="9"/>
  <c r="AP99" i="9"/>
  <c r="AR99" i="9" s="1"/>
  <c r="AQ99" i="9"/>
  <c r="AR66" i="9"/>
  <c r="AH12" i="3"/>
  <c r="AS23" i="3"/>
  <c r="AG11" i="3"/>
  <c r="Y11" i="3"/>
  <c r="AR11" i="3" s="1"/>
  <c r="AK22" i="3"/>
  <c r="AQ22" i="3" s="1"/>
  <c r="AS13" i="3"/>
  <c r="V22" i="3"/>
  <c r="AI22" i="3"/>
  <c r="AE22" i="3"/>
  <c r="AE20" i="3"/>
  <c r="AS16" i="3"/>
  <c r="AH16" i="3"/>
  <c r="AS24" i="3"/>
  <c r="AH24" i="3"/>
  <c r="AR14" i="3"/>
  <c r="AE14" i="3"/>
  <c r="AR16" i="3"/>
  <c r="AE16" i="3"/>
  <c r="AS14" i="3"/>
  <c r="AH14" i="3"/>
  <c r="AE19" i="3"/>
  <c r="AR19" i="3"/>
  <c r="Y24" i="3"/>
  <c r="AP24" i="3"/>
  <c r="AG24" i="3"/>
  <c r="AR12" i="3"/>
  <c r="AE12" i="3"/>
  <c r="AN18" i="3"/>
  <c r="L18" i="3"/>
  <c r="D29" i="16" s="1"/>
  <c r="R18" i="3"/>
  <c r="AR15" i="3"/>
  <c r="AE15" i="3"/>
  <c r="AS11" i="3"/>
  <c r="AH11" i="3"/>
  <c r="N17" i="3"/>
  <c r="O17" i="3"/>
  <c r="AG17" i="3"/>
  <c r="AP17" i="3"/>
  <c r="Y10" i="3"/>
  <c r="AE10" i="3" s="1"/>
  <c r="AG10" i="3"/>
  <c r="AH99" i="9"/>
  <c r="AS99" i="9"/>
  <c r="AH80" i="9"/>
  <c r="AS80" i="9"/>
  <c r="AH103" i="9"/>
  <c r="AS103" i="9"/>
  <c r="V58" i="9"/>
  <c r="AZ58" i="9" s="1"/>
  <c r="BA58" i="9"/>
  <c r="AH88" i="9"/>
  <c r="AS88" i="9"/>
  <c r="R73" i="9"/>
  <c r="AG73" i="9" s="1"/>
  <c r="AN73" i="9"/>
  <c r="AH79" i="9"/>
  <c r="AS79" i="9"/>
  <c r="AH90" i="9"/>
  <c r="AS90" i="9"/>
  <c r="AH87" i="9"/>
  <c r="AS87" i="9"/>
  <c r="AH70" i="9"/>
  <c r="AS70" i="9"/>
  <c r="AH82" i="9"/>
  <c r="AS82" i="9"/>
  <c r="AH78" i="9"/>
  <c r="AS78" i="9"/>
  <c r="AH76" i="9"/>
  <c r="AS76" i="9"/>
  <c r="AH95" i="9"/>
  <c r="AS95" i="9"/>
  <c r="R72" i="9"/>
  <c r="AG72" i="9" s="1"/>
  <c r="AN72" i="9"/>
  <c r="R76" i="9"/>
  <c r="AG76" i="9" s="1"/>
  <c r="AN76" i="9"/>
  <c r="AH85" i="9"/>
  <c r="AS85" i="9"/>
  <c r="AH102" i="9"/>
  <c r="AS102" i="9"/>
  <c r="AH72" i="9"/>
  <c r="AS72" i="9"/>
  <c r="V100" i="9"/>
  <c r="AT100" i="9"/>
  <c r="O27" i="9"/>
  <c r="AI102" i="9"/>
  <c r="AT102" i="9"/>
  <c r="AI71" i="9"/>
  <c r="AT71" i="9"/>
  <c r="AI100" i="9"/>
  <c r="V71" i="9"/>
  <c r="V45" i="9"/>
  <c r="AN59" i="9"/>
  <c r="AS66" i="9"/>
  <c r="AH66" i="9"/>
  <c r="N40" i="9"/>
  <c r="AP35" i="9"/>
  <c r="AR35" i="9" s="1"/>
  <c r="V61" i="9"/>
  <c r="AI61" i="9"/>
  <c r="AT61" i="9"/>
  <c r="R41" i="9"/>
  <c r="AN41" i="9"/>
  <c r="AQ41" i="9" s="1"/>
  <c r="AH63" i="9"/>
  <c r="AS63" i="9"/>
  <c r="V40" i="9"/>
  <c r="AT40" i="9" s="1"/>
  <c r="AS40" i="9" s="1"/>
  <c r="AI40" i="9"/>
  <c r="AI41" i="9"/>
  <c r="V41" i="9"/>
  <c r="AH41" i="9" s="1"/>
  <c r="N31" i="9"/>
  <c r="O32" i="9"/>
  <c r="N32" i="9"/>
  <c r="AS36" i="9"/>
  <c r="W36" i="9"/>
  <c r="AN13" i="9"/>
  <c r="AK13" i="9"/>
  <c r="AM13" i="9" s="1"/>
  <c r="AL17" i="9"/>
  <c r="AK17" i="9"/>
  <c r="AP21" i="9"/>
  <c r="AR21" i="9" s="1"/>
  <c r="AP25" i="9"/>
  <c r="AR25" i="9" s="1"/>
  <c r="R25" i="9"/>
  <c r="AG24" i="9"/>
  <c r="R23" i="9"/>
  <c r="AF25" i="9"/>
  <c r="O24" i="9"/>
  <c r="AF23" i="9"/>
  <c r="R21" i="9"/>
  <c r="AF21" i="9"/>
  <c r="AF19" i="9"/>
  <c r="AG20" i="9"/>
  <c r="AG18" i="9"/>
  <c r="O17" i="9"/>
  <c r="O16" i="9"/>
  <c r="R14" i="9"/>
  <c r="R13" i="9"/>
  <c r="AF14" i="9"/>
  <c r="J15" i="9"/>
  <c r="O13" i="9"/>
  <c r="AF11" i="9"/>
  <c r="AV10" i="9"/>
  <c r="X25" i="9"/>
  <c r="AD25" i="9" s="1"/>
  <c r="X23" i="9"/>
  <c r="AD23" i="9" s="1"/>
  <c r="AW6" i="9"/>
  <c r="I6" i="9"/>
  <c r="F4" i="9"/>
  <c r="AG4" i="9"/>
  <c r="AW5" i="9"/>
  <c r="I4" i="9"/>
  <c r="L4" i="9" s="1"/>
  <c r="I5" i="9"/>
  <c r="L5" i="9" s="1"/>
  <c r="AT9" i="9"/>
  <c r="AS9" i="9" s="1"/>
  <c r="AN9" i="9"/>
  <c r="I9" i="9"/>
  <c r="X13" i="9"/>
  <c r="AD13" i="9" s="1"/>
  <c r="X14" i="9"/>
  <c r="AD14" i="9" s="1"/>
  <c r="X21" i="9"/>
  <c r="AD21" i="9" s="1"/>
  <c r="X24" i="9"/>
  <c r="AD24" i="9" s="1"/>
  <c r="X99" i="9"/>
  <c r="AD99" i="9" s="1"/>
  <c r="Y99" i="9"/>
  <c r="AE99" i="9" s="1"/>
  <c r="X100" i="9"/>
  <c r="AD100" i="9" s="1"/>
  <c r="Y100" i="9"/>
  <c r="AO4" i="9"/>
  <c r="S89" i="9"/>
  <c r="T89" i="9"/>
  <c r="AW7" i="9"/>
  <c r="AF52" i="9"/>
  <c r="AF53" i="9"/>
  <c r="AH53" i="9"/>
  <c r="AF54" i="9"/>
  <c r="AF55" i="9"/>
  <c r="AF57" i="9"/>
  <c r="AH51" i="9"/>
  <c r="AF49" i="9"/>
  <c r="AF48" i="9"/>
  <c r="AF44" i="9"/>
  <c r="AF45" i="9"/>
  <c r="AF37" i="9"/>
  <c r="AG38" i="9"/>
  <c r="AH38" i="9"/>
  <c r="AG39" i="9"/>
  <c r="AF36" i="9"/>
  <c r="AH32" i="9"/>
  <c r="AF33" i="9"/>
  <c r="AG34" i="9"/>
  <c r="AH31" i="9"/>
  <c r="AH21" i="9"/>
  <c r="AH23" i="9"/>
  <c r="AH24" i="9"/>
  <c r="AH25" i="9"/>
  <c r="AH26" i="9"/>
  <c r="Q8" i="9"/>
  <c r="I8" i="9"/>
  <c r="I7" i="9"/>
  <c r="AD93" i="20" l="1"/>
  <c r="AD119" i="20"/>
  <c r="AF81" i="18"/>
  <c r="AF111" i="18"/>
  <c r="AF83" i="18"/>
  <c r="AD97" i="18"/>
  <c r="AE114" i="18"/>
  <c r="AC106" i="20"/>
  <c r="AC116" i="20"/>
  <c r="AD90" i="20"/>
  <c r="AE101" i="20"/>
  <c r="AC125" i="20"/>
  <c r="AC121" i="20"/>
  <c r="AD98" i="20"/>
  <c r="AE114" i="20"/>
  <c r="AE125" i="20"/>
  <c r="AC117" i="20"/>
  <c r="AD111" i="18"/>
  <c r="AD90" i="18"/>
  <c r="AF114" i="18"/>
  <c r="AC83" i="20"/>
  <c r="AF101" i="18"/>
  <c r="AF103" i="18"/>
  <c r="AE89" i="18"/>
  <c r="AC124" i="20"/>
  <c r="AD100" i="20"/>
  <c r="AE121" i="18"/>
  <c r="AE98" i="20"/>
  <c r="AF89" i="18"/>
  <c r="AE110" i="20"/>
  <c r="AE113" i="18"/>
  <c r="AD93" i="18"/>
  <c r="AD117" i="20"/>
  <c r="AE83" i="18"/>
  <c r="AE119" i="20"/>
  <c r="AE96" i="18"/>
  <c r="AD83" i="18"/>
  <c r="AC104" i="20"/>
  <c r="AC102" i="20"/>
  <c r="AF98" i="18"/>
  <c r="AD107" i="20"/>
  <c r="AD86" i="20"/>
  <c r="AC108" i="20"/>
  <c r="AE95" i="20"/>
  <c r="AE124" i="18"/>
  <c r="AE89" i="20"/>
  <c r="AJ110" i="26"/>
  <c r="AF115" i="18"/>
  <c r="AF90" i="18"/>
  <c r="AF84" i="18"/>
  <c r="AF120" i="18"/>
  <c r="AC105" i="20"/>
  <c r="AD87" i="18"/>
  <c r="AE91" i="20"/>
  <c r="AC107" i="20"/>
  <c r="AF99" i="18"/>
  <c r="AE106" i="18"/>
  <c r="AC96" i="20"/>
  <c r="AD122" i="18"/>
  <c r="AF116" i="18"/>
  <c r="AF121" i="18"/>
  <c r="AD122" i="20"/>
  <c r="AE121" i="20"/>
  <c r="AC122" i="20"/>
  <c r="AE124" i="20"/>
  <c r="AD124" i="20"/>
  <c r="AD117" i="18"/>
  <c r="AD81" i="18"/>
  <c r="AD102" i="20"/>
  <c r="AE111" i="20"/>
  <c r="AE87" i="18"/>
  <c r="AE100" i="18"/>
  <c r="AD99" i="18"/>
  <c r="AC91" i="20"/>
  <c r="AE108" i="20"/>
  <c r="AC95" i="20"/>
  <c r="AD83" i="20"/>
  <c r="AF124" i="18"/>
  <c r="AE119" i="18"/>
  <c r="AE98" i="18"/>
  <c r="AE95" i="18"/>
  <c r="AF106" i="18"/>
  <c r="AF120" i="26"/>
  <c r="AF96" i="18"/>
  <c r="AE104" i="18"/>
  <c r="AD109" i="18"/>
  <c r="AD82" i="18"/>
  <c r="AF122" i="18"/>
  <c r="AF125" i="18"/>
  <c r="AE85" i="18"/>
  <c r="AE115" i="18"/>
  <c r="AF118" i="18"/>
  <c r="AE115" i="20"/>
  <c r="AC92" i="20"/>
  <c r="AC98" i="20"/>
  <c r="AD114" i="20"/>
  <c r="AE99" i="20"/>
  <c r="AE86" i="20"/>
  <c r="AD89" i="20"/>
  <c r="AC100" i="20"/>
  <c r="AE82" i="20"/>
  <c r="AE120" i="18"/>
  <c r="AD105" i="18"/>
  <c r="AC86" i="20"/>
  <c r="AE117" i="18"/>
  <c r="AE123" i="18"/>
  <c r="AE93" i="18"/>
  <c r="AF95" i="18"/>
  <c r="AD84" i="18"/>
  <c r="AC97" i="20"/>
  <c r="AF112" i="18"/>
  <c r="AE91" i="18"/>
  <c r="AD115" i="18"/>
  <c r="AD108" i="18"/>
  <c r="AE118" i="18"/>
  <c r="AE92" i="20"/>
  <c r="AD103" i="20"/>
  <c r="AE100" i="20"/>
  <c r="AE88" i="20"/>
  <c r="AE84" i="20"/>
  <c r="AD112" i="20"/>
  <c r="AD102" i="18"/>
  <c r="AK80" i="26"/>
  <c r="AJ120" i="26"/>
  <c r="AK90" i="26"/>
  <c r="AK100" i="26"/>
  <c r="AD104" i="18"/>
  <c r="AE110" i="18"/>
  <c r="AD124" i="18"/>
  <c r="AD107" i="18"/>
  <c r="AE101" i="18"/>
  <c r="AD85" i="18"/>
  <c r="AE86" i="18"/>
  <c r="AE102" i="18"/>
  <c r="AE84" i="18"/>
  <c r="AE90" i="18"/>
  <c r="AF80" i="26"/>
  <c r="F124" i="16" s="1"/>
  <c r="AC81" i="20"/>
  <c r="AC114" i="20"/>
  <c r="AC87" i="20"/>
  <c r="AE113" i="20"/>
  <c r="AC89" i="20"/>
  <c r="AI110" i="26"/>
  <c r="AJ90" i="26"/>
  <c r="AD91" i="20"/>
  <c r="AE85" i="20"/>
  <c r="AD82" i="20"/>
  <c r="AD95" i="20"/>
  <c r="AD110" i="20"/>
  <c r="AE118" i="20"/>
  <c r="AJ100" i="26"/>
  <c r="AD113" i="18"/>
  <c r="AF110" i="18"/>
  <c r="AE88" i="18"/>
  <c r="AE112" i="18"/>
  <c r="AD103" i="18"/>
  <c r="AF82" i="18"/>
  <c r="AD100" i="18"/>
  <c r="AE107" i="18"/>
  <c r="AF119" i="18"/>
  <c r="AE99" i="18"/>
  <c r="AF86" i="18"/>
  <c r="AF102" i="18"/>
  <c r="AD106" i="18"/>
  <c r="AF94" i="18"/>
  <c r="AI80" i="26"/>
  <c r="AE106" i="20"/>
  <c r="AE116" i="20"/>
  <c r="AD81" i="20"/>
  <c r="AH120" i="26"/>
  <c r="AI120" i="26"/>
  <c r="AD113" i="20"/>
  <c r="AI90" i="26"/>
  <c r="AD85" i="20"/>
  <c r="AC82" i="20"/>
  <c r="AE105" i="20"/>
  <c r="AE97" i="20"/>
  <c r="AC110" i="20"/>
  <c r="AD118" i="20"/>
  <c r="AH100" i="26"/>
  <c r="H126" i="16" s="1"/>
  <c r="AI100" i="26"/>
  <c r="AD110" i="18"/>
  <c r="AD92" i="18"/>
  <c r="AD88" i="18"/>
  <c r="AD112" i="18"/>
  <c r="AE122" i="18"/>
  <c r="AF100" i="18"/>
  <c r="AE125" i="18"/>
  <c r="AF91" i="18"/>
  <c r="AD119" i="18"/>
  <c r="AD86" i="18"/>
  <c r="AD116" i="18"/>
  <c r="AE108" i="18"/>
  <c r="AD94" i="18"/>
  <c r="AD106" i="20"/>
  <c r="AD116" i="20"/>
  <c r="AD115" i="20"/>
  <c r="AE81" i="20"/>
  <c r="AE104" i="20"/>
  <c r="AE103" i="20"/>
  <c r="AE93" i="20"/>
  <c r="AG120" i="26"/>
  <c r="AC113" i="20"/>
  <c r="AE120" i="20"/>
  <c r="AD99" i="20"/>
  <c r="AH110" i="26"/>
  <c r="H127" i="16" s="1"/>
  <c r="AH90" i="26"/>
  <c r="H125" i="16" s="1"/>
  <c r="AC85" i="20"/>
  <c r="AE90" i="20"/>
  <c r="AD108" i="20"/>
  <c r="AD111" i="20"/>
  <c r="AD105" i="20"/>
  <c r="AD97" i="20"/>
  <c r="AC118" i="20"/>
  <c r="AE94" i="20"/>
  <c r="AF87" i="18"/>
  <c r="AF93" i="18"/>
  <c r="AD91" i="18"/>
  <c r="AD101" i="18"/>
  <c r="AE94" i="18"/>
  <c r="AG80" i="26"/>
  <c r="G124" i="16" s="1"/>
  <c r="AC115" i="20"/>
  <c r="AD104" i="20"/>
  <c r="AD120" i="20"/>
  <c r="AC99" i="20"/>
  <c r="AG90" i="26"/>
  <c r="G125" i="16" s="1"/>
  <c r="AE96" i="20"/>
  <c r="AC111" i="20"/>
  <c r="AD94" i="20"/>
  <c r="AG100" i="26"/>
  <c r="G126" i="16" s="1"/>
  <c r="AE103" i="18"/>
  <c r="AF117" i="18"/>
  <c r="AF113" i="18"/>
  <c r="AF88" i="18"/>
  <c r="AE111" i="18"/>
  <c r="AE92" i="18"/>
  <c r="AE82" i="18"/>
  <c r="AF105" i="18"/>
  <c r="AE116" i="18"/>
  <c r="AF97" i="18"/>
  <c r="AD114" i="18"/>
  <c r="AD89" i="18"/>
  <c r="AJ80" i="26"/>
  <c r="AE87" i="20"/>
  <c r="AE102" i="20"/>
  <c r="AE117" i="20"/>
  <c r="AC93" i="20"/>
  <c r="AC120" i="20"/>
  <c r="AG110" i="26"/>
  <c r="G127" i="16" s="1"/>
  <c r="AF90" i="26"/>
  <c r="F125" i="16" s="1"/>
  <c r="AD96" i="20"/>
  <c r="AC90" i="20"/>
  <c r="AE109" i="20"/>
  <c r="AE112" i="20"/>
  <c r="AC94" i="20"/>
  <c r="AE107" i="20"/>
  <c r="AD96" i="18"/>
  <c r="AF104" i="18"/>
  <c r="AF92" i="18"/>
  <c r="AE109" i="18"/>
  <c r="AF123" i="18"/>
  <c r="AE105" i="18"/>
  <c r="AF85" i="18"/>
  <c r="AD98" i="18"/>
  <c r="AD95" i="18"/>
  <c r="AE97" i="18"/>
  <c r="AD121" i="18"/>
  <c r="AK120" i="26"/>
  <c r="AK110" i="26"/>
  <c r="AF110" i="26"/>
  <c r="F127" i="16" s="1"/>
  <c r="AD109" i="20"/>
  <c r="AF100" i="26"/>
  <c r="F126" i="16" s="1"/>
  <c r="AU80" i="20"/>
  <c r="E132" i="16" s="1"/>
  <c r="AP110" i="20"/>
  <c r="C127" i="16" s="1"/>
  <c r="AQ100" i="20"/>
  <c r="D126" i="16" s="1"/>
  <c r="AR120" i="20"/>
  <c r="AR110" i="20"/>
  <c r="E127" i="16" s="1"/>
  <c r="AQ110" i="20"/>
  <c r="D127" i="16" s="1"/>
  <c r="AR80" i="20"/>
  <c r="E124" i="16" s="1"/>
  <c r="AP90" i="20"/>
  <c r="C125" i="16" s="1"/>
  <c r="AR100" i="20"/>
  <c r="E126" i="16" s="1"/>
  <c r="AP80" i="20"/>
  <c r="C124" i="16" s="1"/>
  <c r="AU90" i="20"/>
  <c r="E133" i="16" s="1"/>
  <c r="AS100" i="20"/>
  <c r="C134" i="16" s="1"/>
  <c r="AP120" i="20"/>
  <c r="AP100" i="20"/>
  <c r="C126" i="16" s="1"/>
  <c r="AQ120" i="20"/>
  <c r="AU110" i="20"/>
  <c r="E135" i="16" s="1"/>
  <c r="AT90" i="20"/>
  <c r="D133" i="16" s="1"/>
  <c r="AU100" i="20"/>
  <c r="E134" i="16" s="1"/>
  <c r="AS120" i="20"/>
  <c r="AT110" i="20"/>
  <c r="D135" i="16" s="1"/>
  <c r="AS80" i="20"/>
  <c r="C132" i="16" s="1"/>
  <c r="AS90" i="20"/>
  <c r="C133" i="16" s="1"/>
  <c r="AT100" i="20"/>
  <c r="D134" i="16" s="1"/>
  <c r="AU120" i="20"/>
  <c r="AS110" i="20"/>
  <c r="C135" i="16" s="1"/>
  <c r="AQ80" i="20"/>
  <c r="D124" i="16" s="1"/>
  <c r="AR90" i="20"/>
  <c r="E125" i="16" s="1"/>
  <c r="AT120" i="20"/>
  <c r="AT80" i="20"/>
  <c r="D132" i="16" s="1"/>
  <c r="AQ90" i="20"/>
  <c r="D125" i="16" s="1"/>
  <c r="B15" i="19"/>
  <c r="B16" i="19" s="1"/>
  <c r="B17" i="19" s="1"/>
  <c r="B18" i="19" s="1"/>
  <c r="B19" i="19" s="1"/>
  <c r="B20" i="19" s="1"/>
  <c r="B21" i="19" s="1"/>
  <c r="B22" i="19" s="1"/>
  <c r="B23" i="19" s="1"/>
  <c r="B24" i="19" s="1"/>
  <c r="D82" i="16" s="1"/>
  <c r="F5" i="19"/>
  <c r="F6" i="19" s="1"/>
  <c r="F7" i="19" s="1"/>
  <c r="F8" i="19" s="1"/>
  <c r="F9" i="19" s="1"/>
  <c r="F10" i="19" s="1"/>
  <c r="F11" i="19" s="1"/>
  <c r="F12" i="19" s="1"/>
  <c r="F13" i="19" s="1"/>
  <c r="F14" i="19" s="1"/>
  <c r="C5" i="19"/>
  <c r="C6" i="19" s="1"/>
  <c r="C7" i="19" s="1"/>
  <c r="C8" i="19" s="1"/>
  <c r="C9" i="19" s="1"/>
  <c r="C10" i="19" s="1"/>
  <c r="C11" i="19" s="1"/>
  <c r="C12" i="19" s="1"/>
  <c r="C13" i="19" s="1"/>
  <c r="C14" i="19" s="1"/>
  <c r="G5" i="19"/>
  <c r="G6" i="19" s="1"/>
  <c r="G7" i="19" s="1"/>
  <c r="G8" i="19" s="1"/>
  <c r="G9" i="19" s="1"/>
  <c r="G10" i="19" s="1"/>
  <c r="G11" i="19" s="1"/>
  <c r="G12" i="19" s="1"/>
  <c r="G13" i="19" s="1"/>
  <c r="G14" i="19" s="1"/>
  <c r="G78" i="23" a="1"/>
  <c r="G78" i="23" s="1"/>
  <c r="J78" i="26" s="1"/>
  <c r="G102" i="23" a="1"/>
  <c r="G102" i="23" s="1"/>
  <c r="K102" i="26" s="1"/>
  <c r="G100" i="23" a="1"/>
  <c r="G100" i="23" s="1"/>
  <c r="G96" i="23" a="1"/>
  <c r="G96" i="23" s="1"/>
  <c r="K96" i="26" s="1"/>
  <c r="G76" i="23" a="1"/>
  <c r="G76" i="23" s="1"/>
  <c r="J76" i="26" s="1"/>
  <c r="G121" i="23" a="1"/>
  <c r="G121" i="23" s="1"/>
  <c r="K121" i="26" s="1"/>
  <c r="G17" i="23" a="1"/>
  <c r="G17" i="23" s="1"/>
  <c r="J17" i="26" s="1"/>
  <c r="G40" i="23" a="1"/>
  <c r="G40" i="23" s="1"/>
  <c r="J40" i="26" s="1"/>
  <c r="G98" i="23" a="1"/>
  <c r="G98" i="23" s="1"/>
  <c r="K98" i="26" s="1"/>
  <c r="G119" i="23" a="1"/>
  <c r="G119" i="23" s="1"/>
  <c r="K119" i="26" s="1"/>
  <c r="G97" i="23" a="1"/>
  <c r="G97" i="23" s="1"/>
  <c r="K97" i="26" s="1"/>
  <c r="G46" i="23" a="1"/>
  <c r="G46" i="23" s="1"/>
  <c r="J46" i="26" s="1"/>
  <c r="G55" i="23" a="1"/>
  <c r="G55" i="23" s="1"/>
  <c r="J55" i="26" s="1"/>
  <c r="G36" i="23" a="1"/>
  <c r="G36" i="23" s="1"/>
  <c r="J36" i="26" s="1"/>
  <c r="G13" i="23" a="1"/>
  <c r="G13" i="23" s="1"/>
  <c r="J13" i="26" s="1"/>
  <c r="G90" i="23" a="1"/>
  <c r="G90" i="23" s="1"/>
  <c r="G74" i="23" a="1"/>
  <c r="G74" i="23" s="1"/>
  <c r="J74" i="26" s="1"/>
  <c r="G42" i="23" a="1"/>
  <c r="G42" i="23" s="1"/>
  <c r="J42" i="26" s="1"/>
  <c r="G27" i="23" a="1"/>
  <c r="G27" i="23" s="1"/>
  <c r="J27" i="26" s="1"/>
  <c r="G62" i="23" a="1"/>
  <c r="G62" i="23" s="1"/>
  <c r="J62" i="26" s="1"/>
  <c r="G24" i="23" a="1"/>
  <c r="G24" i="23" s="1"/>
  <c r="J24" i="26" s="1"/>
  <c r="G109" i="23" a="1"/>
  <c r="G109" i="23" s="1"/>
  <c r="K109" i="26" s="1"/>
  <c r="G125" i="23" a="1"/>
  <c r="G125" i="23" s="1"/>
  <c r="K125" i="26" s="1"/>
  <c r="G113" i="23" a="1"/>
  <c r="G113" i="23" s="1"/>
  <c r="K113" i="26" s="1"/>
  <c r="G28" i="23" a="1"/>
  <c r="G28" i="23" s="1"/>
  <c r="J28" i="26" s="1"/>
  <c r="G104" i="23" a="1"/>
  <c r="G104" i="23" s="1"/>
  <c r="K104" i="26" s="1"/>
  <c r="G10" i="23" a="1"/>
  <c r="G10" i="23" s="1"/>
  <c r="J10" i="26" s="1"/>
  <c r="G67" i="23" a="1"/>
  <c r="G67" i="23" s="1"/>
  <c r="J67" i="26" s="1"/>
  <c r="G57" i="23" a="1"/>
  <c r="G57" i="23" s="1"/>
  <c r="J57" i="26" s="1"/>
  <c r="G31" i="23" a="1"/>
  <c r="G31" i="23" s="1"/>
  <c r="J31" i="26" s="1"/>
  <c r="G87" i="23" a="1"/>
  <c r="G87" i="23" s="1"/>
  <c r="K87" i="26" s="1"/>
  <c r="G94" i="23" a="1"/>
  <c r="G94" i="23" s="1"/>
  <c r="K94" i="26" s="1"/>
  <c r="G69" i="23" a="1"/>
  <c r="G69" i="23" s="1"/>
  <c r="J69" i="26" s="1"/>
  <c r="T8" i="26"/>
  <c r="G7" i="23" a="1"/>
  <c r="G7" i="23" s="1"/>
  <c r="J7" i="26" s="1"/>
  <c r="G70" i="23" a="1"/>
  <c r="G70" i="23" s="1"/>
  <c r="G73" i="23" a="1"/>
  <c r="G73" i="23" s="1"/>
  <c r="J73" i="26" s="1"/>
  <c r="G108" i="23" a="1"/>
  <c r="G108" i="23" s="1"/>
  <c r="K108" i="26" s="1"/>
  <c r="G25" i="23" a="1"/>
  <c r="G25" i="23" s="1"/>
  <c r="J25" i="26" s="1"/>
  <c r="G114" i="23" a="1"/>
  <c r="G114" i="23" s="1"/>
  <c r="K114" i="26" s="1"/>
  <c r="G82" i="23" a="1"/>
  <c r="G82" i="23" s="1"/>
  <c r="K82" i="26" s="1"/>
  <c r="G120" i="23" a="1"/>
  <c r="G120" i="23" s="1"/>
  <c r="G72" i="23" a="1"/>
  <c r="G72" i="23" s="1"/>
  <c r="J72" i="26" s="1"/>
  <c r="G9" i="23" a="1"/>
  <c r="G9" i="23" s="1"/>
  <c r="J9" i="26" s="1"/>
  <c r="G19" i="23" a="1"/>
  <c r="G19" i="23" s="1"/>
  <c r="J19" i="26" s="1"/>
  <c r="G26" i="23" a="1"/>
  <c r="G26" i="23" s="1"/>
  <c r="J26" i="26" s="1"/>
  <c r="U96" i="26"/>
  <c r="G63" i="23" a="1"/>
  <c r="G63" i="23" s="1"/>
  <c r="J63" i="26" s="1"/>
  <c r="U114" i="26"/>
  <c r="G107" i="23" a="1"/>
  <c r="G107" i="23" s="1"/>
  <c r="K107" i="26" s="1"/>
  <c r="G35" i="23" a="1"/>
  <c r="G35" i="23" s="1"/>
  <c r="J35" i="26" s="1"/>
  <c r="G101" i="23" a="1"/>
  <c r="G101" i="23" s="1"/>
  <c r="K101" i="26" s="1"/>
  <c r="G84" i="23" a="1"/>
  <c r="G84" i="23" s="1"/>
  <c r="K84" i="26" s="1"/>
  <c r="G86" i="23" a="1"/>
  <c r="G86" i="23" s="1"/>
  <c r="K86" i="26" s="1"/>
  <c r="G61" i="23" a="1"/>
  <c r="G61" i="23" s="1"/>
  <c r="J61" i="26" s="1"/>
  <c r="G64" i="23" a="1"/>
  <c r="G64" i="23" s="1"/>
  <c r="J64" i="26" s="1"/>
  <c r="G58" i="23" a="1"/>
  <c r="G58" i="23" s="1"/>
  <c r="J58" i="26" s="1"/>
  <c r="G49" i="23" a="1"/>
  <c r="G49" i="23" s="1"/>
  <c r="J49" i="26" s="1"/>
  <c r="G51" i="23" a="1"/>
  <c r="G51" i="23" s="1"/>
  <c r="J51" i="26" s="1"/>
  <c r="T31" i="26"/>
  <c r="G38" i="23" a="1"/>
  <c r="G38" i="23" s="1"/>
  <c r="J38" i="26" s="1"/>
  <c r="G53" i="23" a="1"/>
  <c r="G53" i="23" s="1"/>
  <c r="J53" i="26" s="1"/>
  <c r="G88" i="23" a="1"/>
  <c r="G88" i="23" s="1"/>
  <c r="K88" i="26" s="1"/>
  <c r="G93" i="23" a="1"/>
  <c r="G93" i="23" s="1"/>
  <c r="K93" i="26" s="1"/>
  <c r="G85" i="23" a="1"/>
  <c r="G85" i="23" s="1"/>
  <c r="K85" i="26" s="1"/>
  <c r="G47" i="23" a="1"/>
  <c r="G47" i="23" s="1"/>
  <c r="J47" i="26" s="1"/>
  <c r="G115" i="23" a="1"/>
  <c r="G115" i="23" s="1"/>
  <c r="K115" i="26" s="1"/>
  <c r="G48" i="23" a="1"/>
  <c r="G48" i="23" s="1"/>
  <c r="J48" i="26" s="1"/>
  <c r="G22" i="23" a="1"/>
  <c r="G22" i="23" s="1"/>
  <c r="J22" i="26" s="1"/>
  <c r="G23" i="23" a="1"/>
  <c r="G23" i="23" s="1"/>
  <c r="J23" i="26" s="1"/>
  <c r="G103" i="23" a="1"/>
  <c r="G103" i="23" s="1"/>
  <c r="K103" i="26" s="1"/>
  <c r="G21" i="23" a="1"/>
  <c r="G21" i="23" s="1"/>
  <c r="J21" i="26" s="1"/>
  <c r="G117" i="23" a="1"/>
  <c r="G117" i="23" s="1"/>
  <c r="K117" i="26" s="1"/>
  <c r="G111" i="23" a="1"/>
  <c r="G111" i="23" s="1"/>
  <c r="K111" i="26" s="1"/>
  <c r="G33" i="23" a="1"/>
  <c r="G33" i="23" s="1"/>
  <c r="J33" i="26" s="1"/>
  <c r="G75" i="23" a="1"/>
  <c r="G75" i="23" s="1"/>
  <c r="J75" i="26" s="1"/>
  <c r="G95" i="23" a="1"/>
  <c r="G95" i="23" s="1"/>
  <c r="K95" i="26" s="1"/>
  <c r="G29" i="23" a="1"/>
  <c r="G29" i="23" s="1"/>
  <c r="J29" i="26" s="1"/>
  <c r="G123" i="23" a="1"/>
  <c r="G123" i="23" s="1"/>
  <c r="K123" i="26" s="1"/>
  <c r="G44" i="23" a="1"/>
  <c r="G44" i="23" s="1"/>
  <c r="J44" i="26" s="1"/>
  <c r="G79" i="23" a="1"/>
  <c r="G79" i="23" s="1"/>
  <c r="J79" i="26" s="1"/>
  <c r="G34" i="23" a="1"/>
  <c r="G34" i="23" s="1"/>
  <c r="J34" i="26" s="1"/>
  <c r="G118" i="23" a="1"/>
  <c r="G118" i="23" s="1"/>
  <c r="K118" i="26" s="1"/>
  <c r="G92" i="23" a="1"/>
  <c r="G92" i="23" s="1"/>
  <c r="K92" i="26" s="1"/>
  <c r="T28" i="26"/>
  <c r="G77" i="23" a="1"/>
  <c r="G77" i="23" s="1"/>
  <c r="J77" i="26" s="1"/>
  <c r="G20" i="23" a="1"/>
  <c r="G20" i="23" s="1"/>
  <c r="J20" i="26" s="1"/>
  <c r="G68" i="23" a="1"/>
  <c r="G68" i="23" s="1"/>
  <c r="J68" i="26" s="1"/>
  <c r="G112" i="23" a="1"/>
  <c r="G112" i="23" s="1"/>
  <c r="K112" i="26" s="1"/>
  <c r="G91" i="23" a="1"/>
  <c r="G91" i="23" s="1"/>
  <c r="K91" i="26" s="1"/>
  <c r="G99" i="23" a="1"/>
  <c r="G99" i="23" s="1"/>
  <c r="K99" i="26" s="1"/>
  <c r="G81" i="23" a="1"/>
  <c r="G81" i="23" s="1"/>
  <c r="K81" i="26" s="1"/>
  <c r="G50" i="23" a="1"/>
  <c r="G50" i="23" s="1"/>
  <c r="J50" i="26" s="1"/>
  <c r="U89" i="26"/>
  <c r="G30" i="23" a="1"/>
  <c r="G30" i="23" s="1"/>
  <c r="J30" i="26" s="1"/>
  <c r="U97" i="26"/>
  <c r="T52" i="26"/>
  <c r="U100" i="26"/>
  <c r="T55" i="26"/>
  <c r="T79" i="26"/>
  <c r="U94" i="26"/>
  <c r="T61" i="26"/>
  <c r="U108" i="26"/>
  <c r="T45" i="26"/>
  <c r="AE11" i="3"/>
  <c r="T10" i="26"/>
  <c r="T44" i="26"/>
  <c r="U101" i="26"/>
  <c r="U117" i="26"/>
  <c r="U116" i="26"/>
  <c r="T19" i="26"/>
  <c r="U124" i="26"/>
  <c r="T37" i="26"/>
  <c r="T22" i="26"/>
  <c r="T27" i="26"/>
  <c r="U103" i="26"/>
  <c r="T26" i="26"/>
  <c r="T43" i="26"/>
  <c r="T77" i="26"/>
  <c r="U104" i="26"/>
  <c r="U109" i="26"/>
  <c r="U86" i="26"/>
  <c r="T59" i="26"/>
  <c r="T36" i="26"/>
  <c r="T76" i="26"/>
  <c r="T41" i="26"/>
  <c r="T25" i="26"/>
  <c r="U105" i="26"/>
  <c r="T17" i="26"/>
  <c r="T13" i="26"/>
  <c r="T18" i="26"/>
  <c r="T42" i="26"/>
  <c r="T21" i="26"/>
  <c r="U121" i="26"/>
  <c r="T71" i="26"/>
  <c r="T16" i="26"/>
  <c r="U120" i="26"/>
  <c r="U106" i="26"/>
  <c r="T48" i="26"/>
  <c r="T32" i="26"/>
  <c r="U81" i="26"/>
  <c r="U91" i="26"/>
  <c r="T68" i="26"/>
  <c r="T50" i="26"/>
  <c r="U118" i="26"/>
  <c r="T62" i="26"/>
  <c r="T63" i="26"/>
  <c r="U119" i="26"/>
  <c r="T54" i="26"/>
  <c r="G5" i="24" a="1"/>
  <c r="G5" i="24" s="1"/>
  <c r="M5" i="24" s="1"/>
  <c r="M6" i="24" s="1"/>
  <c r="T69" i="26"/>
  <c r="U93" i="26"/>
  <c r="T64" i="26"/>
  <c r="T80" i="26"/>
  <c r="U125" i="26"/>
  <c r="T12" i="26"/>
  <c r="T20" i="26"/>
  <c r="T58" i="26"/>
  <c r="T66" i="26"/>
  <c r="T7" i="26"/>
  <c r="U95" i="26"/>
  <c r="U90" i="26"/>
  <c r="T78" i="26"/>
  <c r="G71" i="23" a="1"/>
  <c r="G71" i="23" s="1"/>
  <c r="G106" i="23" a="1"/>
  <c r="G106" i="23" s="1"/>
  <c r="K106" i="26" s="1"/>
  <c r="G124" i="23" a="1"/>
  <c r="G124" i="23" s="1"/>
  <c r="K124" i="26" s="1"/>
  <c r="G5" i="23" a="1"/>
  <c r="G5" i="23" s="1"/>
  <c r="M5" i="23" s="1"/>
  <c r="G18" i="23" a="1"/>
  <c r="G18" i="23" s="1"/>
  <c r="J18" i="26" s="1"/>
  <c r="G15" i="23" a="1"/>
  <c r="G15" i="23" s="1"/>
  <c r="J15" i="26" s="1"/>
  <c r="G11" i="23" a="1"/>
  <c r="G11" i="23" s="1"/>
  <c r="G66" i="23" a="1"/>
  <c r="G66" i="23" s="1"/>
  <c r="J66" i="26" s="1"/>
  <c r="G59" i="23" a="1"/>
  <c r="G59" i="23" s="1"/>
  <c r="J59" i="26" s="1"/>
  <c r="G54" i="23" a="1"/>
  <c r="G54" i="23" s="1"/>
  <c r="J54" i="26" s="1"/>
  <c r="G116" i="23" a="1"/>
  <c r="G116" i="23" s="1"/>
  <c r="K116" i="26" s="1"/>
  <c r="G83" i="23" a="1"/>
  <c r="G83" i="23" s="1"/>
  <c r="K83" i="26" s="1"/>
  <c r="G122" i="23" a="1"/>
  <c r="G122" i="23" s="1"/>
  <c r="K122" i="26" s="1"/>
  <c r="G110" i="23" a="1"/>
  <c r="G110" i="23" s="1"/>
  <c r="G56" i="23" a="1"/>
  <c r="G56" i="23" s="1"/>
  <c r="J56" i="26" s="1"/>
  <c r="G80" i="23" a="1"/>
  <c r="G80" i="23" s="1"/>
  <c r="G12" i="23" a="1"/>
  <c r="G12" i="23" s="1"/>
  <c r="J12" i="26" s="1"/>
  <c r="G39" i="23" a="1"/>
  <c r="G39" i="23" s="1"/>
  <c r="J39" i="26" s="1"/>
  <c r="G52" i="23" a="1"/>
  <c r="G52" i="23" s="1"/>
  <c r="G8" i="23" a="1"/>
  <c r="G8" i="23" s="1"/>
  <c r="J8" i="26" s="1"/>
  <c r="G32" i="23" a="1"/>
  <c r="G32" i="23" s="1"/>
  <c r="G89" i="23" a="1"/>
  <c r="G89" i="23" s="1"/>
  <c r="K89" i="26" s="1"/>
  <c r="G45" i="23" a="1"/>
  <c r="G45" i="23" s="1"/>
  <c r="J45" i="26" s="1"/>
  <c r="G6" i="23" a="1"/>
  <c r="G6" i="23" s="1"/>
  <c r="J6" i="26" s="1"/>
  <c r="G37" i="23" a="1"/>
  <c r="G37" i="23" s="1"/>
  <c r="J37" i="26" s="1"/>
  <c r="G14" i="23" a="1"/>
  <c r="G14" i="23" s="1"/>
  <c r="J14" i="26" s="1"/>
  <c r="G43" i="23" a="1"/>
  <c r="G43" i="23" s="1"/>
  <c r="AP73" i="9"/>
  <c r="AR73" i="9" s="1"/>
  <c r="AQ73" i="9"/>
  <c r="AP72" i="9"/>
  <c r="AR72" i="9" s="1"/>
  <c r="AQ72" i="9"/>
  <c r="AP59" i="9"/>
  <c r="AR59" i="9" s="1"/>
  <c r="AQ59" i="9"/>
  <c r="AP76" i="9"/>
  <c r="AR76" i="9" s="1"/>
  <c r="AQ76" i="9"/>
  <c r="AP13" i="9"/>
  <c r="AR13" i="9" s="1"/>
  <c r="AQ13" i="9"/>
  <c r="W89" i="9"/>
  <c r="AT89" i="9" s="1"/>
  <c r="AN89" i="9"/>
  <c r="AQ89" i="9" s="1"/>
  <c r="Z89" i="9"/>
  <c r="AO89" i="9"/>
  <c r="AE100" i="9"/>
  <c r="D26" i="16"/>
  <c r="U123" i="26"/>
  <c r="T33" i="26"/>
  <c r="T70" i="26"/>
  <c r="U98" i="26"/>
  <c r="U113" i="26"/>
  <c r="T39" i="26"/>
  <c r="U115" i="26"/>
  <c r="T29" i="26"/>
  <c r="T38" i="26"/>
  <c r="T72" i="26"/>
  <c r="U92" i="26"/>
  <c r="T67" i="26"/>
  <c r="T73" i="26"/>
  <c r="T74" i="26"/>
  <c r="T6" i="26"/>
  <c r="T40" i="26"/>
  <c r="T15" i="26"/>
  <c r="T46" i="26"/>
  <c r="T75" i="26"/>
  <c r="U111" i="26"/>
  <c r="U84" i="26"/>
  <c r="T34" i="26"/>
  <c r="U122" i="26"/>
  <c r="U102" i="26"/>
  <c r="T9" i="26"/>
  <c r="T30" i="26"/>
  <c r="U88" i="26"/>
  <c r="T47" i="26"/>
  <c r="U99" i="26"/>
  <c r="U107" i="26"/>
  <c r="T53" i="26"/>
  <c r="T11" i="26"/>
  <c r="T14" i="26"/>
  <c r="U110" i="26"/>
  <c r="U82" i="26"/>
  <c r="T51" i="26"/>
  <c r="U85" i="26"/>
  <c r="T56" i="26"/>
  <c r="T35" i="26"/>
  <c r="U83" i="26"/>
  <c r="T23" i="26"/>
  <c r="T49" i="26"/>
  <c r="T65" i="26"/>
  <c r="T57" i="26"/>
  <c r="T24" i="26"/>
  <c r="U87" i="26"/>
  <c r="U112" i="26"/>
  <c r="AH22" i="3"/>
  <c r="AS22" i="3"/>
  <c r="AP18" i="3"/>
  <c r="E43" i="23" s="1" a="1"/>
  <c r="E43" i="23" s="1"/>
  <c r="AG18" i="3"/>
  <c r="N18" i="3"/>
  <c r="O18" i="3"/>
  <c r="Y17" i="3"/>
  <c r="AM17" i="3"/>
  <c r="AF17" i="3"/>
  <c r="X17" i="3"/>
  <c r="AK17" i="3"/>
  <c r="AQ17" i="3" s="1"/>
  <c r="AR24" i="3"/>
  <c r="AE24" i="3"/>
  <c r="AO8" i="9"/>
  <c r="Z8" i="9"/>
  <c r="AH71" i="9"/>
  <c r="AS71" i="9"/>
  <c r="AH100" i="9"/>
  <c r="AS100" i="9"/>
  <c r="AP9" i="9"/>
  <c r="AK9" i="9"/>
  <c r="AM9" i="9" s="1"/>
  <c r="AH61" i="9"/>
  <c r="AS61" i="9"/>
  <c r="AP41" i="9"/>
  <c r="AR41" i="9" s="1"/>
  <c r="AT41" i="9"/>
  <c r="AS41" i="9" s="1"/>
  <c r="AI36" i="9"/>
  <c r="AT36" i="9"/>
  <c r="O15" i="9"/>
  <c r="N15" i="9"/>
  <c r="N89" i="9"/>
  <c r="X89" i="9" s="1"/>
  <c r="AD89" i="9" s="1"/>
  <c r="O89" i="9"/>
  <c r="AF89" i="9" s="1"/>
  <c r="J8" i="9"/>
  <c r="O8" i="9" s="1"/>
  <c r="AM8" i="9" s="1"/>
  <c r="W8" i="9"/>
  <c r="P9" i="9"/>
  <c r="W9" i="9"/>
  <c r="AI9" i="9" s="1"/>
  <c r="AM17" i="9"/>
  <c r="L6" i="9"/>
  <c r="V6" i="9"/>
  <c r="AZ6" i="9" s="1"/>
  <c r="L7" i="9"/>
  <c r="V7" i="9"/>
  <c r="AZ7" i="9" s="1"/>
  <c r="X90" i="9"/>
  <c r="AD90" i="9" s="1"/>
  <c r="V9" i="9"/>
  <c r="AH9" i="9" s="1"/>
  <c r="J6" i="9"/>
  <c r="J9" i="9"/>
  <c r="J4" i="9"/>
  <c r="Y90" i="9"/>
  <c r="AE90" i="9" s="1"/>
  <c r="U89" i="9"/>
  <c r="V8" i="9"/>
  <c r="AS8" i="9" s="1"/>
  <c r="P8" i="9"/>
  <c r="J5" i="9"/>
  <c r="N5" i="9" s="1"/>
  <c r="X5" i="9" s="1"/>
  <c r="J7" i="9"/>
  <c r="P56" i="9"/>
  <c r="AY110" i="20" l="1"/>
  <c r="H135" i="16" s="1"/>
  <c r="AW90" i="20"/>
  <c r="F133" i="16" s="1"/>
  <c r="AY120" i="20"/>
  <c r="AX80" i="20"/>
  <c r="G132" i="16" s="1"/>
  <c r="AY80" i="20"/>
  <c r="H132" i="16" s="1"/>
  <c r="AW80" i="20"/>
  <c r="F132" i="16" s="1"/>
  <c r="AX110" i="20"/>
  <c r="G135" i="16" s="1"/>
  <c r="AW100" i="20"/>
  <c r="F134" i="16" s="1"/>
  <c r="AX100" i="20"/>
  <c r="G134" i="16" s="1"/>
  <c r="AX120" i="20"/>
  <c r="AY90" i="20"/>
  <c r="H133" i="16" s="1"/>
  <c r="AW110" i="20"/>
  <c r="F135" i="16" s="1"/>
  <c r="AX90" i="20"/>
  <c r="G133" i="16" s="1"/>
  <c r="AW120" i="20"/>
  <c r="AY100" i="20"/>
  <c r="H134" i="16" s="1"/>
  <c r="J70" i="26"/>
  <c r="AC70" i="26"/>
  <c r="AC80" i="26"/>
  <c r="AC100" i="26"/>
  <c r="AC120" i="26"/>
  <c r="AC110" i="26"/>
  <c r="AC90" i="26"/>
  <c r="B25" i="19"/>
  <c r="B26" i="19" s="1"/>
  <c r="B27" i="19" s="1"/>
  <c r="B28" i="19" s="1"/>
  <c r="B29" i="19" s="1"/>
  <c r="B30" i="19" s="1"/>
  <c r="B31" i="19" s="1"/>
  <c r="B32" i="19" s="1"/>
  <c r="B33" i="19" s="1"/>
  <c r="B34" i="19" s="1"/>
  <c r="D83" i="16" s="1"/>
  <c r="G4" i="25"/>
  <c r="F93" i="16" s="1"/>
  <c r="T5" i="26"/>
  <c r="J80" i="26"/>
  <c r="K100" i="26"/>
  <c r="K120" i="26"/>
  <c r="K110" i="26"/>
  <c r="K90" i="26"/>
  <c r="E94" i="16"/>
  <c r="G15" i="19"/>
  <c r="G16" i="19" s="1"/>
  <c r="G17" i="19" s="1"/>
  <c r="G18" i="19" s="1"/>
  <c r="G19" i="19" s="1"/>
  <c r="G20" i="19" s="1"/>
  <c r="G21" i="19" s="1"/>
  <c r="G22" i="19" s="1"/>
  <c r="G23" i="19" s="1"/>
  <c r="G24" i="19" s="1"/>
  <c r="C81" i="16"/>
  <c r="C15" i="19"/>
  <c r="C16" i="19" s="1"/>
  <c r="C17" i="19" s="1"/>
  <c r="C18" i="19" s="1"/>
  <c r="C19" i="19" s="1"/>
  <c r="C20" i="19" s="1"/>
  <c r="C21" i="19" s="1"/>
  <c r="C22" i="19" s="1"/>
  <c r="C23" i="19" s="1"/>
  <c r="C24" i="19" s="1"/>
  <c r="C94" i="16"/>
  <c r="F15" i="19"/>
  <c r="F16" i="19" s="1"/>
  <c r="F17" i="19" s="1"/>
  <c r="F18" i="19" s="1"/>
  <c r="F19" i="19" s="1"/>
  <c r="F20" i="19" s="1"/>
  <c r="F21" i="19" s="1"/>
  <c r="F22" i="19" s="1"/>
  <c r="F23" i="19" s="1"/>
  <c r="F24" i="19" s="1"/>
  <c r="J5" i="26"/>
  <c r="E54" i="23" a="1"/>
  <c r="E54" i="23" s="1"/>
  <c r="M6" i="23"/>
  <c r="M7" i="23" s="1"/>
  <c r="M8" i="23" s="1"/>
  <c r="M9" i="23" s="1"/>
  <c r="M10" i="23" s="1"/>
  <c r="M11" i="23" s="1"/>
  <c r="M12" i="23" s="1"/>
  <c r="M13" i="23" s="1"/>
  <c r="M14" i="23" s="1"/>
  <c r="M15" i="23" s="1"/>
  <c r="M16" i="23" s="1"/>
  <c r="M17" i="23" s="1"/>
  <c r="M18" i="23" s="1"/>
  <c r="M19" i="23" s="1"/>
  <c r="M20" i="23" s="1"/>
  <c r="M21" i="23" s="1"/>
  <c r="M22" i="23" s="1"/>
  <c r="M23" i="23" s="1"/>
  <c r="M24" i="23" s="1"/>
  <c r="M25" i="23" s="1"/>
  <c r="M26" i="23" s="1"/>
  <c r="M27" i="23" s="1"/>
  <c r="M28" i="23" s="1"/>
  <c r="M29" i="23" s="1"/>
  <c r="M30" i="23" s="1"/>
  <c r="M31" i="23" s="1"/>
  <c r="M32" i="23" s="1"/>
  <c r="M33" i="23" s="1"/>
  <c r="M34" i="23" s="1"/>
  <c r="M35" i="23" s="1"/>
  <c r="M36" i="23" s="1"/>
  <c r="M37" i="23" s="1"/>
  <c r="M38" i="23" s="1"/>
  <c r="M39" i="23" s="1"/>
  <c r="M40" i="23" s="1"/>
  <c r="M41" i="23" s="1"/>
  <c r="M42" i="23" s="1"/>
  <c r="M43" i="23" s="1"/>
  <c r="M44" i="23" s="1"/>
  <c r="M45" i="23" s="1"/>
  <c r="M46" i="23" s="1"/>
  <c r="M47" i="23" s="1"/>
  <c r="M48" i="23" s="1"/>
  <c r="M49" i="23" s="1"/>
  <c r="M50" i="23" s="1"/>
  <c r="M51" i="23" s="1"/>
  <c r="M52" i="23" s="1"/>
  <c r="M53" i="23" s="1"/>
  <c r="M54" i="23" s="1"/>
  <c r="M55" i="23" s="1"/>
  <c r="M56" i="23" s="1"/>
  <c r="M57" i="23" s="1"/>
  <c r="M58" i="23" s="1"/>
  <c r="M59" i="23" s="1"/>
  <c r="M60" i="23" s="1"/>
  <c r="M61" i="23" s="1"/>
  <c r="M62" i="23" s="1"/>
  <c r="M63" i="23" s="1"/>
  <c r="M64" i="23" s="1"/>
  <c r="M65" i="23" s="1"/>
  <c r="M66" i="23" s="1"/>
  <c r="M67" i="23" s="1"/>
  <c r="M68" i="23" s="1"/>
  <c r="M69" i="23" s="1"/>
  <c r="M70" i="23" s="1"/>
  <c r="M71" i="23" s="1"/>
  <c r="M72" i="23" s="1"/>
  <c r="M73" i="23" s="1"/>
  <c r="M74" i="23" s="1"/>
  <c r="M75" i="23" s="1"/>
  <c r="M76" i="23" s="1"/>
  <c r="M77" i="23" s="1"/>
  <c r="M78" i="23" s="1"/>
  <c r="M79" i="23" s="1"/>
  <c r="M80" i="23" s="1"/>
  <c r="M81" i="23" s="1"/>
  <c r="M82" i="23" s="1"/>
  <c r="M83" i="23" s="1"/>
  <c r="M84" i="23" s="1"/>
  <c r="M85" i="23" s="1"/>
  <c r="M86" i="23" s="1"/>
  <c r="M87" i="23" s="1"/>
  <c r="M88" i="23" s="1"/>
  <c r="M89" i="23" s="1"/>
  <c r="M90" i="23" s="1"/>
  <c r="M91" i="23" s="1"/>
  <c r="M92" i="23" s="1"/>
  <c r="M93" i="23" s="1"/>
  <c r="M94" i="23" s="1"/>
  <c r="M95" i="23" s="1"/>
  <c r="M96" i="23" s="1"/>
  <c r="M97" i="23" s="1"/>
  <c r="M98" i="23" s="1"/>
  <c r="M99" i="23" s="1"/>
  <c r="M100" i="23" s="1"/>
  <c r="M101" i="23" s="1"/>
  <c r="M102" i="23" s="1"/>
  <c r="M103" i="23" s="1"/>
  <c r="M104" i="23" s="1"/>
  <c r="M105" i="23" s="1"/>
  <c r="M106" i="23" s="1"/>
  <c r="M107" i="23" s="1"/>
  <c r="M108" i="23" s="1"/>
  <c r="M109" i="23" s="1"/>
  <c r="M110" i="23" s="1"/>
  <c r="M111" i="23" s="1"/>
  <c r="M112" i="23" s="1"/>
  <c r="M113" i="23" s="1"/>
  <c r="M114" i="23" s="1"/>
  <c r="M115" i="23" s="1"/>
  <c r="M116" i="23" s="1"/>
  <c r="M117" i="23" s="1"/>
  <c r="M118" i="23" s="1"/>
  <c r="M119" i="23" s="1"/>
  <c r="M120" i="23" s="1"/>
  <c r="M121" i="23" s="1"/>
  <c r="M122" i="23" s="1"/>
  <c r="M123" i="23" s="1"/>
  <c r="M124" i="23" s="1"/>
  <c r="M125" i="23" s="1"/>
  <c r="AD60" i="26"/>
  <c r="E93" i="23" a="1"/>
  <c r="E93" i="23" s="1"/>
  <c r="G93" i="26" s="1"/>
  <c r="Q120" i="26"/>
  <c r="E81" i="23" a="1"/>
  <c r="E81" i="23" s="1"/>
  <c r="E31" i="23" a="1"/>
  <c r="E31" i="23" s="1"/>
  <c r="F31" i="26" s="1"/>
  <c r="AC20" i="26"/>
  <c r="E30" i="23" a="1"/>
  <c r="E30" i="23" s="1"/>
  <c r="P58" i="26"/>
  <c r="E56" i="23" a="1"/>
  <c r="E56" i="23" s="1"/>
  <c r="F56" i="26" s="1"/>
  <c r="E82" i="23" a="1"/>
  <c r="E82" i="23" s="1"/>
  <c r="P7" i="26"/>
  <c r="B5" i="23" a="1"/>
  <c r="B5" i="23" s="1"/>
  <c r="B4" i="25" s="1"/>
  <c r="F80" i="16" s="1"/>
  <c r="B53" i="23" a="1"/>
  <c r="B53" i="23" s="1"/>
  <c r="P37" i="26"/>
  <c r="E98" i="23" a="1"/>
  <c r="E98" i="23" s="1"/>
  <c r="G98" i="26" s="1"/>
  <c r="E38" i="23" a="1"/>
  <c r="E38" i="23" s="1"/>
  <c r="P32" i="26"/>
  <c r="E121" i="23" a="1"/>
  <c r="E121" i="23" s="1"/>
  <c r="G121" i="26" s="1"/>
  <c r="F63" i="23" a="1"/>
  <c r="F63" i="23" s="1"/>
  <c r="H63" i="26" s="1"/>
  <c r="F121" i="23" a="1"/>
  <c r="F121" i="23" s="1"/>
  <c r="I121" i="26" s="1"/>
  <c r="F66" i="23" a="1"/>
  <c r="F66" i="23" s="1"/>
  <c r="H66" i="26" s="1"/>
  <c r="F107" i="23" a="1"/>
  <c r="F107" i="23" s="1"/>
  <c r="I107" i="26" s="1"/>
  <c r="F64" i="23" a="1"/>
  <c r="F64" i="23" s="1"/>
  <c r="H64" i="26" s="1"/>
  <c r="F76" i="23" a="1"/>
  <c r="F76" i="23" s="1"/>
  <c r="H76" i="26" s="1"/>
  <c r="F102" i="23" a="1"/>
  <c r="F102" i="23" s="1"/>
  <c r="I102" i="26" s="1"/>
  <c r="F110" i="23" a="1"/>
  <c r="F110" i="23" s="1"/>
  <c r="F9" i="23" a="1"/>
  <c r="F9" i="23" s="1"/>
  <c r="H9" i="26" s="1"/>
  <c r="F72" i="23" a="1"/>
  <c r="F72" i="23" s="1"/>
  <c r="H72" i="26" s="1"/>
  <c r="F28" i="23" a="1"/>
  <c r="F28" i="23" s="1"/>
  <c r="H28" i="26" s="1"/>
  <c r="F7" i="23" a="1"/>
  <c r="F7" i="23" s="1"/>
  <c r="H7" i="26" s="1"/>
  <c r="F38" i="23" a="1"/>
  <c r="F38" i="23" s="1"/>
  <c r="H38" i="26" s="1"/>
  <c r="F89" i="23" a="1"/>
  <c r="F89" i="23" s="1"/>
  <c r="I89" i="26" s="1"/>
  <c r="F81" i="23" a="1"/>
  <c r="F81" i="23" s="1"/>
  <c r="I81" i="26" s="1"/>
  <c r="F29" i="23" a="1"/>
  <c r="F29" i="23" s="1"/>
  <c r="H29" i="26" s="1"/>
  <c r="F100" i="23" a="1"/>
  <c r="F100" i="23" s="1"/>
  <c r="F97" i="23" a="1"/>
  <c r="F97" i="23" s="1"/>
  <c r="I97" i="26" s="1"/>
  <c r="F108" i="23" a="1"/>
  <c r="F108" i="23" s="1"/>
  <c r="I108" i="26" s="1"/>
  <c r="F35" i="23" a="1"/>
  <c r="F35" i="23" s="1"/>
  <c r="H35" i="26" s="1"/>
  <c r="F33" i="23" a="1"/>
  <c r="F33" i="23" s="1"/>
  <c r="H33" i="26" s="1"/>
  <c r="F73" i="23" a="1"/>
  <c r="F73" i="23" s="1"/>
  <c r="H73" i="26" s="1"/>
  <c r="F119" i="23" a="1"/>
  <c r="F119" i="23" s="1"/>
  <c r="I119" i="26" s="1"/>
  <c r="F24" i="23" a="1"/>
  <c r="F24" i="23" s="1"/>
  <c r="H24" i="26" s="1"/>
  <c r="F61" i="23" a="1"/>
  <c r="F61" i="23" s="1"/>
  <c r="H61" i="26" s="1"/>
  <c r="F117" i="23" a="1"/>
  <c r="F117" i="23" s="1"/>
  <c r="I117" i="26" s="1"/>
  <c r="F114" i="23" a="1"/>
  <c r="F114" i="23" s="1"/>
  <c r="I114" i="26" s="1"/>
  <c r="F19" i="23" a="1"/>
  <c r="F19" i="23" s="1"/>
  <c r="H19" i="26" s="1"/>
  <c r="F98" i="23" a="1"/>
  <c r="F98" i="23" s="1"/>
  <c r="I98" i="26" s="1"/>
  <c r="F17" i="23" a="1"/>
  <c r="F17" i="23" s="1"/>
  <c r="H17" i="26" s="1"/>
  <c r="F34" i="23" a="1"/>
  <c r="F34" i="23" s="1"/>
  <c r="H34" i="26" s="1"/>
  <c r="F105" i="23" a="1"/>
  <c r="F105" i="23" s="1"/>
  <c r="I105" i="26" s="1"/>
  <c r="F23" i="23" a="1"/>
  <c r="F23" i="23" s="1"/>
  <c r="H23" i="26" s="1"/>
  <c r="F43" i="23" a="1"/>
  <c r="F43" i="23" s="1"/>
  <c r="H43" i="26" s="1"/>
  <c r="F68" i="23" a="1"/>
  <c r="F68" i="23" s="1"/>
  <c r="H68" i="26" s="1"/>
  <c r="F88" i="23" a="1"/>
  <c r="F88" i="23" s="1"/>
  <c r="I88" i="26" s="1"/>
  <c r="F84" i="23" a="1"/>
  <c r="F84" i="23" s="1"/>
  <c r="I84" i="26" s="1"/>
  <c r="F8" i="23" a="1"/>
  <c r="F8" i="23" s="1"/>
  <c r="H8" i="26" s="1"/>
  <c r="F14" i="23" a="1"/>
  <c r="F14" i="23" s="1"/>
  <c r="H14" i="26" s="1"/>
  <c r="F46" i="23" a="1"/>
  <c r="F46" i="23" s="1"/>
  <c r="H46" i="26" s="1"/>
  <c r="F5" i="23" a="1"/>
  <c r="F5" i="23" s="1"/>
  <c r="L5" i="23" s="1"/>
  <c r="F69" i="23" a="1"/>
  <c r="F69" i="23" s="1"/>
  <c r="H69" i="26" s="1"/>
  <c r="F48" i="23" a="1"/>
  <c r="F48" i="23" s="1"/>
  <c r="H48" i="26" s="1"/>
  <c r="F26" i="23" a="1"/>
  <c r="F26" i="23" s="1"/>
  <c r="H26" i="26" s="1"/>
  <c r="F22" i="23" a="1"/>
  <c r="F22" i="23" s="1"/>
  <c r="H22" i="26" s="1"/>
  <c r="F41" i="23" a="1"/>
  <c r="F41" i="23" s="1"/>
  <c r="H41" i="26" s="1"/>
  <c r="F106" i="23" a="1"/>
  <c r="F106" i="23" s="1"/>
  <c r="I106" i="26" s="1"/>
  <c r="F104" i="23" a="1"/>
  <c r="F104" i="23" s="1"/>
  <c r="I104" i="26" s="1"/>
  <c r="F103" i="23" a="1"/>
  <c r="F103" i="23" s="1"/>
  <c r="I103" i="26" s="1"/>
  <c r="F47" i="23" a="1"/>
  <c r="F47" i="23" s="1"/>
  <c r="H47" i="26" s="1"/>
  <c r="F92" i="23" a="1"/>
  <c r="F92" i="23" s="1"/>
  <c r="I92" i="26" s="1"/>
  <c r="F83" i="23" a="1"/>
  <c r="F83" i="23" s="1"/>
  <c r="I83" i="26" s="1"/>
  <c r="F75" i="23" a="1"/>
  <c r="F75" i="23" s="1"/>
  <c r="H75" i="26" s="1"/>
  <c r="F65" i="23" a="1"/>
  <c r="F65" i="23" s="1"/>
  <c r="H65" i="26" s="1"/>
  <c r="F30" i="23" a="1"/>
  <c r="F30" i="23" s="1"/>
  <c r="F86" i="23" a="1"/>
  <c r="F86" i="23" s="1"/>
  <c r="I86" i="26" s="1"/>
  <c r="F109" i="23" a="1"/>
  <c r="F109" i="23" s="1"/>
  <c r="I109" i="26" s="1"/>
  <c r="F55" i="23" a="1"/>
  <c r="F55" i="23" s="1"/>
  <c r="H55" i="26" s="1"/>
  <c r="F58" i="23" a="1"/>
  <c r="F58" i="23" s="1"/>
  <c r="H58" i="26" s="1"/>
  <c r="F113" i="23" a="1"/>
  <c r="F113" i="23" s="1"/>
  <c r="I113" i="26" s="1"/>
  <c r="F78" i="23" a="1"/>
  <c r="F78" i="23" s="1"/>
  <c r="H78" i="26" s="1"/>
  <c r="F10" i="23" a="1"/>
  <c r="F10" i="23" s="1"/>
  <c r="F80" i="23" a="1"/>
  <c r="F80" i="23" s="1"/>
  <c r="F101" i="23" a="1"/>
  <c r="F101" i="23" s="1"/>
  <c r="I101" i="26" s="1"/>
  <c r="F18" i="23" a="1"/>
  <c r="F18" i="23" s="1"/>
  <c r="H18" i="26" s="1"/>
  <c r="F111" i="23" a="1"/>
  <c r="F111" i="23" s="1"/>
  <c r="I111" i="26" s="1"/>
  <c r="F6" i="23" a="1"/>
  <c r="F6" i="23" s="1"/>
  <c r="H6" i="26" s="1"/>
  <c r="F15" i="23" a="1"/>
  <c r="F15" i="23" s="1"/>
  <c r="H15" i="26" s="1"/>
  <c r="F36" i="23" a="1"/>
  <c r="F36" i="23" s="1"/>
  <c r="H36" i="26" s="1"/>
  <c r="F124" i="23" a="1"/>
  <c r="F124" i="23" s="1"/>
  <c r="I124" i="26" s="1"/>
  <c r="F120" i="23" a="1"/>
  <c r="F120" i="23" s="1"/>
  <c r="F57" i="23" a="1"/>
  <c r="F57" i="23" s="1"/>
  <c r="H57" i="26" s="1"/>
  <c r="F77" i="23" a="1"/>
  <c r="F77" i="23" s="1"/>
  <c r="H77" i="26" s="1"/>
  <c r="F45" i="23" a="1"/>
  <c r="F45" i="23" s="1"/>
  <c r="H45" i="26" s="1"/>
  <c r="F62" i="23" a="1"/>
  <c r="F62" i="23" s="1"/>
  <c r="H62" i="26" s="1"/>
  <c r="F115" i="23" a="1"/>
  <c r="F115" i="23" s="1"/>
  <c r="I115" i="26" s="1"/>
  <c r="F12" i="23" a="1"/>
  <c r="F12" i="23" s="1"/>
  <c r="H12" i="26" s="1"/>
  <c r="F51" i="23" a="1"/>
  <c r="F51" i="23" s="1"/>
  <c r="H51" i="26" s="1"/>
  <c r="F50" i="23" a="1"/>
  <c r="F50" i="23" s="1"/>
  <c r="F60" i="23" a="1"/>
  <c r="F60" i="23" s="1"/>
  <c r="F125" i="23" a="1"/>
  <c r="F125" i="23" s="1"/>
  <c r="I125" i="26" s="1"/>
  <c r="F52" i="23" a="1"/>
  <c r="F52" i="23" s="1"/>
  <c r="H52" i="26" s="1"/>
  <c r="F118" i="23" a="1"/>
  <c r="F118" i="23" s="1"/>
  <c r="I118" i="26" s="1"/>
  <c r="F99" i="23" a="1"/>
  <c r="F99" i="23" s="1"/>
  <c r="I99" i="26" s="1"/>
  <c r="F94" i="23" a="1"/>
  <c r="F94" i="23" s="1"/>
  <c r="I94" i="26" s="1"/>
  <c r="F44" i="23" a="1"/>
  <c r="F44" i="23" s="1"/>
  <c r="H44" i="26" s="1"/>
  <c r="F93" i="23" a="1"/>
  <c r="F93" i="23" s="1"/>
  <c r="I93" i="26" s="1"/>
  <c r="F11" i="23" a="1"/>
  <c r="F11" i="23" s="1"/>
  <c r="H11" i="26" s="1"/>
  <c r="F53" i="23" a="1"/>
  <c r="F53" i="23" s="1"/>
  <c r="H53" i="26" s="1"/>
  <c r="F21" i="23" a="1"/>
  <c r="F21" i="23" s="1"/>
  <c r="H21" i="26" s="1"/>
  <c r="F54" i="23" a="1"/>
  <c r="F54" i="23" s="1"/>
  <c r="H54" i="26" s="1"/>
  <c r="F59" i="23" a="1"/>
  <c r="F59" i="23" s="1"/>
  <c r="H59" i="26" s="1"/>
  <c r="F96" i="23" a="1"/>
  <c r="F96" i="23" s="1"/>
  <c r="I96" i="26" s="1"/>
  <c r="F13" i="23" a="1"/>
  <c r="F13" i="23" s="1"/>
  <c r="H13" i="26" s="1"/>
  <c r="F82" i="23" a="1"/>
  <c r="F82" i="23" s="1"/>
  <c r="I82" i="26" s="1"/>
  <c r="F56" i="23" a="1"/>
  <c r="F56" i="23" s="1"/>
  <c r="H56" i="26" s="1"/>
  <c r="F122" i="23" a="1"/>
  <c r="F122" i="23" s="1"/>
  <c r="I122" i="26" s="1"/>
  <c r="F112" i="23" a="1"/>
  <c r="F112" i="23" s="1"/>
  <c r="I112" i="26" s="1"/>
  <c r="F70" i="23" a="1"/>
  <c r="F70" i="23" s="1"/>
  <c r="F95" i="23" a="1"/>
  <c r="F95" i="23" s="1"/>
  <c r="I95" i="26" s="1"/>
  <c r="F27" i="23" a="1"/>
  <c r="F27" i="23" s="1"/>
  <c r="H27" i="26" s="1"/>
  <c r="F123" i="23" a="1"/>
  <c r="F123" i="23" s="1"/>
  <c r="I123" i="26" s="1"/>
  <c r="F87" i="23" a="1"/>
  <c r="F87" i="23" s="1"/>
  <c r="I87" i="26" s="1"/>
  <c r="F31" i="23" a="1"/>
  <c r="F31" i="23" s="1"/>
  <c r="H31" i="26" s="1"/>
  <c r="F67" i="23" a="1"/>
  <c r="F67" i="23" s="1"/>
  <c r="H67" i="26" s="1"/>
  <c r="F49" i="23" a="1"/>
  <c r="F49" i="23" s="1"/>
  <c r="H49" i="26" s="1"/>
  <c r="F20" i="23" a="1"/>
  <c r="F20" i="23" s="1"/>
  <c r="F32" i="23" a="1"/>
  <c r="F32" i="23" s="1"/>
  <c r="H32" i="26" s="1"/>
  <c r="F71" i="23" a="1"/>
  <c r="F71" i="23" s="1"/>
  <c r="H71" i="26" s="1"/>
  <c r="F39" i="23" a="1"/>
  <c r="F39" i="23" s="1"/>
  <c r="H39" i="26" s="1"/>
  <c r="F25" i="23" a="1"/>
  <c r="F25" i="23" s="1"/>
  <c r="H25" i="26" s="1"/>
  <c r="F79" i="23" a="1"/>
  <c r="F79" i="23" s="1"/>
  <c r="H79" i="26" s="1"/>
  <c r="F40" i="23" a="1"/>
  <c r="F40" i="23" s="1"/>
  <c r="F42" i="23" a="1"/>
  <c r="F42" i="23" s="1"/>
  <c r="H42" i="26" s="1"/>
  <c r="F91" i="23" a="1"/>
  <c r="F91" i="23" s="1"/>
  <c r="I91" i="26" s="1"/>
  <c r="F74" i="23" a="1"/>
  <c r="F74" i="23" s="1"/>
  <c r="H74" i="26" s="1"/>
  <c r="F85" i="23" a="1"/>
  <c r="F85" i="23" s="1"/>
  <c r="I85" i="26" s="1"/>
  <c r="F90" i="23" a="1"/>
  <c r="F90" i="23" s="1"/>
  <c r="F16" i="23" a="1"/>
  <c r="F16" i="23" s="1"/>
  <c r="H16" i="26" s="1"/>
  <c r="F37" i="23" a="1"/>
  <c r="F37" i="23" s="1"/>
  <c r="H37" i="26" s="1"/>
  <c r="F116" i="23" a="1"/>
  <c r="F116" i="23" s="1"/>
  <c r="I116" i="26" s="1"/>
  <c r="Q117" i="26"/>
  <c r="R39" i="26"/>
  <c r="S123" i="26"/>
  <c r="J71" i="26"/>
  <c r="E60" i="23" a="1"/>
  <c r="E60" i="23" s="1"/>
  <c r="F60" i="26" s="1"/>
  <c r="P10" i="26"/>
  <c r="P55" i="26"/>
  <c r="P67" i="26"/>
  <c r="E73" i="23" a="1"/>
  <c r="E73" i="23" s="1"/>
  <c r="F73" i="26" s="1"/>
  <c r="E89" i="23" a="1"/>
  <c r="E89" i="23" s="1"/>
  <c r="G89" i="26" s="1"/>
  <c r="E83" i="23" a="1"/>
  <c r="E83" i="23" s="1"/>
  <c r="G83" i="26" s="1"/>
  <c r="E119" i="23" a="1"/>
  <c r="E119" i="23" s="1"/>
  <c r="G119" i="26" s="1"/>
  <c r="E88" i="23" a="1"/>
  <c r="E88" i="23" s="1"/>
  <c r="G88" i="26" s="1"/>
  <c r="R73" i="26"/>
  <c r="S115" i="26"/>
  <c r="D21" i="23" a="1"/>
  <c r="D21" i="23" s="1"/>
  <c r="D105" i="23" a="1"/>
  <c r="D105" i="23" s="1"/>
  <c r="E62" i="23" a="1"/>
  <c r="E62" i="23" s="1"/>
  <c r="F62" i="26" s="1"/>
  <c r="P20" i="26"/>
  <c r="P75" i="26"/>
  <c r="E106" i="23" a="1"/>
  <c r="E106" i="23" s="1"/>
  <c r="G106" i="26" s="1"/>
  <c r="AD30" i="26"/>
  <c r="AC60" i="26"/>
  <c r="E16" i="23" a="1"/>
  <c r="E16" i="23" s="1"/>
  <c r="F16" i="26" s="1"/>
  <c r="E77" i="23" a="1"/>
  <c r="E77" i="23" s="1"/>
  <c r="F77" i="26" s="1"/>
  <c r="R19" i="26"/>
  <c r="S93" i="26"/>
  <c r="R63" i="26"/>
  <c r="R31" i="26"/>
  <c r="E90" i="23" a="1"/>
  <c r="E90" i="23" s="1"/>
  <c r="E45" i="23" a="1"/>
  <c r="E45" i="23" s="1"/>
  <c r="F45" i="26" s="1"/>
  <c r="R51" i="26"/>
  <c r="R17" i="26"/>
  <c r="R55" i="26"/>
  <c r="F5" i="24" a="1"/>
  <c r="F5" i="24" s="1"/>
  <c r="R5" i="26" s="1"/>
  <c r="R69" i="26"/>
  <c r="R29" i="26"/>
  <c r="S87" i="26"/>
  <c r="R12" i="26"/>
  <c r="R22" i="26"/>
  <c r="R36" i="26"/>
  <c r="S112" i="26"/>
  <c r="R8" i="26"/>
  <c r="S86" i="26"/>
  <c r="R40" i="26"/>
  <c r="R54" i="26"/>
  <c r="S89" i="26"/>
  <c r="R43" i="26"/>
  <c r="S105" i="26"/>
  <c r="S94" i="26"/>
  <c r="S96" i="26"/>
  <c r="R48" i="26"/>
  <c r="R72" i="26"/>
  <c r="S110" i="26"/>
  <c r="R77" i="26"/>
  <c r="R47" i="26"/>
  <c r="R7" i="26"/>
  <c r="R21" i="26"/>
  <c r="S97" i="26"/>
  <c r="R28" i="26"/>
  <c r="S99" i="26"/>
  <c r="R78" i="26"/>
  <c r="S101" i="26"/>
  <c r="R24" i="26"/>
  <c r="R41" i="26"/>
  <c r="R68" i="26"/>
  <c r="R53" i="26"/>
  <c r="R42" i="26"/>
  <c r="S88" i="26"/>
  <c r="R61" i="26"/>
  <c r="S81" i="26"/>
  <c r="S84" i="26"/>
  <c r="R13" i="26"/>
  <c r="R44" i="26"/>
  <c r="R66" i="26"/>
  <c r="S95" i="26"/>
  <c r="S118" i="26"/>
  <c r="R80" i="26"/>
  <c r="S102" i="26"/>
  <c r="R65" i="26"/>
  <c r="R26" i="26"/>
  <c r="R58" i="26"/>
  <c r="S107" i="26"/>
  <c r="R25" i="26"/>
  <c r="R59" i="26"/>
  <c r="S120" i="26"/>
  <c r="R32" i="26"/>
  <c r="R11" i="26"/>
  <c r="S100" i="26"/>
  <c r="P72" i="26"/>
  <c r="P26" i="26"/>
  <c r="P24" i="26"/>
  <c r="P74" i="26"/>
  <c r="Q97" i="26"/>
  <c r="Q81" i="26"/>
  <c r="P30" i="26"/>
  <c r="P13" i="26"/>
  <c r="P53" i="26"/>
  <c r="P19" i="26"/>
  <c r="Q92" i="26"/>
  <c r="P76" i="26"/>
  <c r="P23" i="26"/>
  <c r="Q104" i="26"/>
  <c r="Q106" i="26"/>
  <c r="Q89" i="26"/>
  <c r="P36" i="26"/>
  <c r="Q84" i="26"/>
  <c r="P47" i="26"/>
  <c r="Q114" i="26"/>
  <c r="Q109" i="26"/>
  <c r="Q87" i="26"/>
  <c r="P15" i="26"/>
  <c r="P17" i="26"/>
  <c r="P49" i="26"/>
  <c r="P70" i="26"/>
  <c r="Q99" i="26"/>
  <c r="P54" i="26"/>
  <c r="P73" i="26"/>
  <c r="Q115" i="26"/>
  <c r="P29" i="26"/>
  <c r="P12" i="26"/>
  <c r="P66" i="26"/>
  <c r="Q102" i="26"/>
  <c r="Q100" i="26"/>
  <c r="P41" i="26"/>
  <c r="P33" i="26"/>
  <c r="Q101" i="26"/>
  <c r="P68" i="26"/>
  <c r="P44" i="26"/>
  <c r="P38" i="26"/>
  <c r="Q119" i="26"/>
  <c r="Q95" i="26"/>
  <c r="Q116" i="26"/>
  <c r="P21" i="26"/>
  <c r="Q110" i="26"/>
  <c r="P14" i="26"/>
  <c r="Q90" i="26"/>
  <c r="P50" i="26"/>
  <c r="P63" i="26"/>
  <c r="P35" i="26"/>
  <c r="P16" i="26"/>
  <c r="P43" i="26"/>
  <c r="Q123" i="26"/>
  <c r="Q82" i="26"/>
  <c r="E67" i="23" a="1"/>
  <c r="E67" i="23" s="1"/>
  <c r="F67" i="26" s="1"/>
  <c r="E51" i="23" a="1"/>
  <c r="E51" i="23" s="1"/>
  <c r="F51" i="26" s="1"/>
  <c r="AD10" i="26"/>
  <c r="S92" i="26"/>
  <c r="S122" i="26"/>
  <c r="R46" i="26"/>
  <c r="D30" i="23" a="1"/>
  <c r="D30" i="23" s="1"/>
  <c r="J32" i="26"/>
  <c r="AC30" i="26"/>
  <c r="E123" i="23" a="1"/>
  <c r="E123" i="23" s="1"/>
  <c r="G123" i="26" s="1"/>
  <c r="E103" i="23" a="1"/>
  <c r="E103" i="23" s="1"/>
  <c r="G103" i="26" s="1"/>
  <c r="E6" i="23" a="1"/>
  <c r="E6" i="23" s="1"/>
  <c r="F6" i="26" s="1"/>
  <c r="E53" i="23" a="1"/>
  <c r="E53" i="23" s="1"/>
  <c r="F53" i="26" s="1"/>
  <c r="E7" i="23" a="1"/>
  <c r="E7" i="23" s="1"/>
  <c r="F7" i="26" s="1"/>
  <c r="E29" i="23" a="1"/>
  <c r="E29" i="23" s="1"/>
  <c r="F29" i="26" s="1"/>
  <c r="E50" i="23" a="1"/>
  <c r="E50" i="23" s="1"/>
  <c r="F50" i="26" s="1"/>
  <c r="E112" i="23" a="1"/>
  <c r="E112" i="23" s="1"/>
  <c r="G112" i="26" s="1"/>
  <c r="E122" i="23" a="1"/>
  <c r="E122" i="23" s="1"/>
  <c r="G122" i="26" s="1"/>
  <c r="E105" i="23" a="1"/>
  <c r="E105" i="23" s="1"/>
  <c r="G105" i="26" s="1"/>
  <c r="E79" i="23" a="1"/>
  <c r="E79" i="23" s="1"/>
  <c r="F79" i="26" s="1"/>
  <c r="E42" i="23" a="1"/>
  <c r="E42" i="23" s="1"/>
  <c r="F42" i="26" s="1"/>
  <c r="E55" i="23" a="1"/>
  <c r="E55" i="23" s="1"/>
  <c r="F55" i="26" s="1"/>
  <c r="E108" i="23" a="1"/>
  <c r="E108" i="23" s="1"/>
  <c r="G108" i="26" s="1"/>
  <c r="E11" i="23" a="1"/>
  <c r="E11" i="23" s="1"/>
  <c r="F11" i="26" s="1"/>
  <c r="E96" i="23" a="1"/>
  <c r="E96" i="23" s="1"/>
  <c r="G96" i="26" s="1"/>
  <c r="E46" i="23" a="1"/>
  <c r="E46" i="23" s="1"/>
  <c r="F46" i="26" s="1"/>
  <c r="E24" i="23" a="1"/>
  <c r="E24" i="23" s="1"/>
  <c r="F24" i="26" s="1"/>
  <c r="E110" i="23" a="1"/>
  <c r="E110" i="23" s="1"/>
  <c r="G110" i="26" s="1"/>
  <c r="E80" i="23" a="1"/>
  <c r="E80" i="23" s="1"/>
  <c r="F80" i="26" s="1"/>
  <c r="E20" i="23" a="1"/>
  <c r="E20" i="23" s="1"/>
  <c r="F20" i="26" s="1"/>
  <c r="E39" i="23" a="1"/>
  <c r="E39" i="23" s="1"/>
  <c r="F39" i="26" s="1"/>
  <c r="E97" i="23" a="1"/>
  <c r="E97" i="23" s="1"/>
  <c r="G97" i="26" s="1"/>
  <c r="E58" i="23" a="1"/>
  <c r="E58" i="23" s="1"/>
  <c r="F58" i="26" s="1"/>
  <c r="E118" i="23" a="1"/>
  <c r="E118" i="23" s="1"/>
  <c r="G118" i="26" s="1"/>
  <c r="E40" i="23" a="1"/>
  <c r="E40" i="23" s="1"/>
  <c r="F40" i="26" s="1"/>
  <c r="E57" i="23" a="1"/>
  <c r="E57" i="23" s="1"/>
  <c r="F57" i="26" s="1"/>
  <c r="E120" i="23" a="1"/>
  <c r="E120" i="23" s="1"/>
  <c r="G120" i="26" s="1"/>
  <c r="E27" i="23" a="1"/>
  <c r="E27" i="23" s="1"/>
  <c r="F27" i="26" s="1"/>
  <c r="E78" i="23" a="1"/>
  <c r="E78" i="23" s="1"/>
  <c r="F78" i="26" s="1"/>
  <c r="E70" i="23" a="1"/>
  <c r="E70" i="23" s="1"/>
  <c r="F70" i="26" s="1"/>
  <c r="E22" i="23" a="1"/>
  <c r="E22" i="23" s="1"/>
  <c r="F22" i="26" s="1"/>
  <c r="E92" i="23" a="1"/>
  <c r="E92" i="23" s="1"/>
  <c r="G92" i="26" s="1"/>
  <c r="E84" i="23" a="1"/>
  <c r="E84" i="23" s="1"/>
  <c r="G84" i="26" s="1"/>
  <c r="E25" i="23" a="1"/>
  <c r="E25" i="23" s="1"/>
  <c r="F25" i="26" s="1"/>
  <c r="E109" i="23" a="1"/>
  <c r="E109" i="23" s="1"/>
  <c r="G109" i="26" s="1"/>
  <c r="E86" i="23" a="1"/>
  <c r="E86" i="23" s="1"/>
  <c r="G86" i="26" s="1"/>
  <c r="E59" i="23" a="1"/>
  <c r="E59" i="23" s="1"/>
  <c r="F59" i="26" s="1"/>
  <c r="E124" i="23" a="1"/>
  <c r="E124" i="23" s="1"/>
  <c r="G124" i="26" s="1"/>
  <c r="E52" i="23" a="1"/>
  <c r="E52" i="23" s="1"/>
  <c r="E47" i="23" a="1"/>
  <c r="E47" i="23" s="1"/>
  <c r="F47" i="26" s="1"/>
  <c r="E116" i="23" a="1"/>
  <c r="E116" i="23" s="1"/>
  <c r="G116" i="26" s="1"/>
  <c r="E35" i="23" a="1"/>
  <c r="E35" i="23" s="1"/>
  <c r="F35" i="26" s="1"/>
  <c r="E71" i="23" a="1"/>
  <c r="E71" i="23" s="1"/>
  <c r="F71" i="26" s="1"/>
  <c r="E94" i="23" a="1"/>
  <c r="E94" i="23" s="1"/>
  <c r="G94" i="26" s="1"/>
  <c r="E87" i="23" a="1"/>
  <c r="E87" i="23" s="1"/>
  <c r="G87" i="26" s="1"/>
  <c r="E91" i="23" a="1"/>
  <c r="E91" i="23" s="1"/>
  <c r="G91" i="26" s="1"/>
  <c r="E101" i="23" a="1"/>
  <c r="E101" i="23" s="1"/>
  <c r="G101" i="26" s="1"/>
  <c r="E15" i="23" a="1"/>
  <c r="E15" i="23" s="1"/>
  <c r="F15" i="26" s="1"/>
  <c r="E95" i="23" a="1"/>
  <c r="E95" i="23" s="1"/>
  <c r="G95" i="26" s="1"/>
  <c r="E85" i="23" a="1"/>
  <c r="E85" i="23" s="1"/>
  <c r="G85" i="26" s="1"/>
  <c r="E68" i="23" a="1"/>
  <c r="E68" i="23" s="1"/>
  <c r="F68" i="26" s="1"/>
  <c r="E49" i="23" a="1"/>
  <c r="E49" i="23" s="1"/>
  <c r="F49" i="26" s="1"/>
  <c r="E44" i="23" a="1"/>
  <c r="E44" i="23" s="1"/>
  <c r="F44" i="26" s="1"/>
  <c r="E113" i="23" a="1"/>
  <c r="E113" i="23" s="1"/>
  <c r="G113" i="26" s="1"/>
  <c r="E9" i="23" a="1"/>
  <c r="E9" i="23" s="1"/>
  <c r="F9" i="26" s="1"/>
  <c r="E117" i="23" a="1"/>
  <c r="E117" i="23" s="1"/>
  <c r="G117" i="26" s="1"/>
  <c r="E17" i="23" a="1"/>
  <c r="E17" i="23" s="1"/>
  <c r="F17" i="26" s="1"/>
  <c r="E37" i="23" a="1"/>
  <c r="E37" i="23" s="1"/>
  <c r="F37" i="26" s="1"/>
  <c r="E107" i="23" a="1"/>
  <c r="E107" i="23" s="1"/>
  <c r="G107" i="26" s="1"/>
  <c r="E33" i="23" a="1"/>
  <c r="E33" i="23" s="1"/>
  <c r="F33" i="26" s="1"/>
  <c r="E18" i="23" a="1"/>
  <c r="E18" i="23" s="1"/>
  <c r="F18" i="26" s="1"/>
  <c r="E26" i="23" a="1"/>
  <c r="E26" i="23" s="1"/>
  <c r="F26" i="26" s="1"/>
  <c r="E63" i="23" a="1"/>
  <c r="E63" i="23" s="1"/>
  <c r="F63" i="26" s="1"/>
  <c r="E21" i="23" a="1"/>
  <c r="E21" i="23" s="1"/>
  <c r="F21" i="26" s="1"/>
  <c r="E23" i="23" a="1"/>
  <c r="E23" i="23" s="1"/>
  <c r="F23" i="26" s="1"/>
  <c r="E114" i="23" a="1"/>
  <c r="E114" i="23" s="1"/>
  <c r="G114" i="26" s="1"/>
  <c r="E41" i="23" a="1"/>
  <c r="E41" i="23" s="1"/>
  <c r="F41" i="26" s="1"/>
  <c r="E66" i="23" a="1"/>
  <c r="E66" i="23" s="1"/>
  <c r="F66" i="26" s="1"/>
  <c r="E65" i="23" a="1"/>
  <c r="E65" i="23" s="1"/>
  <c r="F65" i="26" s="1"/>
  <c r="E8" i="23" a="1"/>
  <c r="E8" i="23" s="1"/>
  <c r="F8" i="26" s="1"/>
  <c r="E34" i="23" a="1"/>
  <c r="E34" i="23" s="1"/>
  <c r="F34" i="26" s="1"/>
  <c r="E5" i="23" a="1"/>
  <c r="E5" i="23" s="1"/>
  <c r="E100" i="23" a="1"/>
  <c r="E100" i="23" s="1"/>
  <c r="G100" i="26" s="1"/>
  <c r="E48" i="23" a="1"/>
  <c r="E48" i="23" s="1"/>
  <c r="F48" i="26" s="1"/>
  <c r="E99" i="23" a="1"/>
  <c r="E99" i="23" s="1"/>
  <c r="G99" i="26" s="1"/>
  <c r="E19" i="23" a="1"/>
  <c r="E19" i="23" s="1"/>
  <c r="F19" i="26" s="1"/>
  <c r="E69" i="23" a="1"/>
  <c r="E69" i="23" s="1"/>
  <c r="F69" i="26" s="1"/>
  <c r="E104" i="23" a="1"/>
  <c r="E104" i="23" s="1"/>
  <c r="G104" i="26" s="1"/>
  <c r="E115" i="23" a="1"/>
  <c r="E115" i="23" s="1"/>
  <c r="G115" i="26" s="1"/>
  <c r="E14" i="23" a="1"/>
  <c r="E14" i="23" s="1"/>
  <c r="F14" i="26" s="1"/>
  <c r="E32" i="23" a="1"/>
  <c r="E32" i="23" s="1"/>
  <c r="F32" i="26" s="1"/>
  <c r="E75" i="23" a="1"/>
  <c r="E75" i="23" s="1"/>
  <c r="F75" i="26" s="1"/>
  <c r="E111" i="23" a="1"/>
  <c r="E111" i="23" s="1"/>
  <c r="G111" i="26" s="1"/>
  <c r="E64" i="23" a="1"/>
  <c r="E64" i="23" s="1"/>
  <c r="F64" i="26" s="1"/>
  <c r="E72" i="23" a="1"/>
  <c r="E72" i="23" s="1"/>
  <c r="F72" i="26" s="1"/>
  <c r="E61" i="23" a="1"/>
  <c r="E61" i="23" s="1"/>
  <c r="F61" i="26" s="1"/>
  <c r="E125" i="23" a="1"/>
  <c r="E125" i="23" s="1"/>
  <c r="G125" i="26" s="1"/>
  <c r="P64" i="26"/>
  <c r="Q107" i="26"/>
  <c r="Q98" i="26"/>
  <c r="Q122" i="26"/>
  <c r="P8" i="26"/>
  <c r="P9" i="26"/>
  <c r="E13" i="23" a="1"/>
  <c r="E13" i="23" s="1"/>
  <c r="F13" i="26" s="1"/>
  <c r="E10" i="23" a="1"/>
  <c r="E10" i="23" s="1"/>
  <c r="F10" i="26" s="1"/>
  <c r="E28" i="23" a="1"/>
  <c r="E28" i="23" s="1"/>
  <c r="F28" i="26" s="1"/>
  <c r="S125" i="26"/>
  <c r="R16" i="26"/>
  <c r="R35" i="26"/>
  <c r="S119" i="26"/>
  <c r="J11" i="26"/>
  <c r="AC10" i="26"/>
  <c r="T60" i="26"/>
  <c r="J43" i="26"/>
  <c r="AC40" i="26"/>
  <c r="J52" i="26"/>
  <c r="AC50" i="26"/>
  <c r="E74" i="23" a="1"/>
  <c r="E74" i="23" s="1"/>
  <c r="F74" i="26" s="1"/>
  <c r="P61" i="26"/>
  <c r="Q93" i="26"/>
  <c r="Q85" i="26"/>
  <c r="P11" i="26"/>
  <c r="Q113" i="26"/>
  <c r="E36" i="23" a="1"/>
  <c r="E36" i="23" s="1"/>
  <c r="F36" i="26" s="1"/>
  <c r="E76" i="23" a="1"/>
  <c r="E76" i="23" s="1"/>
  <c r="F76" i="26" s="1"/>
  <c r="E102" i="23" a="1"/>
  <c r="E102" i="23" s="1"/>
  <c r="G102" i="26" s="1"/>
  <c r="E12" i="23" a="1"/>
  <c r="E12" i="23" s="1"/>
  <c r="F12" i="26" s="1"/>
  <c r="R71" i="26"/>
  <c r="R74" i="26"/>
  <c r="S124" i="26"/>
  <c r="AD50" i="26"/>
  <c r="AD20" i="26"/>
  <c r="AD40" i="26"/>
  <c r="AQ9" i="9"/>
  <c r="AR9" i="9"/>
  <c r="F54" i="26"/>
  <c r="F52" i="26"/>
  <c r="AI89" i="9"/>
  <c r="V89" i="9"/>
  <c r="AS89" i="9" s="1"/>
  <c r="AP89" i="9"/>
  <c r="AR89" i="9" s="1"/>
  <c r="R9" i="26"/>
  <c r="R38" i="26"/>
  <c r="S103" i="26"/>
  <c r="S85" i="26"/>
  <c r="R75" i="26"/>
  <c r="S111" i="26"/>
  <c r="S106" i="26"/>
  <c r="S91" i="26"/>
  <c r="R6" i="26"/>
  <c r="R45" i="26"/>
  <c r="R79" i="26"/>
  <c r="R18" i="26"/>
  <c r="R49" i="26"/>
  <c r="R62" i="26"/>
  <c r="R34" i="26"/>
  <c r="R60" i="26"/>
  <c r="S117" i="26"/>
  <c r="S108" i="26"/>
  <c r="S83" i="26"/>
  <c r="S104" i="26"/>
  <c r="R50" i="26"/>
  <c r="R76" i="26"/>
  <c r="R64" i="26"/>
  <c r="R10" i="26"/>
  <c r="R57" i="26"/>
  <c r="R27" i="26"/>
  <c r="R56" i="26"/>
  <c r="R33" i="26"/>
  <c r="S121" i="26"/>
  <c r="S116" i="26"/>
  <c r="S113" i="26"/>
  <c r="S109" i="26"/>
  <c r="R37" i="26"/>
  <c r="R67" i="26"/>
  <c r="R20" i="26"/>
  <c r="R52" i="26"/>
  <c r="S82" i="26"/>
  <c r="R14" i="26"/>
  <c r="S90" i="26"/>
  <c r="R70" i="26"/>
  <c r="S98" i="26"/>
  <c r="R23" i="26"/>
  <c r="R15" i="26"/>
  <c r="S114" i="26"/>
  <c r="P69" i="26"/>
  <c r="P25" i="26"/>
  <c r="Q125" i="26"/>
  <c r="P80" i="26"/>
  <c r="Q111" i="26"/>
  <c r="Q83" i="26"/>
  <c r="Q112" i="26"/>
  <c r="P39" i="26"/>
  <c r="P71" i="26"/>
  <c r="Q121" i="26"/>
  <c r="F30" i="26"/>
  <c r="Q103" i="26"/>
  <c r="P78" i="26"/>
  <c r="G90" i="26"/>
  <c r="P62" i="26"/>
  <c r="Q124" i="26"/>
  <c r="P65" i="26"/>
  <c r="P28" i="26"/>
  <c r="P27" i="26"/>
  <c r="Q96" i="26"/>
  <c r="P18" i="26"/>
  <c r="P56" i="26"/>
  <c r="Q108" i="26"/>
  <c r="P22" i="26"/>
  <c r="P51" i="26"/>
  <c r="P46" i="26"/>
  <c r="P48" i="26"/>
  <c r="P52" i="26"/>
  <c r="P59" i="26"/>
  <c r="P31" i="26"/>
  <c r="P45" i="26"/>
  <c r="P34" i="26"/>
  <c r="G82" i="26"/>
  <c r="P40" i="26"/>
  <c r="F43" i="26"/>
  <c r="Q118" i="26"/>
  <c r="Q91" i="26"/>
  <c r="P79" i="26"/>
  <c r="P60" i="26"/>
  <c r="P42" i="26"/>
  <c r="P77" i="26"/>
  <c r="Q86" i="26"/>
  <c r="Q94" i="26"/>
  <c r="P6" i="26"/>
  <c r="F38" i="26"/>
  <c r="Q105" i="26"/>
  <c r="Q88" i="26"/>
  <c r="P57" i="26"/>
  <c r="G81" i="26"/>
  <c r="M7" i="24"/>
  <c r="M8" i="24" s="1"/>
  <c r="M9" i="24" s="1"/>
  <c r="M10" i="24" s="1"/>
  <c r="M11" i="24" s="1"/>
  <c r="M12" i="24" s="1"/>
  <c r="M13" i="24" s="1"/>
  <c r="M14" i="24" s="1"/>
  <c r="M15" i="24" s="1"/>
  <c r="M16" i="24" s="1"/>
  <c r="M17" i="24" s="1"/>
  <c r="M18" i="24" s="1"/>
  <c r="M19" i="24" s="1"/>
  <c r="M20" i="24" s="1"/>
  <c r="M21" i="24" s="1"/>
  <c r="M22" i="24" s="1"/>
  <c r="M23" i="24" s="1"/>
  <c r="M24" i="24" s="1"/>
  <c r="M25" i="24" s="1"/>
  <c r="M26" i="24" s="1"/>
  <c r="M27" i="24" s="1"/>
  <c r="M28" i="24" s="1"/>
  <c r="M29" i="24" s="1"/>
  <c r="M30" i="24" s="1"/>
  <c r="M31" i="24" s="1"/>
  <c r="M32" i="24" s="1"/>
  <c r="M33" i="24" s="1"/>
  <c r="M34" i="24" s="1"/>
  <c r="M35" i="24" s="1"/>
  <c r="M36" i="24" s="1"/>
  <c r="M37" i="24" s="1"/>
  <c r="M38" i="24" s="1"/>
  <c r="M39" i="24" s="1"/>
  <c r="M40" i="24" s="1"/>
  <c r="M41" i="24" s="1"/>
  <c r="M42" i="24" s="1"/>
  <c r="M43" i="24" s="1"/>
  <c r="M44" i="24" s="1"/>
  <c r="M45" i="24" s="1"/>
  <c r="M46" i="24" s="1"/>
  <c r="M47" i="24" s="1"/>
  <c r="M48" i="24" s="1"/>
  <c r="M49" i="24" s="1"/>
  <c r="M50" i="24" s="1"/>
  <c r="M51" i="24" s="1"/>
  <c r="M52" i="24" s="1"/>
  <c r="M53" i="24" s="1"/>
  <c r="M54" i="24" s="1"/>
  <c r="M55" i="24" s="1"/>
  <c r="M56" i="24" s="1"/>
  <c r="M57" i="24" s="1"/>
  <c r="M58" i="24" s="1"/>
  <c r="M59" i="24" s="1"/>
  <c r="M60" i="24" s="1"/>
  <c r="M61" i="24" s="1"/>
  <c r="M62" i="24" s="1"/>
  <c r="M63" i="24" s="1"/>
  <c r="M64" i="24" s="1"/>
  <c r="M65" i="24" s="1"/>
  <c r="M66" i="24" s="1"/>
  <c r="M67" i="24" s="1"/>
  <c r="M68" i="24" s="1"/>
  <c r="M69" i="24" s="1"/>
  <c r="M70" i="24" s="1"/>
  <c r="M71" i="24" s="1"/>
  <c r="M72" i="24" s="1"/>
  <c r="M73" i="24" s="1"/>
  <c r="M74" i="24" s="1"/>
  <c r="M75" i="24" s="1"/>
  <c r="M76" i="24" s="1"/>
  <c r="M77" i="24" s="1"/>
  <c r="M78" i="24" s="1"/>
  <c r="M79" i="24" s="1"/>
  <c r="M80" i="24" s="1"/>
  <c r="M81" i="24" s="1"/>
  <c r="M82" i="24" s="1"/>
  <c r="M83" i="24" s="1"/>
  <c r="M84" i="24" s="1"/>
  <c r="M85" i="24" s="1"/>
  <c r="M86" i="24" s="1"/>
  <c r="M87" i="24" s="1"/>
  <c r="M88" i="24" s="1"/>
  <c r="M89" i="24" s="1"/>
  <c r="M90" i="24" s="1"/>
  <c r="M91" i="24" s="1"/>
  <c r="M92" i="24" s="1"/>
  <c r="M93" i="24" s="1"/>
  <c r="M94" i="24" s="1"/>
  <c r="M95" i="24" s="1"/>
  <c r="M96" i="24" s="1"/>
  <c r="M97" i="24" s="1"/>
  <c r="M98" i="24" s="1"/>
  <c r="M99" i="24" s="1"/>
  <c r="M100" i="24" s="1"/>
  <c r="M101" i="24" s="1"/>
  <c r="M102" i="24" s="1"/>
  <c r="M103" i="24" s="1"/>
  <c r="M104" i="24" s="1"/>
  <c r="M105" i="24" s="1"/>
  <c r="M106" i="24" s="1"/>
  <c r="M107" i="24" s="1"/>
  <c r="M108" i="24" s="1"/>
  <c r="M109" i="24" s="1"/>
  <c r="M110" i="24" s="1"/>
  <c r="M111" i="24" s="1"/>
  <c r="M112" i="24" s="1"/>
  <c r="M113" i="24" s="1"/>
  <c r="M114" i="24" s="1"/>
  <c r="M115" i="24" s="1"/>
  <c r="M116" i="24" s="1"/>
  <c r="M117" i="24" s="1"/>
  <c r="M118" i="24" s="1"/>
  <c r="M119" i="24" s="1"/>
  <c r="M120" i="24" s="1"/>
  <c r="M121" i="24" s="1"/>
  <c r="M122" i="24" s="1"/>
  <c r="M123" i="24" s="1"/>
  <c r="M124" i="24" s="1"/>
  <c r="M125" i="24" s="1"/>
  <c r="Y18" i="3"/>
  <c r="AF18" i="3"/>
  <c r="AM18" i="3"/>
  <c r="D93" i="23" s="1" a="1"/>
  <c r="D93" i="23" s="1"/>
  <c r="AK18" i="3"/>
  <c r="AQ18" i="3" s="1"/>
  <c r="X18" i="3"/>
  <c r="B93" i="23" s="1" a="1"/>
  <c r="B93" i="23" s="1"/>
  <c r="AR17" i="3"/>
  <c r="AE17" i="3"/>
  <c r="O4" i="9"/>
  <c r="Y89" i="9"/>
  <c r="AE89" i="9" s="1"/>
  <c r="R56" i="9"/>
  <c r="AN56" i="9"/>
  <c r="N8" i="9"/>
  <c r="AK8" i="9" s="1"/>
  <c r="O56" i="9"/>
  <c r="N56" i="9"/>
  <c r="X56" i="9" s="1"/>
  <c r="AD56" i="9" s="1"/>
  <c r="AT8" i="9"/>
  <c r="AI8" i="9"/>
  <c r="R9" i="9"/>
  <c r="N4" i="9"/>
  <c r="X4" i="9" s="1"/>
  <c r="AD4" i="9" s="1"/>
  <c r="O7" i="9"/>
  <c r="AV7" i="9" s="1"/>
  <c r="N9" i="9"/>
  <c r="X9" i="9" s="1"/>
  <c r="AD9" i="9" s="1"/>
  <c r="O9" i="9"/>
  <c r="AF9" i="9" s="1"/>
  <c r="O6" i="9"/>
  <c r="Y6" i="9" s="1"/>
  <c r="AY6" i="9" s="1"/>
  <c r="N6" i="9"/>
  <c r="X6" i="9" s="1"/>
  <c r="AN8" i="9"/>
  <c r="AH8" i="9"/>
  <c r="AF8" i="9"/>
  <c r="R8" i="9"/>
  <c r="O5" i="9"/>
  <c r="N7" i="9"/>
  <c r="X7" i="9" s="1"/>
  <c r="P98" i="9"/>
  <c r="AN98" i="9" s="1"/>
  <c r="L98" i="9"/>
  <c r="AK98" i="9" s="1"/>
  <c r="AM98" i="9" s="1"/>
  <c r="P97" i="9"/>
  <c r="L97" i="9"/>
  <c r="AK97" i="9" s="1"/>
  <c r="AM97" i="9" s="1"/>
  <c r="P96" i="9"/>
  <c r="AN96" i="9" s="1"/>
  <c r="L5" i="24" l="1"/>
  <c r="G5" i="25"/>
  <c r="G6" i="25" s="1"/>
  <c r="G7" i="25" s="1"/>
  <c r="G8" i="25" s="1"/>
  <c r="G9" i="25" s="1"/>
  <c r="G10" i="25" s="1"/>
  <c r="G11" i="25" s="1"/>
  <c r="G12" i="25" s="1"/>
  <c r="G13" i="25" s="1"/>
  <c r="G14" i="25" s="1"/>
  <c r="F94" i="16" s="1"/>
  <c r="AA120" i="26"/>
  <c r="AA70" i="26"/>
  <c r="AA100" i="26"/>
  <c r="AA110" i="26"/>
  <c r="AA80" i="26"/>
  <c r="AA90" i="26"/>
  <c r="B35" i="19"/>
  <c r="B36" i="19" s="1"/>
  <c r="B37" i="19" s="1"/>
  <c r="B38" i="19" s="1"/>
  <c r="B39" i="19" s="1"/>
  <c r="B40" i="19" s="1"/>
  <c r="B41" i="19" s="1"/>
  <c r="B42" i="19" s="1"/>
  <c r="B43" i="19" s="1"/>
  <c r="B44" i="19" s="1"/>
  <c r="D84" i="16" s="1"/>
  <c r="C82" i="16"/>
  <c r="C25" i="19"/>
  <c r="C26" i="19" s="1"/>
  <c r="C27" i="19" s="1"/>
  <c r="C28" i="19" s="1"/>
  <c r="C29" i="19" s="1"/>
  <c r="C30" i="19" s="1"/>
  <c r="C31" i="19" s="1"/>
  <c r="C32" i="19" s="1"/>
  <c r="C33" i="19" s="1"/>
  <c r="C34" i="19" s="1"/>
  <c r="E95" i="16"/>
  <c r="G25" i="19"/>
  <c r="G26" i="19" s="1"/>
  <c r="G27" i="19" s="1"/>
  <c r="G28" i="19" s="1"/>
  <c r="G29" i="19" s="1"/>
  <c r="G30" i="19" s="1"/>
  <c r="G31" i="19" s="1"/>
  <c r="G32" i="19" s="1"/>
  <c r="G33" i="19" s="1"/>
  <c r="G34" i="19" s="1"/>
  <c r="I100" i="26"/>
  <c r="I90" i="26"/>
  <c r="I110" i="26"/>
  <c r="C95" i="16"/>
  <c r="F25" i="19"/>
  <c r="F26" i="19" s="1"/>
  <c r="F27" i="19" s="1"/>
  <c r="F28" i="19" s="1"/>
  <c r="F29" i="19" s="1"/>
  <c r="F30" i="19" s="1"/>
  <c r="F31" i="19" s="1"/>
  <c r="F32" i="19" s="1"/>
  <c r="F33" i="19" s="1"/>
  <c r="F34" i="19" s="1"/>
  <c r="I120" i="26"/>
  <c r="H80" i="26"/>
  <c r="L6" i="23"/>
  <c r="L7" i="23" s="1"/>
  <c r="B20" i="23" a="1"/>
  <c r="B20" i="23" s="1"/>
  <c r="B37" i="23" a="1"/>
  <c r="B37" i="23" s="1"/>
  <c r="B30" i="23" a="1"/>
  <c r="B30" i="23" s="1"/>
  <c r="H5" i="26"/>
  <c r="F4" i="25"/>
  <c r="D93" i="16" s="1"/>
  <c r="B28" i="23" a="1"/>
  <c r="B28" i="23" s="1"/>
  <c r="B46" i="23" a="1"/>
  <c r="B46" i="23" s="1"/>
  <c r="B13" i="23" a="1"/>
  <c r="B13" i="23" s="1"/>
  <c r="B102" i="23" a="1"/>
  <c r="B102" i="23" s="1"/>
  <c r="D36" i="23" a="1"/>
  <c r="D36" i="23" s="1"/>
  <c r="D36" i="26" s="1"/>
  <c r="B52" i="23" a="1"/>
  <c r="B52" i="23" s="1"/>
  <c r="B36" i="23" a="1"/>
  <c r="B36" i="23" s="1"/>
  <c r="D116" i="23" a="1"/>
  <c r="D116" i="23" s="1"/>
  <c r="B77" i="23" a="1"/>
  <c r="B77" i="23" s="1"/>
  <c r="B63" i="23" a="1"/>
  <c r="B63" i="23" s="1"/>
  <c r="D111" i="23" a="1"/>
  <c r="D111" i="23" s="1"/>
  <c r="E111" i="26" s="1"/>
  <c r="D119" i="23" a="1"/>
  <c r="D119" i="23" s="1"/>
  <c r="E119" i="26" s="1"/>
  <c r="B95" i="23" a="1"/>
  <c r="B95" i="23" s="1"/>
  <c r="B69" i="23" a="1"/>
  <c r="B69" i="23" s="1"/>
  <c r="B34" i="23" a="1"/>
  <c r="B34" i="23" s="1"/>
  <c r="B112" i="23" a="1"/>
  <c r="B112" i="23" s="1"/>
  <c r="B42" i="23" a="1"/>
  <c r="B42" i="23" s="1"/>
  <c r="B9" i="23" a="1"/>
  <c r="B9" i="23" s="1"/>
  <c r="B114" i="23" a="1"/>
  <c r="B114" i="23" s="1"/>
  <c r="B125" i="23" a="1"/>
  <c r="B125" i="23" s="1"/>
  <c r="B106" i="23" a="1"/>
  <c r="B106" i="23" s="1"/>
  <c r="B26" i="23" a="1"/>
  <c r="B26" i="23" s="1"/>
  <c r="B122" i="23" a="1"/>
  <c r="B122" i="23" s="1"/>
  <c r="B11" i="23" a="1"/>
  <c r="B11" i="23" s="1"/>
  <c r="B104" i="23" a="1"/>
  <c r="B104" i="23" s="1"/>
  <c r="B119" i="23" a="1"/>
  <c r="B119" i="23" s="1"/>
  <c r="B38" i="23" a="1"/>
  <c r="B38" i="23" s="1"/>
  <c r="B121" i="23" a="1"/>
  <c r="B121" i="23" s="1"/>
  <c r="B24" i="23" a="1"/>
  <c r="B24" i="23" s="1"/>
  <c r="D53" i="23" a="1"/>
  <c r="D53" i="23" s="1"/>
  <c r="D53" i="26" s="1"/>
  <c r="D25" i="23" a="1"/>
  <c r="D25" i="23" s="1"/>
  <c r="D25" i="26" s="1"/>
  <c r="B123" i="23" a="1"/>
  <c r="B123" i="23" s="1"/>
  <c r="B76" i="23" a="1"/>
  <c r="B76" i="23" s="1"/>
  <c r="B31" i="23" a="1"/>
  <c r="B31" i="23" s="1"/>
  <c r="B61" i="23" a="1"/>
  <c r="B61" i="23" s="1"/>
  <c r="B107" i="23" a="1"/>
  <c r="B107" i="23" s="1"/>
  <c r="B73" i="23" a="1"/>
  <c r="B73" i="23" s="1"/>
  <c r="B8" i="23" a="1"/>
  <c r="B8" i="23" s="1"/>
  <c r="B67" i="23" a="1"/>
  <c r="B67" i="23" s="1"/>
  <c r="B45" i="23" a="1"/>
  <c r="B45" i="23" s="1"/>
  <c r="B56" i="23" a="1"/>
  <c r="B56" i="23" s="1"/>
  <c r="B68" i="23" a="1"/>
  <c r="B68" i="23" s="1"/>
  <c r="B118" i="23" a="1"/>
  <c r="B118" i="23" s="1"/>
  <c r="B87" i="23" a="1"/>
  <c r="B87" i="23" s="1"/>
  <c r="B78" i="23" a="1"/>
  <c r="B78" i="23" s="1"/>
  <c r="B29" i="23" a="1"/>
  <c r="B29" i="23" s="1"/>
  <c r="D68" i="23" a="1"/>
  <c r="D68" i="23" s="1"/>
  <c r="D68" i="26" s="1"/>
  <c r="N61" i="26"/>
  <c r="B55" i="23" a="1"/>
  <c r="B55" i="23" s="1"/>
  <c r="B27" i="23" a="1"/>
  <c r="B27" i="23" s="1"/>
  <c r="B41" i="23" a="1"/>
  <c r="B41" i="23" s="1"/>
  <c r="B91" i="23" a="1"/>
  <c r="B91" i="23" s="1"/>
  <c r="B111" i="23" a="1"/>
  <c r="B111" i="23" s="1"/>
  <c r="B19" i="23" a="1"/>
  <c r="B19" i="23" s="1"/>
  <c r="B65" i="23" a="1"/>
  <c r="B65" i="23" s="1"/>
  <c r="B83" i="23" a="1"/>
  <c r="B83" i="23" s="1"/>
  <c r="B60" i="23" a="1"/>
  <c r="B60" i="23" s="1"/>
  <c r="B98" i="23" a="1"/>
  <c r="B98" i="23" s="1"/>
  <c r="B110" i="23" a="1"/>
  <c r="B110" i="23" s="1"/>
  <c r="B71" i="23" a="1"/>
  <c r="B71" i="23" s="1"/>
  <c r="B105" i="23" a="1"/>
  <c r="B105" i="23" s="1"/>
  <c r="B70" i="23" a="1"/>
  <c r="B70" i="23" s="1"/>
  <c r="B86" i="23" a="1"/>
  <c r="B86" i="23" s="1"/>
  <c r="O85" i="26"/>
  <c r="B92" i="23" a="1"/>
  <c r="B92" i="23" s="1"/>
  <c r="B54" i="23" a="1"/>
  <c r="B54" i="23" s="1"/>
  <c r="B115" i="23" a="1"/>
  <c r="B115" i="23" s="1"/>
  <c r="B88" i="23" a="1"/>
  <c r="B88" i="23" s="1"/>
  <c r="B96" i="23" a="1"/>
  <c r="B96" i="23" s="1"/>
  <c r="B17" i="23" a="1"/>
  <c r="B17" i="23" s="1"/>
  <c r="B113" i="23" a="1"/>
  <c r="B113" i="23" s="1"/>
  <c r="B15" i="23" a="1"/>
  <c r="B15" i="23" s="1"/>
  <c r="B16" i="23" a="1"/>
  <c r="B16" i="23" s="1"/>
  <c r="B90" i="23" a="1"/>
  <c r="B90" i="23" s="1"/>
  <c r="B117" i="23" a="1"/>
  <c r="B117" i="23" s="1"/>
  <c r="B33" i="23" a="1"/>
  <c r="B33" i="23" s="1"/>
  <c r="B75" i="23" a="1"/>
  <c r="B75" i="23" s="1"/>
  <c r="B66" i="23" a="1"/>
  <c r="B66" i="23" s="1"/>
  <c r="B6" i="23" a="1"/>
  <c r="B6" i="23" s="1"/>
  <c r="B5" i="25" s="1"/>
  <c r="N57" i="26"/>
  <c r="D112" i="23" a="1"/>
  <c r="D112" i="23" s="1"/>
  <c r="D86" i="23" a="1"/>
  <c r="D86" i="23" s="1"/>
  <c r="D75" i="23" a="1"/>
  <c r="D75" i="23" s="1"/>
  <c r="B35" i="23" a="1"/>
  <c r="B35" i="23" s="1"/>
  <c r="B39" i="23" a="1"/>
  <c r="B39" i="23" s="1"/>
  <c r="B47" i="23" a="1"/>
  <c r="B47" i="23" s="1"/>
  <c r="B103" i="23" a="1"/>
  <c r="B103" i="23" s="1"/>
  <c r="B64" i="23" a="1"/>
  <c r="B64" i="23" s="1"/>
  <c r="B18" i="23" a="1"/>
  <c r="B18" i="23" s="1"/>
  <c r="B97" i="23" a="1"/>
  <c r="B97" i="23" s="1"/>
  <c r="B82" i="23" a="1"/>
  <c r="B82" i="23" s="1"/>
  <c r="B7" i="23" a="1"/>
  <c r="B7" i="23" s="1"/>
  <c r="B94" i="23" a="1"/>
  <c r="B94" i="23" s="1"/>
  <c r="B109" i="23" a="1"/>
  <c r="B109" i="23" s="1"/>
  <c r="B99" i="23" a="1"/>
  <c r="B99" i="23" s="1"/>
  <c r="B108" i="23" a="1"/>
  <c r="B108" i="23" s="1"/>
  <c r="B84" i="23" a="1"/>
  <c r="B84" i="23" s="1"/>
  <c r="B62" i="23" a="1"/>
  <c r="B62" i="23" s="1"/>
  <c r="D38" i="23" a="1"/>
  <c r="D38" i="23" s="1"/>
  <c r="D38" i="26" s="1"/>
  <c r="O106" i="26"/>
  <c r="B51" i="23" a="1"/>
  <c r="B51" i="23" s="1"/>
  <c r="B10" i="23" a="1"/>
  <c r="B10" i="23" s="1"/>
  <c r="B12" i="23" a="1"/>
  <c r="B12" i="23" s="1"/>
  <c r="B72" i="23" a="1"/>
  <c r="B72" i="23" s="1"/>
  <c r="B85" i="23" a="1"/>
  <c r="B85" i="23" s="1"/>
  <c r="B100" i="23" a="1"/>
  <c r="B100" i="23" s="1"/>
  <c r="B58" i="23" a="1"/>
  <c r="B58" i="23" s="1"/>
  <c r="B40" i="23" a="1"/>
  <c r="B40" i="23" s="1"/>
  <c r="B21" i="23" a="1"/>
  <c r="B21" i="23" s="1"/>
  <c r="B23" i="23" a="1"/>
  <c r="B23" i="23" s="1"/>
  <c r="B44" i="23" a="1"/>
  <c r="B44" i="23" s="1"/>
  <c r="B32" i="23" a="1"/>
  <c r="B32" i="23" s="1"/>
  <c r="B59" i="23" a="1"/>
  <c r="B59" i="23" s="1"/>
  <c r="B57" i="23" a="1"/>
  <c r="B57" i="23" s="1"/>
  <c r="B14" i="23" a="1"/>
  <c r="B14" i="23" s="1"/>
  <c r="N73" i="26"/>
  <c r="N38" i="26"/>
  <c r="B124" i="23" a="1"/>
  <c r="B124" i="23" s="1"/>
  <c r="B43" i="23" a="1"/>
  <c r="B43" i="23" s="1"/>
  <c r="B48" i="23" a="1"/>
  <c r="B48" i="23" s="1"/>
  <c r="B74" i="23" a="1"/>
  <c r="B74" i="23" s="1"/>
  <c r="B116" i="23" a="1"/>
  <c r="B116" i="23" s="1"/>
  <c r="B81" i="23" a="1"/>
  <c r="B81" i="23" s="1"/>
  <c r="B25" i="23" a="1"/>
  <c r="B25" i="23" s="1"/>
  <c r="B22" i="23" a="1"/>
  <c r="B22" i="23" s="1"/>
  <c r="B89" i="23" a="1"/>
  <c r="B89" i="23" s="1"/>
  <c r="B120" i="23" a="1"/>
  <c r="B120" i="23" s="1"/>
  <c r="B79" i="23" a="1"/>
  <c r="B79" i="23" s="1"/>
  <c r="B101" i="23" a="1"/>
  <c r="B101" i="23" s="1"/>
  <c r="B49" i="23" a="1"/>
  <c r="B49" i="23" s="1"/>
  <c r="B50" i="23" a="1"/>
  <c r="B50" i="23" s="1"/>
  <c r="B80" i="23" a="1"/>
  <c r="B80" i="23" s="1"/>
  <c r="AB30" i="26"/>
  <c r="D8" i="23" a="1"/>
  <c r="D8" i="23" s="1"/>
  <c r="D8" i="26" s="1"/>
  <c r="D69" i="23" a="1"/>
  <c r="D69" i="23" s="1"/>
  <c r="D69" i="26" s="1"/>
  <c r="AB50" i="26"/>
  <c r="AB60" i="26"/>
  <c r="D49" i="23" a="1"/>
  <c r="D49" i="23" s="1"/>
  <c r="D49" i="26" s="1"/>
  <c r="D67" i="23" a="1"/>
  <c r="D67" i="23" s="1"/>
  <c r="D42" i="23" a="1"/>
  <c r="D42" i="23" s="1"/>
  <c r="D42" i="26" s="1"/>
  <c r="D32" i="23" a="1"/>
  <c r="D32" i="23" s="1"/>
  <c r="D32" i="26" s="1"/>
  <c r="D113" i="23" a="1"/>
  <c r="D113" i="23" s="1"/>
  <c r="E113" i="26" s="1"/>
  <c r="D57" i="23" a="1"/>
  <c r="D57" i="23" s="1"/>
  <c r="D57" i="26" s="1"/>
  <c r="D10" i="23" a="1"/>
  <c r="D10" i="23" s="1"/>
  <c r="D7" i="23" a="1"/>
  <c r="D7" i="23" s="1"/>
  <c r="D46" i="23" a="1"/>
  <c r="D46" i="23" s="1"/>
  <c r="D46" i="26" s="1"/>
  <c r="O103" i="26"/>
  <c r="O81" i="26"/>
  <c r="N75" i="26"/>
  <c r="N25" i="26"/>
  <c r="O121" i="26"/>
  <c r="O123" i="26"/>
  <c r="N20" i="26"/>
  <c r="AA10" i="26"/>
  <c r="H10" i="26"/>
  <c r="D103" i="23" a="1"/>
  <c r="D103" i="23" s="1"/>
  <c r="E103" i="26" s="1"/>
  <c r="D118" i="23" a="1"/>
  <c r="D118" i="23" s="1"/>
  <c r="E118" i="26" s="1"/>
  <c r="D64" i="23" a="1"/>
  <c r="D64" i="23" s="1"/>
  <c r="D64" i="26" s="1"/>
  <c r="L8" i="23"/>
  <c r="L9" i="23" s="1"/>
  <c r="L10" i="23" s="1"/>
  <c r="L11" i="23" s="1"/>
  <c r="L12" i="23" s="1"/>
  <c r="L13" i="23" s="1"/>
  <c r="L14" i="23" s="1"/>
  <c r="L15" i="23" s="1"/>
  <c r="L16" i="23" s="1"/>
  <c r="L17" i="23" s="1"/>
  <c r="L18" i="23" s="1"/>
  <c r="L19" i="23" s="1"/>
  <c r="L20" i="23" s="1"/>
  <c r="L21" i="23" s="1"/>
  <c r="L22" i="23" s="1"/>
  <c r="L23" i="23" s="1"/>
  <c r="L24" i="23" s="1"/>
  <c r="L25" i="23" s="1"/>
  <c r="L26" i="23" s="1"/>
  <c r="L27" i="23" s="1"/>
  <c r="L28" i="23" s="1"/>
  <c r="L29" i="23" s="1"/>
  <c r="L30" i="23" s="1"/>
  <c r="L31" i="23" s="1"/>
  <c r="L32" i="23" s="1"/>
  <c r="L33" i="23" s="1"/>
  <c r="L34" i="23" s="1"/>
  <c r="L35" i="23" s="1"/>
  <c r="L36" i="23" s="1"/>
  <c r="L37" i="23" s="1"/>
  <c r="L38" i="23" s="1"/>
  <c r="L39" i="23" s="1"/>
  <c r="L40" i="23" s="1"/>
  <c r="L41" i="23" s="1"/>
  <c r="L42" i="23" s="1"/>
  <c r="L43" i="23" s="1"/>
  <c r="L44" i="23" s="1"/>
  <c r="L45" i="23" s="1"/>
  <c r="L46" i="23" s="1"/>
  <c r="L47" i="23" s="1"/>
  <c r="L48" i="23" s="1"/>
  <c r="L49" i="23" s="1"/>
  <c r="L50" i="23" s="1"/>
  <c r="L51" i="23" s="1"/>
  <c r="L52" i="23" s="1"/>
  <c r="L53" i="23" s="1"/>
  <c r="L54" i="23" s="1"/>
  <c r="L55" i="23" s="1"/>
  <c r="L56" i="23" s="1"/>
  <c r="L57" i="23" s="1"/>
  <c r="L58" i="23" s="1"/>
  <c r="L59" i="23" s="1"/>
  <c r="L60" i="23" s="1"/>
  <c r="L61" i="23" s="1"/>
  <c r="L62" i="23" s="1"/>
  <c r="L63" i="23" s="1"/>
  <c r="L64" i="23" s="1"/>
  <c r="L65" i="23" s="1"/>
  <c r="L66" i="23" s="1"/>
  <c r="L67" i="23" s="1"/>
  <c r="L68" i="23" s="1"/>
  <c r="L69" i="23" s="1"/>
  <c r="L70" i="23" s="1"/>
  <c r="L71" i="23" s="1"/>
  <c r="L72" i="23" s="1"/>
  <c r="L73" i="23" s="1"/>
  <c r="L74" i="23" s="1"/>
  <c r="L75" i="23" s="1"/>
  <c r="L76" i="23" s="1"/>
  <c r="L77" i="23" s="1"/>
  <c r="L78" i="23" s="1"/>
  <c r="L79" i="23" s="1"/>
  <c r="L80" i="23" s="1"/>
  <c r="L81" i="23" s="1"/>
  <c r="L82" i="23" s="1"/>
  <c r="L83" i="23" s="1"/>
  <c r="L84" i="23" s="1"/>
  <c r="L85" i="23" s="1"/>
  <c r="L86" i="23" s="1"/>
  <c r="L87" i="23" s="1"/>
  <c r="L88" i="23" s="1"/>
  <c r="L89" i="23" s="1"/>
  <c r="L90" i="23" s="1"/>
  <c r="L91" i="23" s="1"/>
  <c r="L92" i="23" s="1"/>
  <c r="L93" i="23" s="1"/>
  <c r="L94" i="23" s="1"/>
  <c r="L95" i="23" s="1"/>
  <c r="L96" i="23" s="1"/>
  <c r="L97" i="23" s="1"/>
  <c r="L98" i="23" s="1"/>
  <c r="L99" i="23" s="1"/>
  <c r="L100" i="23" s="1"/>
  <c r="L101" i="23" s="1"/>
  <c r="L102" i="23" s="1"/>
  <c r="L103" i="23" s="1"/>
  <c r="L104" i="23" s="1"/>
  <c r="L105" i="23" s="1"/>
  <c r="L106" i="23" s="1"/>
  <c r="L107" i="23" s="1"/>
  <c r="L108" i="23" s="1"/>
  <c r="L109" i="23" s="1"/>
  <c r="L110" i="23" s="1"/>
  <c r="L111" i="23" s="1"/>
  <c r="L112" i="23" s="1"/>
  <c r="L113" i="23" s="1"/>
  <c r="L114" i="23" s="1"/>
  <c r="L115" i="23" s="1"/>
  <c r="L116" i="23" s="1"/>
  <c r="L117" i="23" s="1"/>
  <c r="L118" i="23" s="1"/>
  <c r="L119" i="23" s="1"/>
  <c r="L120" i="23" s="1"/>
  <c r="L121" i="23" s="1"/>
  <c r="L122" i="23" s="1"/>
  <c r="L123" i="23" s="1"/>
  <c r="L124" i="23" s="1"/>
  <c r="L125" i="23" s="1"/>
  <c r="D28" i="23" a="1"/>
  <c r="D28" i="23" s="1"/>
  <c r="D28" i="26" s="1"/>
  <c r="D85" i="23" a="1"/>
  <c r="D85" i="23" s="1"/>
  <c r="D108" i="23" a="1"/>
  <c r="D108" i="23" s="1"/>
  <c r="E108" i="26" s="1"/>
  <c r="D92" i="23" a="1"/>
  <c r="D92" i="23" s="1"/>
  <c r="E92" i="26" s="1"/>
  <c r="AB10" i="26"/>
  <c r="D73" i="23" a="1"/>
  <c r="D73" i="23" s="1"/>
  <c r="D73" i="26" s="1"/>
  <c r="D90" i="23" a="1"/>
  <c r="D90" i="23" s="1"/>
  <c r="E90" i="26" s="1"/>
  <c r="D89" i="23" a="1"/>
  <c r="D89" i="23" s="1"/>
  <c r="E89" i="26" s="1"/>
  <c r="D37" i="23" a="1"/>
  <c r="D37" i="23" s="1"/>
  <c r="D96" i="23" a="1"/>
  <c r="D96" i="23" s="1"/>
  <c r="E96" i="26" s="1"/>
  <c r="D72" i="23" a="1"/>
  <c r="D72" i="23" s="1"/>
  <c r="D72" i="26" s="1"/>
  <c r="D54" i="23" a="1"/>
  <c r="D54" i="23" s="1"/>
  <c r="D54" i="26" s="1"/>
  <c r="D26" i="23" a="1"/>
  <c r="D26" i="23" s="1"/>
  <c r="D26" i="26" s="1"/>
  <c r="D23" i="23" a="1"/>
  <c r="D23" i="23" s="1"/>
  <c r="D23" i="26" s="1"/>
  <c r="D17" i="23" a="1"/>
  <c r="D17" i="23" s="1"/>
  <c r="D17" i="26" s="1"/>
  <c r="O97" i="26"/>
  <c r="O112" i="26"/>
  <c r="N41" i="26"/>
  <c r="N48" i="26"/>
  <c r="N70" i="26"/>
  <c r="N16" i="26"/>
  <c r="O98" i="26"/>
  <c r="N29" i="26"/>
  <c r="N80" i="26"/>
  <c r="N39" i="26"/>
  <c r="N53" i="26"/>
  <c r="O120" i="26"/>
  <c r="D50" i="23" a="1"/>
  <c r="D50" i="23" s="1"/>
  <c r="D50" i="26" s="1"/>
  <c r="D77" i="23" a="1"/>
  <c r="D77" i="23" s="1"/>
  <c r="D94" i="23" a="1"/>
  <c r="D94" i="23" s="1"/>
  <c r="E94" i="26" s="1"/>
  <c r="D124" i="23" a="1"/>
  <c r="D124" i="23" s="1"/>
  <c r="E124" i="26" s="1"/>
  <c r="D101" i="23" a="1"/>
  <c r="D101" i="23" s="1"/>
  <c r="E101" i="26" s="1"/>
  <c r="D100" i="23" a="1"/>
  <c r="D100" i="23" s="1"/>
  <c r="E100" i="26" s="1"/>
  <c r="D62" i="23" a="1"/>
  <c r="D62" i="23" s="1"/>
  <c r="D62" i="26" s="1"/>
  <c r="D125" i="23" a="1"/>
  <c r="D125" i="23" s="1"/>
  <c r="E125" i="26" s="1"/>
  <c r="N56" i="26"/>
  <c r="N27" i="26"/>
  <c r="O90" i="26"/>
  <c r="O114" i="26"/>
  <c r="O119" i="26"/>
  <c r="N19" i="26"/>
  <c r="AA20" i="26"/>
  <c r="H20" i="26"/>
  <c r="H70" i="26"/>
  <c r="D66" i="23" a="1"/>
  <c r="D66" i="23" s="1"/>
  <c r="D66" i="26" s="1"/>
  <c r="D33" i="23" a="1"/>
  <c r="D33" i="23" s="1"/>
  <c r="D33" i="26" s="1"/>
  <c r="D102" i="23" a="1"/>
  <c r="D102" i="23" s="1"/>
  <c r="E102" i="26" s="1"/>
  <c r="D84" i="23" a="1"/>
  <c r="D84" i="23" s="1"/>
  <c r="E84" i="26" s="1"/>
  <c r="D122" i="23" a="1"/>
  <c r="D122" i="23" s="1"/>
  <c r="E122" i="26" s="1"/>
  <c r="D123" i="23" a="1"/>
  <c r="D123" i="23" s="1"/>
  <c r="D82" i="23" a="1"/>
  <c r="D82" i="23" s="1"/>
  <c r="E82" i="26" s="1"/>
  <c r="D88" i="23" a="1"/>
  <c r="D88" i="23" s="1"/>
  <c r="E88" i="26" s="1"/>
  <c r="D63" i="23" a="1"/>
  <c r="D63" i="23" s="1"/>
  <c r="D63" i="26" s="1"/>
  <c r="D114" i="23" a="1"/>
  <c r="D114" i="23" s="1"/>
  <c r="E114" i="26" s="1"/>
  <c r="D74" i="23" a="1"/>
  <c r="D74" i="23" s="1"/>
  <c r="D74" i="26" s="1"/>
  <c r="D40" i="23" a="1"/>
  <c r="D40" i="23" s="1"/>
  <c r="D40" i="26" s="1"/>
  <c r="D104" i="23" a="1"/>
  <c r="D104" i="23" s="1"/>
  <c r="E104" i="26" s="1"/>
  <c r="D80" i="23" a="1"/>
  <c r="D80" i="23" s="1"/>
  <c r="D59" i="23" a="1"/>
  <c r="D59" i="23" s="1"/>
  <c r="D59" i="26" s="1"/>
  <c r="D107" i="23" a="1"/>
  <c r="D107" i="23" s="1"/>
  <c r="E107" i="26" s="1"/>
  <c r="D71" i="23" a="1"/>
  <c r="D71" i="23" s="1"/>
  <c r="D71" i="26" s="1"/>
  <c r="D45" i="23" a="1"/>
  <c r="D45" i="23" s="1"/>
  <c r="D45" i="26" s="1"/>
  <c r="D34" i="23" a="1"/>
  <c r="D34" i="23" s="1"/>
  <c r="D34" i="26" s="1"/>
  <c r="D18" i="23" a="1"/>
  <c r="D18" i="23" s="1"/>
  <c r="D18" i="26" s="1"/>
  <c r="O111" i="26"/>
  <c r="O101" i="26"/>
  <c r="N21" i="26"/>
  <c r="N58" i="26"/>
  <c r="O125" i="26"/>
  <c r="D39" i="23" a="1"/>
  <c r="D39" i="23" s="1"/>
  <c r="D39" i="26" s="1"/>
  <c r="D47" i="23" a="1"/>
  <c r="D47" i="23" s="1"/>
  <c r="D47" i="26" s="1"/>
  <c r="D115" i="23" a="1"/>
  <c r="D115" i="23" s="1"/>
  <c r="E115" i="26" s="1"/>
  <c r="D110" i="23" a="1"/>
  <c r="D110" i="23" s="1"/>
  <c r="E110" i="26" s="1"/>
  <c r="D43" i="23" a="1"/>
  <c r="D43" i="23" s="1"/>
  <c r="D43" i="26" s="1"/>
  <c r="D61" i="23" a="1"/>
  <c r="D61" i="23" s="1"/>
  <c r="D61" i="26" s="1"/>
  <c r="D81" i="23" a="1"/>
  <c r="D81" i="23" s="1"/>
  <c r="D76" i="23" a="1"/>
  <c r="D76" i="23" s="1"/>
  <c r="D76" i="26" s="1"/>
  <c r="D31" i="23" a="1"/>
  <c r="D31" i="23" s="1"/>
  <c r="D31" i="26" s="1"/>
  <c r="AB20" i="26"/>
  <c r="D99" i="23" a="1"/>
  <c r="D99" i="23" s="1"/>
  <c r="E99" i="26" s="1"/>
  <c r="D6" i="23" a="1"/>
  <c r="D6" i="23" s="1"/>
  <c r="D14" i="23" a="1"/>
  <c r="D14" i="23" s="1"/>
  <c r="D14" i="26" s="1"/>
  <c r="D12" i="23" a="1"/>
  <c r="D12" i="23" s="1"/>
  <c r="D12" i="26" s="1"/>
  <c r="D35" i="23" a="1"/>
  <c r="D35" i="23" s="1"/>
  <c r="D35" i="26" s="1"/>
  <c r="D52" i="23" a="1"/>
  <c r="D52" i="23" s="1"/>
  <c r="D52" i="26" s="1"/>
  <c r="D97" i="23" a="1"/>
  <c r="D97" i="23" s="1"/>
  <c r="E97" i="26" s="1"/>
  <c r="D83" i="23" a="1"/>
  <c r="D83" i="23" s="1"/>
  <c r="E83" i="26" s="1"/>
  <c r="D29" i="23" a="1"/>
  <c r="D29" i="23" s="1"/>
  <c r="D29" i="26" s="1"/>
  <c r="D106" i="23" a="1"/>
  <c r="D106" i="23" s="1"/>
  <c r="E106" i="26" s="1"/>
  <c r="N78" i="26"/>
  <c r="N24" i="26"/>
  <c r="N47" i="26"/>
  <c r="N30" i="26"/>
  <c r="O124" i="26"/>
  <c r="N33" i="26"/>
  <c r="N60" i="26"/>
  <c r="N12" i="26"/>
  <c r="AA40" i="26"/>
  <c r="H40" i="26"/>
  <c r="D121" i="23" a="1"/>
  <c r="D121" i="23" s="1"/>
  <c r="E121" i="26" s="1"/>
  <c r="D109" i="23" a="1"/>
  <c r="D109" i="23" s="1"/>
  <c r="E109" i="26" s="1"/>
  <c r="D56" i="23" a="1"/>
  <c r="D56" i="23" s="1"/>
  <c r="D56" i="26" s="1"/>
  <c r="D9" i="23" a="1"/>
  <c r="D9" i="23" s="1"/>
  <c r="D9" i="26" s="1"/>
  <c r="D19" i="23" a="1"/>
  <c r="D19" i="23" s="1"/>
  <c r="D19" i="26" s="1"/>
  <c r="D79" i="23" a="1"/>
  <c r="D79" i="23" s="1"/>
  <c r="D79" i="26" s="1"/>
  <c r="AB40" i="26"/>
  <c r="D58" i="23" a="1"/>
  <c r="D58" i="23" s="1"/>
  <c r="D58" i="26" s="1"/>
  <c r="D27" i="23" a="1"/>
  <c r="D27" i="23" s="1"/>
  <c r="D27" i="26" s="1"/>
  <c r="D48" i="23" a="1"/>
  <c r="D48" i="23" s="1"/>
  <c r="D48" i="26" s="1"/>
  <c r="D98" i="23" a="1"/>
  <c r="D98" i="23" s="1"/>
  <c r="E98" i="26" s="1"/>
  <c r="D24" i="23" a="1"/>
  <c r="D24" i="23" s="1"/>
  <c r="D24" i="26" s="1"/>
  <c r="D120" i="23" a="1"/>
  <c r="D120" i="23" s="1"/>
  <c r="E120" i="26" s="1"/>
  <c r="D22" i="23" a="1"/>
  <c r="D22" i="23" s="1"/>
  <c r="D22" i="26" s="1"/>
  <c r="D5" i="23" a="1"/>
  <c r="D5" i="23" s="1"/>
  <c r="D44" i="23" a="1"/>
  <c r="D44" i="23" s="1"/>
  <c r="D44" i="26" s="1"/>
  <c r="N63" i="26"/>
  <c r="O117" i="26"/>
  <c r="O82" i="26"/>
  <c r="N37" i="26"/>
  <c r="N65" i="26"/>
  <c r="N55" i="26"/>
  <c r="N59" i="26"/>
  <c r="O104" i="26"/>
  <c r="O122" i="26"/>
  <c r="O108" i="26"/>
  <c r="O105" i="26"/>
  <c r="N69" i="26"/>
  <c r="N44" i="26"/>
  <c r="AA60" i="26"/>
  <c r="H60" i="26"/>
  <c r="R30" i="26"/>
  <c r="D20" i="23" a="1"/>
  <c r="D20" i="23" s="1"/>
  <c r="D20" i="26" s="1"/>
  <c r="D78" i="23" a="1"/>
  <c r="D78" i="23" s="1"/>
  <c r="D78" i="26" s="1"/>
  <c r="D70" i="23" a="1"/>
  <c r="D70" i="23" s="1"/>
  <c r="D70" i="26" s="1"/>
  <c r="D16" i="23" a="1"/>
  <c r="D16" i="23" s="1"/>
  <c r="D16" i="26" s="1"/>
  <c r="D91" i="23" a="1"/>
  <c r="D91" i="23" s="1"/>
  <c r="E91" i="26" s="1"/>
  <c r="D117" i="23" a="1"/>
  <c r="D117" i="23" s="1"/>
  <c r="E117" i="26" s="1"/>
  <c r="D65" i="23" a="1"/>
  <c r="D65" i="23" s="1"/>
  <c r="D65" i="26" s="1"/>
  <c r="D60" i="23" a="1"/>
  <c r="D60" i="23" s="1"/>
  <c r="D60" i="26" s="1"/>
  <c r="D51" i="23" a="1"/>
  <c r="D51" i="23" s="1"/>
  <c r="D51" i="26" s="1"/>
  <c r="D15" i="23" a="1"/>
  <c r="D15" i="23" s="1"/>
  <c r="D15" i="26" s="1"/>
  <c r="D55" i="23" a="1"/>
  <c r="D55" i="23" s="1"/>
  <c r="D55" i="26" s="1"/>
  <c r="D87" i="23" a="1"/>
  <c r="D87" i="23" s="1"/>
  <c r="E87" i="26" s="1"/>
  <c r="D95" i="23" a="1"/>
  <c r="D95" i="23" s="1"/>
  <c r="E95" i="26" s="1"/>
  <c r="D11" i="23" a="1"/>
  <c r="D11" i="23" s="1"/>
  <c r="D11" i="26" s="1"/>
  <c r="D13" i="23" a="1"/>
  <c r="D13" i="23" s="1"/>
  <c r="D13" i="26" s="1"/>
  <c r="N36" i="26"/>
  <c r="O115" i="26"/>
  <c r="N31" i="26"/>
  <c r="N50" i="26"/>
  <c r="N71" i="26"/>
  <c r="O89" i="26"/>
  <c r="N28" i="26"/>
  <c r="N15" i="26"/>
  <c r="N22" i="26"/>
  <c r="O109" i="26"/>
  <c r="O107" i="26"/>
  <c r="N42" i="26"/>
  <c r="O92" i="26"/>
  <c r="AA50" i="26"/>
  <c r="H50" i="26"/>
  <c r="AA30" i="26"/>
  <c r="H30" i="26"/>
  <c r="D41" i="23" a="1"/>
  <c r="D41" i="23" s="1"/>
  <c r="D41" i="26" s="1"/>
  <c r="AH89" i="9"/>
  <c r="AQ8" i="9"/>
  <c r="AP98" i="9"/>
  <c r="AQ98" i="9"/>
  <c r="AP56" i="9"/>
  <c r="AR56" i="9" s="1"/>
  <c r="AQ56" i="9"/>
  <c r="AP96" i="9"/>
  <c r="AR96" i="9" s="1"/>
  <c r="AQ96" i="9"/>
  <c r="AR98" i="9"/>
  <c r="AV4" i="9"/>
  <c r="L6" i="24"/>
  <c r="L7" i="24" s="1"/>
  <c r="L8" i="24" s="1"/>
  <c r="L9" i="24" s="1"/>
  <c r="L10" i="24" s="1"/>
  <c r="L11" i="24" s="1"/>
  <c r="L12" i="24" s="1"/>
  <c r="L13" i="24" s="1"/>
  <c r="L14" i="24" s="1"/>
  <c r="L15" i="24" s="1"/>
  <c r="L16" i="24" s="1"/>
  <c r="L17" i="24" s="1"/>
  <c r="L18" i="24" s="1"/>
  <c r="L19" i="24" s="1"/>
  <c r="L20" i="24" s="1"/>
  <c r="L21" i="24" s="1"/>
  <c r="L22" i="24" s="1"/>
  <c r="L23" i="24" s="1"/>
  <c r="L24" i="24" s="1"/>
  <c r="L25" i="24" s="1"/>
  <c r="L26" i="24" s="1"/>
  <c r="L27" i="24" s="1"/>
  <c r="L28" i="24" s="1"/>
  <c r="L29" i="24" s="1"/>
  <c r="L30" i="24" s="1"/>
  <c r="L31" i="24" s="1"/>
  <c r="L32" i="24" s="1"/>
  <c r="L33" i="24" s="1"/>
  <c r="L34" i="24" s="1"/>
  <c r="L35" i="24" s="1"/>
  <c r="L36" i="24" s="1"/>
  <c r="L37" i="24" s="1"/>
  <c r="L38" i="24" s="1"/>
  <c r="L39" i="24" s="1"/>
  <c r="L40" i="24" s="1"/>
  <c r="L41" i="24" s="1"/>
  <c r="L42" i="24" s="1"/>
  <c r="L43" i="24" s="1"/>
  <c r="L44" i="24" s="1"/>
  <c r="L45" i="24" s="1"/>
  <c r="L46" i="24" s="1"/>
  <c r="L47" i="24" s="1"/>
  <c r="L48" i="24" s="1"/>
  <c r="L49" i="24" s="1"/>
  <c r="L50" i="24" s="1"/>
  <c r="L51" i="24" s="1"/>
  <c r="L52" i="24" s="1"/>
  <c r="L53" i="24" s="1"/>
  <c r="L54" i="24" s="1"/>
  <c r="L55" i="24" s="1"/>
  <c r="L56" i="24" s="1"/>
  <c r="L57" i="24" s="1"/>
  <c r="L58" i="24" s="1"/>
  <c r="L59" i="24" s="1"/>
  <c r="L60" i="24" s="1"/>
  <c r="L61" i="24" s="1"/>
  <c r="L62" i="24" s="1"/>
  <c r="L63" i="24" s="1"/>
  <c r="L64" i="24" s="1"/>
  <c r="L65" i="24" s="1"/>
  <c r="L66" i="24" s="1"/>
  <c r="L67" i="24" s="1"/>
  <c r="L68" i="24" s="1"/>
  <c r="L69" i="24" s="1"/>
  <c r="L70" i="24" s="1"/>
  <c r="L71" i="24" s="1"/>
  <c r="L72" i="24" s="1"/>
  <c r="L73" i="24" s="1"/>
  <c r="L74" i="24" s="1"/>
  <c r="L75" i="24" s="1"/>
  <c r="L76" i="24" s="1"/>
  <c r="L77" i="24" s="1"/>
  <c r="L78" i="24" s="1"/>
  <c r="L79" i="24" s="1"/>
  <c r="L80" i="24" s="1"/>
  <c r="L81" i="24" s="1"/>
  <c r="L82" i="24" s="1"/>
  <c r="L83" i="24" s="1"/>
  <c r="L84" i="24" s="1"/>
  <c r="L85" i="24" s="1"/>
  <c r="L86" i="24" s="1"/>
  <c r="L87" i="24" s="1"/>
  <c r="L88" i="24" s="1"/>
  <c r="L89" i="24" s="1"/>
  <c r="L90" i="24" s="1"/>
  <c r="L91" i="24" s="1"/>
  <c r="L92" i="24" s="1"/>
  <c r="L93" i="24" s="1"/>
  <c r="L94" i="24" s="1"/>
  <c r="L95" i="24" s="1"/>
  <c r="L96" i="24" s="1"/>
  <c r="L97" i="24" s="1"/>
  <c r="L98" i="24" s="1"/>
  <c r="L99" i="24" s="1"/>
  <c r="L100" i="24" s="1"/>
  <c r="L101" i="24" s="1"/>
  <c r="L102" i="24" s="1"/>
  <c r="L103" i="24" s="1"/>
  <c r="L104" i="24" s="1"/>
  <c r="L105" i="24" s="1"/>
  <c r="L106" i="24" s="1"/>
  <c r="L107" i="24" s="1"/>
  <c r="L108" i="24" s="1"/>
  <c r="L109" i="24" s="1"/>
  <c r="L110" i="24" s="1"/>
  <c r="L111" i="24" s="1"/>
  <c r="L112" i="24" s="1"/>
  <c r="L113" i="24" s="1"/>
  <c r="L114" i="24" s="1"/>
  <c r="L115" i="24" s="1"/>
  <c r="L116" i="24" s="1"/>
  <c r="L117" i="24" s="1"/>
  <c r="L118" i="24" s="1"/>
  <c r="L119" i="24" s="1"/>
  <c r="L120" i="24" s="1"/>
  <c r="L121" i="24" s="1"/>
  <c r="L122" i="24" s="1"/>
  <c r="L123" i="24" s="1"/>
  <c r="L124" i="24" s="1"/>
  <c r="L125" i="24" s="1"/>
  <c r="F5" i="25"/>
  <c r="F6" i="25" s="1"/>
  <c r="F7" i="25" s="1"/>
  <c r="F8" i="25" s="1"/>
  <c r="F9" i="25" s="1"/>
  <c r="F10" i="25" s="1"/>
  <c r="F11" i="25" s="1"/>
  <c r="F12" i="25" s="1"/>
  <c r="F13" i="25" s="1"/>
  <c r="F14" i="25" s="1"/>
  <c r="E86" i="26"/>
  <c r="D37" i="26"/>
  <c r="E105" i="26"/>
  <c r="E116" i="26"/>
  <c r="E123" i="26"/>
  <c r="E112" i="26"/>
  <c r="E81" i="26"/>
  <c r="E85" i="26"/>
  <c r="D77" i="26"/>
  <c r="D30" i="26"/>
  <c r="D67" i="26"/>
  <c r="D80" i="26"/>
  <c r="D7" i="26"/>
  <c r="D21" i="26"/>
  <c r="D75" i="26"/>
  <c r="D10" i="26"/>
  <c r="E93" i="26"/>
  <c r="O88" i="26"/>
  <c r="N68" i="26"/>
  <c r="N43" i="26"/>
  <c r="N45" i="26"/>
  <c r="N18" i="26"/>
  <c r="N74" i="26"/>
  <c r="N51" i="26"/>
  <c r="O118" i="26"/>
  <c r="N9" i="26"/>
  <c r="O113" i="26"/>
  <c r="O87" i="26"/>
  <c r="N79" i="26"/>
  <c r="N7" i="26"/>
  <c r="N54" i="26"/>
  <c r="N34" i="26"/>
  <c r="N64" i="26"/>
  <c r="N49" i="26"/>
  <c r="O96" i="26"/>
  <c r="N62" i="26"/>
  <c r="O99" i="26"/>
  <c r="O100" i="26"/>
  <c r="O84" i="26"/>
  <c r="N32" i="26"/>
  <c r="N77" i="26"/>
  <c r="O94" i="26"/>
  <c r="N35" i="26"/>
  <c r="N40" i="26"/>
  <c r="N23" i="26"/>
  <c r="N13" i="26"/>
  <c r="N6" i="26"/>
  <c r="N17" i="26"/>
  <c r="O116" i="26"/>
  <c r="O110" i="26"/>
  <c r="O91" i="26"/>
  <c r="O95" i="26"/>
  <c r="N14" i="26"/>
  <c r="O83" i="26"/>
  <c r="N76" i="26"/>
  <c r="N10" i="26"/>
  <c r="N67" i="26"/>
  <c r="N46" i="26"/>
  <c r="O93" i="26"/>
  <c r="N72" i="26"/>
  <c r="N26" i="26"/>
  <c r="N66" i="26"/>
  <c r="N8" i="26"/>
  <c r="O86" i="26"/>
  <c r="O102" i="26"/>
  <c r="N52" i="26"/>
  <c r="N11" i="26"/>
  <c r="K5" i="24"/>
  <c r="K6" i="24" s="1"/>
  <c r="K7" i="24" s="1"/>
  <c r="K8" i="24" s="1"/>
  <c r="K9" i="24" s="1"/>
  <c r="K10" i="24" s="1"/>
  <c r="K11" i="24" s="1"/>
  <c r="K12" i="24" s="1"/>
  <c r="K13" i="24" s="1"/>
  <c r="K14" i="24" s="1"/>
  <c r="K15" i="24" s="1"/>
  <c r="K16" i="24" s="1"/>
  <c r="K17" i="24" s="1"/>
  <c r="K18" i="24" s="1"/>
  <c r="K19" i="24" s="1"/>
  <c r="K20" i="24" s="1"/>
  <c r="K21" i="24" s="1"/>
  <c r="K22" i="24" s="1"/>
  <c r="K23" i="24" s="1"/>
  <c r="K24" i="24" s="1"/>
  <c r="K25" i="24" s="1"/>
  <c r="K26" i="24" s="1"/>
  <c r="K27" i="24" s="1"/>
  <c r="K28" i="24" s="1"/>
  <c r="K29" i="24" s="1"/>
  <c r="K30" i="24" s="1"/>
  <c r="K31" i="24" s="1"/>
  <c r="K32" i="24" s="1"/>
  <c r="K33" i="24" s="1"/>
  <c r="K34" i="24" s="1"/>
  <c r="K35" i="24" s="1"/>
  <c r="K36" i="24" s="1"/>
  <c r="K37" i="24" s="1"/>
  <c r="K38" i="24" s="1"/>
  <c r="K39" i="24" s="1"/>
  <c r="K40" i="24" s="1"/>
  <c r="K41" i="24" s="1"/>
  <c r="K42" i="24" s="1"/>
  <c r="K43" i="24" s="1"/>
  <c r="K44" i="24" s="1"/>
  <c r="K45" i="24" s="1"/>
  <c r="K46" i="24" s="1"/>
  <c r="K47" i="24" s="1"/>
  <c r="K48" i="24" s="1"/>
  <c r="K49" i="24" s="1"/>
  <c r="K50" i="24" s="1"/>
  <c r="K51" i="24" s="1"/>
  <c r="K52" i="24" s="1"/>
  <c r="K53" i="24" s="1"/>
  <c r="K54" i="24" s="1"/>
  <c r="K55" i="24" s="1"/>
  <c r="K56" i="24" s="1"/>
  <c r="K57" i="24" s="1"/>
  <c r="K58" i="24" s="1"/>
  <c r="K59" i="24" s="1"/>
  <c r="K60" i="24" s="1"/>
  <c r="K61" i="24" s="1"/>
  <c r="K62" i="24" s="1"/>
  <c r="K63" i="24" s="1"/>
  <c r="K64" i="24" s="1"/>
  <c r="K65" i="24" s="1"/>
  <c r="K66" i="24" s="1"/>
  <c r="K67" i="24" s="1"/>
  <c r="K68" i="24" s="1"/>
  <c r="K69" i="24" s="1"/>
  <c r="K70" i="24" s="1"/>
  <c r="K71" i="24" s="1"/>
  <c r="K72" i="24" s="1"/>
  <c r="K73" i="24" s="1"/>
  <c r="K74" i="24" s="1"/>
  <c r="K75" i="24" s="1"/>
  <c r="K76" i="24" s="1"/>
  <c r="K77" i="24" s="1"/>
  <c r="K78" i="24" s="1"/>
  <c r="K79" i="24" s="1"/>
  <c r="K80" i="24" s="1"/>
  <c r="K81" i="24" s="1"/>
  <c r="K82" i="24" s="1"/>
  <c r="K83" i="24" s="1"/>
  <c r="K84" i="24" s="1"/>
  <c r="K85" i="24" s="1"/>
  <c r="K86" i="24" s="1"/>
  <c r="K87" i="24" s="1"/>
  <c r="K88" i="24" s="1"/>
  <c r="K89" i="24" s="1"/>
  <c r="K90" i="24" s="1"/>
  <c r="K91" i="24" s="1"/>
  <c r="K92" i="24" s="1"/>
  <c r="K93" i="24" s="1"/>
  <c r="K94" i="24" s="1"/>
  <c r="K95" i="24" s="1"/>
  <c r="K96" i="24" s="1"/>
  <c r="K97" i="24" s="1"/>
  <c r="K98" i="24" s="1"/>
  <c r="K99" i="24" s="1"/>
  <c r="K100" i="24" s="1"/>
  <c r="K101" i="24" s="1"/>
  <c r="K102" i="24" s="1"/>
  <c r="K103" i="24" s="1"/>
  <c r="K104" i="24" s="1"/>
  <c r="K105" i="24" s="1"/>
  <c r="K106" i="24" s="1"/>
  <c r="K107" i="24" s="1"/>
  <c r="K108" i="24" s="1"/>
  <c r="K109" i="24" s="1"/>
  <c r="K110" i="24" s="1"/>
  <c r="K111" i="24" s="1"/>
  <c r="K112" i="24" s="1"/>
  <c r="K113" i="24" s="1"/>
  <c r="K114" i="24" s="1"/>
  <c r="K115" i="24" s="1"/>
  <c r="K116" i="24" s="1"/>
  <c r="K117" i="24" s="1"/>
  <c r="K118" i="24" s="1"/>
  <c r="K119" i="24" s="1"/>
  <c r="K120" i="24" s="1"/>
  <c r="K121" i="24" s="1"/>
  <c r="K122" i="24" s="1"/>
  <c r="K123" i="24" s="1"/>
  <c r="K124" i="24" s="1"/>
  <c r="K125" i="24" s="1"/>
  <c r="P5" i="26"/>
  <c r="E4" i="25"/>
  <c r="E5" i="25" s="1"/>
  <c r="E6" i="25" s="1"/>
  <c r="E7" i="25" s="1"/>
  <c r="E8" i="25" s="1"/>
  <c r="E9" i="25" s="1"/>
  <c r="E10" i="25" s="1"/>
  <c r="E11" i="25" s="1"/>
  <c r="E12" i="25" s="1"/>
  <c r="E13" i="25" s="1"/>
  <c r="E14" i="25" s="1"/>
  <c r="E15" i="25" s="1"/>
  <c r="E16" i="25" s="1"/>
  <c r="E17" i="25" s="1"/>
  <c r="E18" i="25" s="1"/>
  <c r="E19" i="25" s="1"/>
  <c r="E20" i="25" s="1"/>
  <c r="E21" i="25" s="1"/>
  <c r="E22" i="25" s="1"/>
  <c r="E23" i="25" s="1"/>
  <c r="E24" i="25" s="1"/>
  <c r="E25" i="25" s="1"/>
  <c r="E26" i="25" s="1"/>
  <c r="E27" i="25" s="1"/>
  <c r="E28" i="25" s="1"/>
  <c r="E29" i="25" s="1"/>
  <c r="E30" i="25" s="1"/>
  <c r="E31" i="25" s="1"/>
  <c r="E32" i="25" s="1"/>
  <c r="E33" i="25" s="1"/>
  <c r="E34" i="25" s="1"/>
  <c r="E35" i="25" s="1"/>
  <c r="E36" i="25" s="1"/>
  <c r="E37" i="25" s="1"/>
  <c r="E38" i="25" s="1"/>
  <c r="E39" i="25" s="1"/>
  <c r="E40" i="25" s="1"/>
  <c r="E41" i="25" s="1"/>
  <c r="E42" i="25" s="1"/>
  <c r="E43" i="25" s="1"/>
  <c r="E44" i="25" s="1"/>
  <c r="E45" i="25" s="1"/>
  <c r="E46" i="25" s="1"/>
  <c r="E47" i="25" s="1"/>
  <c r="E48" i="25" s="1"/>
  <c r="E49" i="25" s="1"/>
  <c r="E50" i="25" s="1"/>
  <c r="E51" i="25" s="1"/>
  <c r="E52" i="25" s="1"/>
  <c r="E53" i="25" s="1"/>
  <c r="E54" i="25" s="1"/>
  <c r="E55" i="25" s="1"/>
  <c r="E56" i="25" s="1"/>
  <c r="E57" i="25" s="1"/>
  <c r="E58" i="25" s="1"/>
  <c r="E59" i="25" s="1"/>
  <c r="E60" i="25" s="1"/>
  <c r="E61" i="25" s="1"/>
  <c r="E62" i="25" s="1"/>
  <c r="E63" i="25" s="1"/>
  <c r="E64" i="25" s="1"/>
  <c r="E65" i="25" s="1"/>
  <c r="E66" i="25" s="1"/>
  <c r="E67" i="25" s="1"/>
  <c r="E68" i="25" s="1"/>
  <c r="E69" i="25" s="1"/>
  <c r="E70" i="25" s="1"/>
  <c r="E71" i="25" s="1"/>
  <c r="E72" i="25" s="1"/>
  <c r="E73" i="25" s="1"/>
  <c r="E74" i="25" s="1"/>
  <c r="E75" i="25" s="1"/>
  <c r="E76" i="25" s="1"/>
  <c r="E77" i="25" s="1"/>
  <c r="E78" i="25" s="1"/>
  <c r="E79" i="25" s="1"/>
  <c r="E80" i="25" s="1"/>
  <c r="E81" i="25" s="1"/>
  <c r="E82" i="25" s="1"/>
  <c r="E83" i="25" s="1"/>
  <c r="E84" i="25" s="1"/>
  <c r="E85" i="25" s="1"/>
  <c r="E86" i="25" s="1"/>
  <c r="E87" i="25" s="1"/>
  <c r="E88" i="25" s="1"/>
  <c r="E89" i="25" s="1"/>
  <c r="E90" i="25" s="1"/>
  <c r="E91" i="25" s="1"/>
  <c r="E92" i="25" s="1"/>
  <c r="E93" i="25" s="1"/>
  <c r="E94" i="25" s="1"/>
  <c r="E95" i="25" s="1"/>
  <c r="E96" i="25" s="1"/>
  <c r="E97" i="25" s="1"/>
  <c r="E98" i="25" s="1"/>
  <c r="E99" i="25" s="1"/>
  <c r="E100" i="25" s="1"/>
  <c r="E101" i="25" s="1"/>
  <c r="E102" i="25" s="1"/>
  <c r="E103" i="25" s="1"/>
  <c r="E104" i="25" s="1"/>
  <c r="E105" i="25" s="1"/>
  <c r="E106" i="25" s="1"/>
  <c r="E107" i="25" s="1"/>
  <c r="E108" i="25" s="1"/>
  <c r="E109" i="25" s="1"/>
  <c r="E110" i="25" s="1"/>
  <c r="E111" i="25" s="1"/>
  <c r="E112" i="25" s="1"/>
  <c r="E113" i="25" s="1"/>
  <c r="E114" i="25" s="1"/>
  <c r="E115" i="25" s="1"/>
  <c r="E116" i="25" s="1"/>
  <c r="E117" i="25" s="1"/>
  <c r="E118" i="25" s="1"/>
  <c r="E119" i="25" s="1"/>
  <c r="E120" i="25" s="1"/>
  <c r="E121" i="25" s="1"/>
  <c r="E122" i="25" s="1"/>
  <c r="E123" i="25" s="1"/>
  <c r="E124" i="25" s="1"/>
  <c r="K5" i="23"/>
  <c r="K6" i="23" s="1"/>
  <c r="K7" i="23" s="1"/>
  <c r="K8" i="23" s="1"/>
  <c r="K9" i="23" s="1"/>
  <c r="K10" i="23" s="1"/>
  <c r="K11" i="23" s="1"/>
  <c r="K12" i="23" s="1"/>
  <c r="K13" i="23" s="1"/>
  <c r="K14" i="23" s="1"/>
  <c r="K15" i="23" s="1"/>
  <c r="K16" i="23" s="1"/>
  <c r="K17" i="23" s="1"/>
  <c r="K18" i="23" s="1"/>
  <c r="K19" i="23" s="1"/>
  <c r="K20" i="23" s="1"/>
  <c r="K21" i="23" s="1"/>
  <c r="K22" i="23" s="1"/>
  <c r="K23" i="23" s="1"/>
  <c r="K24" i="23" s="1"/>
  <c r="K25" i="23" s="1"/>
  <c r="K26" i="23" s="1"/>
  <c r="K27" i="23" s="1"/>
  <c r="K28" i="23" s="1"/>
  <c r="K29" i="23" s="1"/>
  <c r="K30" i="23" s="1"/>
  <c r="K31" i="23" s="1"/>
  <c r="K32" i="23" s="1"/>
  <c r="K33" i="23" s="1"/>
  <c r="K34" i="23" s="1"/>
  <c r="K35" i="23" s="1"/>
  <c r="K36" i="23" s="1"/>
  <c r="K37" i="23" s="1"/>
  <c r="K38" i="23" s="1"/>
  <c r="K39" i="23" s="1"/>
  <c r="K40" i="23" s="1"/>
  <c r="K41" i="23" s="1"/>
  <c r="K42" i="23" s="1"/>
  <c r="K43" i="23" s="1"/>
  <c r="K44" i="23" s="1"/>
  <c r="K45" i="23" s="1"/>
  <c r="K46" i="23" s="1"/>
  <c r="K47" i="23" s="1"/>
  <c r="K48" i="23" s="1"/>
  <c r="K49" i="23" s="1"/>
  <c r="K50" i="23" s="1"/>
  <c r="K51" i="23" s="1"/>
  <c r="K52" i="23" s="1"/>
  <c r="K53" i="23" s="1"/>
  <c r="K54" i="23" s="1"/>
  <c r="K55" i="23" s="1"/>
  <c r="K56" i="23" s="1"/>
  <c r="K57" i="23" s="1"/>
  <c r="K58" i="23" s="1"/>
  <c r="K59" i="23" s="1"/>
  <c r="K60" i="23" s="1"/>
  <c r="K61" i="23" s="1"/>
  <c r="K62" i="23" s="1"/>
  <c r="K63" i="23" s="1"/>
  <c r="K64" i="23" s="1"/>
  <c r="K65" i="23" s="1"/>
  <c r="K66" i="23" s="1"/>
  <c r="K67" i="23" s="1"/>
  <c r="K68" i="23" s="1"/>
  <c r="K69" i="23" s="1"/>
  <c r="K70" i="23" s="1"/>
  <c r="K71" i="23" s="1"/>
  <c r="K72" i="23" s="1"/>
  <c r="K73" i="23" s="1"/>
  <c r="K74" i="23" s="1"/>
  <c r="K75" i="23" s="1"/>
  <c r="K76" i="23" s="1"/>
  <c r="K77" i="23" s="1"/>
  <c r="K78" i="23" s="1"/>
  <c r="K79" i="23" s="1"/>
  <c r="K80" i="23" s="1"/>
  <c r="K81" i="23" s="1"/>
  <c r="K82" i="23" s="1"/>
  <c r="K83" i="23" s="1"/>
  <c r="K84" i="23" s="1"/>
  <c r="K85" i="23" s="1"/>
  <c r="K86" i="23" s="1"/>
  <c r="K87" i="23" s="1"/>
  <c r="K88" i="23" s="1"/>
  <c r="K89" i="23" s="1"/>
  <c r="K90" i="23" s="1"/>
  <c r="K91" i="23" s="1"/>
  <c r="K92" i="23" s="1"/>
  <c r="K93" i="23" s="1"/>
  <c r="K94" i="23" s="1"/>
  <c r="K95" i="23" s="1"/>
  <c r="K96" i="23" s="1"/>
  <c r="K97" i="23" s="1"/>
  <c r="K98" i="23" s="1"/>
  <c r="K99" i="23" s="1"/>
  <c r="K100" i="23" s="1"/>
  <c r="K101" i="23" s="1"/>
  <c r="K102" i="23" s="1"/>
  <c r="K103" i="23" s="1"/>
  <c r="K104" i="23" s="1"/>
  <c r="K105" i="23" s="1"/>
  <c r="K106" i="23" s="1"/>
  <c r="K107" i="23" s="1"/>
  <c r="K108" i="23" s="1"/>
  <c r="K109" i="23" s="1"/>
  <c r="K110" i="23" s="1"/>
  <c r="K111" i="23" s="1"/>
  <c r="K112" i="23" s="1"/>
  <c r="K113" i="23" s="1"/>
  <c r="K114" i="23" s="1"/>
  <c r="K115" i="23" s="1"/>
  <c r="K116" i="23" s="1"/>
  <c r="K117" i="23" s="1"/>
  <c r="K118" i="23" s="1"/>
  <c r="K119" i="23" s="1"/>
  <c r="K120" i="23" s="1"/>
  <c r="K121" i="23" s="1"/>
  <c r="K122" i="23" s="1"/>
  <c r="K123" i="23" s="1"/>
  <c r="K124" i="23" s="1"/>
  <c r="K125" i="23" s="1"/>
  <c r="F5" i="26"/>
  <c r="AR18" i="3"/>
  <c r="C80" i="23" s="1" a="1"/>
  <c r="C80" i="23" s="1"/>
  <c r="AE18" i="3"/>
  <c r="Y4" i="9"/>
  <c r="AF4" i="9"/>
  <c r="R97" i="9"/>
  <c r="AG97" i="9" s="1"/>
  <c r="AN97" i="9"/>
  <c r="R98" i="9"/>
  <c r="AG98" i="9" s="1"/>
  <c r="W98" i="9"/>
  <c r="AT98" i="9" s="1"/>
  <c r="R96" i="9"/>
  <c r="AG96" i="9" s="1"/>
  <c r="W96" i="9"/>
  <c r="AT96" i="9" s="1"/>
  <c r="X8" i="9"/>
  <c r="AD8" i="9" s="1"/>
  <c r="V4" i="9"/>
  <c r="AN4" i="9"/>
  <c r="AQ4" i="9" s="1"/>
  <c r="O98" i="9"/>
  <c r="AF98" i="9" s="1"/>
  <c r="N98" i="9"/>
  <c r="X98" i="9" s="1"/>
  <c r="AD98" i="9" s="1"/>
  <c r="O96" i="9"/>
  <c r="AF96" i="9" s="1"/>
  <c r="N96" i="9"/>
  <c r="X96" i="9" s="1"/>
  <c r="AD96" i="9" s="1"/>
  <c r="O97" i="9"/>
  <c r="AF97" i="9" s="1"/>
  <c r="N97" i="9"/>
  <c r="X97" i="9" s="1"/>
  <c r="AD97" i="9" s="1"/>
  <c r="Y7" i="9"/>
  <c r="AY7" i="9" s="1"/>
  <c r="AV6" i="9"/>
  <c r="Y5" i="9"/>
  <c r="AY5" i="9" s="1"/>
  <c r="AV5" i="9"/>
  <c r="AF56" i="9"/>
  <c r="Y8" i="9"/>
  <c r="AE8" i="9" s="1"/>
  <c r="AP8" i="9"/>
  <c r="AR8" i="9" s="1"/>
  <c r="AG8" i="9"/>
  <c r="P95" i="9"/>
  <c r="P93" i="9"/>
  <c r="P92" i="9"/>
  <c r="P91" i="9"/>
  <c r="AN91" i="9" s="1"/>
  <c r="AV50" i="9"/>
  <c r="G15" i="25" l="1"/>
  <c r="G16" i="25" s="1"/>
  <c r="G17" i="25" s="1"/>
  <c r="G18" i="25" s="1"/>
  <c r="G19" i="25" s="1"/>
  <c r="G20" i="25" s="1"/>
  <c r="G21" i="25" s="1"/>
  <c r="G22" i="25" s="1"/>
  <c r="G23" i="25" s="1"/>
  <c r="G24" i="25" s="1"/>
  <c r="F95" i="16" s="1"/>
  <c r="W120" i="26"/>
  <c r="F111" i="16" s="1"/>
  <c r="W70" i="26"/>
  <c r="F63" i="16" s="1"/>
  <c r="W80" i="26"/>
  <c r="F107" i="16" s="1"/>
  <c r="W110" i="26"/>
  <c r="F110" i="16" s="1"/>
  <c r="W100" i="26"/>
  <c r="F109" i="16" s="1"/>
  <c r="W90" i="26"/>
  <c r="F108" i="16" s="1"/>
  <c r="B45" i="19"/>
  <c r="B46" i="19" s="1"/>
  <c r="B47" i="19" s="1"/>
  <c r="B48" i="19" s="1"/>
  <c r="B49" i="19" s="1"/>
  <c r="B50" i="19" s="1"/>
  <c r="B51" i="19" s="1"/>
  <c r="B52" i="19" s="1"/>
  <c r="B53" i="19" s="1"/>
  <c r="B54" i="19" s="1"/>
  <c r="D85" i="16" s="1"/>
  <c r="C96" i="16"/>
  <c r="F35" i="19"/>
  <c r="F36" i="19" s="1"/>
  <c r="F37" i="19" s="1"/>
  <c r="F38" i="19" s="1"/>
  <c r="F39" i="19" s="1"/>
  <c r="F40" i="19" s="1"/>
  <c r="F41" i="19" s="1"/>
  <c r="F42" i="19" s="1"/>
  <c r="F43" i="19" s="1"/>
  <c r="F44" i="19" s="1"/>
  <c r="E96" i="16"/>
  <c r="G35" i="19"/>
  <c r="G36" i="19" s="1"/>
  <c r="G37" i="19" s="1"/>
  <c r="G38" i="19" s="1"/>
  <c r="G39" i="19" s="1"/>
  <c r="G40" i="19" s="1"/>
  <c r="G41" i="19" s="1"/>
  <c r="G42" i="19" s="1"/>
  <c r="G43" i="19" s="1"/>
  <c r="G44" i="19" s="1"/>
  <c r="C83" i="16"/>
  <c r="C35" i="19"/>
  <c r="C36" i="19" s="1"/>
  <c r="C37" i="19" s="1"/>
  <c r="C38" i="19" s="1"/>
  <c r="C39" i="19" s="1"/>
  <c r="C40" i="19" s="1"/>
  <c r="C41" i="19" s="1"/>
  <c r="C42" i="19" s="1"/>
  <c r="C43" i="19" s="1"/>
  <c r="C44" i="19" s="1"/>
  <c r="B6" i="25"/>
  <c r="B7" i="25" s="1"/>
  <c r="B8" i="25" s="1"/>
  <c r="B9" i="25" s="1"/>
  <c r="B10" i="25" s="1"/>
  <c r="B11" i="25" s="1"/>
  <c r="B12" i="25" s="1"/>
  <c r="B13" i="25" s="1"/>
  <c r="B14" i="25" s="1"/>
  <c r="F15" i="25"/>
  <c r="F16" i="25" s="1"/>
  <c r="F17" i="25" s="1"/>
  <c r="F18" i="25" s="1"/>
  <c r="F19" i="25" s="1"/>
  <c r="F20" i="25" s="1"/>
  <c r="F21" i="25" s="1"/>
  <c r="F22" i="25" s="1"/>
  <c r="F23" i="25" s="1"/>
  <c r="F24" i="25" s="1"/>
  <c r="D94" i="16"/>
  <c r="W60" i="26"/>
  <c r="F62" i="16" s="1"/>
  <c r="W10" i="26"/>
  <c r="F57" i="16" s="1"/>
  <c r="W30" i="26"/>
  <c r="F59" i="16" s="1"/>
  <c r="W40" i="26"/>
  <c r="F60" i="16" s="1"/>
  <c r="W20" i="26"/>
  <c r="F58" i="16" s="1"/>
  <c r="W50" i="26"/>
  <c r="F61" i="16" s="1"/>
  <c r="C19" i="23" a="1"/>
  <c r="C19" i="23" s="1"/>
  <c r="C57" i="23" a="1"/>
  <c r="C57" i="23" s="1"/>
  <c r="C16" i="23" a="1"/>
  <c r="C16" i="23" s="1"/>
  <c r="C82" i="23" a="1"/>
  <c r="C82" i="23" s="1"/>
  <c r="C67" i="23" a="1"/>
  <c r="C67" i="23" s="1"/>
  <c r="C25" i="23" a="1"/>
  <c r="C25" i="23" s="1"/>
  <c r="C73" i="23" a="1"/>
  <c r="C73" i="23" s="1"/>
  <c r="C38" i="23" a="1"/>
  <c r="C38" i="23" s="1"/>
  <c r="C115" i="23" a="1"/>
  <c r="C115" i="23" s="1"/>
  <c r="C103" i="23" a="1"/>
  <c r="C103" i="23" s="1"/>
  <c r="C64" i="23" a="1"/>
  <c r="C64" i="23" s="1"/>
  <c r="C47" i="23" a="1"/>
  <c r="C47" i="23" s="1"/>
  <c r="C49" i="23" a="1"/>
  <c r="C49" i="23" s="1"/>
  <c r="L19" i="26"/>
  <c r="L35" i="26"/>
  <c r="L18" i="26"/>
  <c r="L55" i="26"/>
  <c r="L20" i="26"/>
  <c r="L29" i="26"/>
  <c r="L41" i="26"/>
  <c r="L47" i="26"/>
  <c r="L13" i="26"/>
  <c r="L12" i="26"/>
  <c r="L54" i="26"/>
  <c r="C101" i="23" a="1"/>
  <c r="C101" i="23" s="1"/>
  <c r="L39" i="26"/>
  <c r="L62" i="26"/>
  <c r="C77" i="23" a="1"/>
  <c r="C77" i="23" s="1"/>
  <c r="C56" i="23" a="1"/>
  <c r="C56" i="23" s="1"/>
  <c r="C71" i="23" a="1"/>
  <c r="C71" i="23" s="1"/>
  <c r="C31" i="23" a="1"/>
  <c r="C31" i="23" s="1"/>
  <c r="C122" i="23" a="1"/>
  <c r="C122" i="23" s="1"/>
  <c r="C90" i="23" a="1"/>
  <c r="C90" i="23" s="1"/>
  <c r="C41" i="23" a="1"/>
  <c r="C41" i="23" s="1"/>
  <c r="C104" i="23" a="1"/>
  <c r="C104" i="23" s="1"/>
  <c r="C28" i="23" a="1"/>
  <c r="C28" i="23" s="1"/>
  <c r="C14" i="23" a="1"/>
  <c r="C14" i="23" s="1"/>
  <c r="C78" i="23" a="1"/>
  <c r="C78" i="23" s="1"/>
  <c r="Q78" i="23" s="1"/>
  <c r="C91" i="23" a="1"/>
  <c r="C91" i="23" s="1"/>
  <c r="C88" i="23" a="1"/>
  <c r="C88" i="23" s="1"/>
  <c r="L24" i="26"/>
  <c r="C120" i="23" a="1"/>
  <c r="C120" i="23" s="1"/>
  <c r="C20" i="23" a="1"/>
  <c r="C20" i="23" s="1"/>
  <c r="L57" i="26"/>
  <c r="L26" i="26"/>
  <c r="C62" i="23" a="1"/>
  <c r="C62" i="23" s="1"/>
  <c r="L48" i="26"/>
  <c r="C11" i="23" a="1"/>
  <c r="C11" i="23" s="1"/>
  <c r="C84" i="23" a="1"/>
  <c r="C84" i="23" s="1"/>
  <c r="C52" i="23" a="1"/>
  <c r="C52" i="23" s="1"/>
  <c r="C30" i="23" a="1"/>
  <c r="C30" i="23" s="1"/>
  <c r="C79" i="23" a="1"/>
  <c r="C79" i="23" s="1"/>
  <c r="C10" i="23" a="1"/>
  <c r="C10" i="23" s="1"/>
  <c r="C72" i="23" a="1"/>
  <c r="C72" i="23" s="1"/>
  <c r="C124" i="23" a="1"/>
  <c r="C124" i="23" s="1"/>
  <c r="C35" i="23" a="1"/>
  <c r="C35" i="23" s="1"/>
  <c r="C74" i="23" a="1"/>
  <c r="C74" i="23" s="1"/>
  <c r="C12" i="23" a="1"/>
  <c r="C12" i="23" s="1"/>
  <c r="C51" i="23" a="1"/>
  <c r="C51" i="23" s="1"/>
  <c r="C58" i="23" a="1"/>
  <c r="C58" i="23" s="1"/>
  <c r="L45" i="26"/>
  <c r="C100" i="23" a="1"/>
  <c r="C100" i="23" s="1"/>
  <c r="C86" i="23" a="1"/>
  <c r="C86" i="23" s="1"/>
  <c r="C42" i="23" a="1"/>
  <c r="C42" i="23" s="1"/>
  <c r="L23" i="26"/>
  <c r="L7" i="26"/>
  <c r="L78" i="26"/>
  <c r="C75" i="23" a="1"/>
  <c r="C75" i="23" s="1"/>
  <c r="C65" i="23" a="1"/>
  <c r="C65" i="23" s="1"/>
  <c r="C61" i="23" a="1"/>
  <c r="C61" i="23" s="1"/>
  <c r="L31" i="26"/>
  <c r="C93" i="23" a="1"/>
  <c r="C93" i="23" s="1"/>
  <c r="C45" i="23" a="1"/>
  <c r="C45" i="23" s="1"/>
  <c r="C8" i="23" a="1"/>
  <c r="C8" i="23" s="1"/>
  <c r="C85" i="23" a="1"/>
  <c r="C85" i="23" s="1"/>
  <c r="C34" i="23" a="1"/>
  <c r="C34" i="23" s="1"/>
  <c r="C106" i="23" a="1"/>
  <c r="C106" i="23" s="1"/>
  <c r="C68" i="23" a="1"/>
  <c r="C68" i="23" s="1"/>
  <c r="L72" i="26"/>
  <c r="C116" i="23" a="1"/>
  <c r="C116" i="23" s="1"/>
  <c r="C109" i="23" a="1"/>
  <c r="C109" i="23" s="1"/>
  <c r="C92" i="23" a="1"/>
  <c r="C92" i="23" s="1"/>
  <c r="C63" i="23" a="1"/>
  <c r="C63" i="23" s="1"/>
  <c r="C23" i="23" a="1"/>
  <c r="C23" i="23" s="1"/>
  <c r="O23" i="23" s="1"/>
  <c r="C66" i="23" a="1"/>
  <c r="C66" i="23" s="1"/>
  <c r="L76" i="26"/>
  <c r="C46" i="23" a="1"/>
  <c r="C46" i="23" s="1"/>
  <c r="C43" i="23" a="1"/>
  <c r="C43" i="23" s="1"/>
  <c r="C54" i="23" a="1"/>
  <c r="C54" i="23" s="1"/>
  <c r="L34" i="26"/>
  <c r="L70" i="26"/>
  <c r="C105" i="23" a="1"/>
  <c r="C105" i="23" s="1"/>
  <c r="C13" i="23" a="1"/>
  <c r="C13" i="23" s="1"/>
  <c r="C118" i="23" a="1"/>
  <c r="C118" i="23" s="1"/>
  <c r="L37" i="26"/>
  <c r="C112" i="23" a="1"/>
  <c r="C112" i="23" s="1"/>
  <c r="C33" i="23" a="1"/>
  <c r="C33" i="23" s="1"/>
  <c r="C27" i="23" a="1"/>
  <c r="C27" i="23" s="1"/>
  <c r="C121" i="23" a="1"/>
  <c r="C121" i="23" s="1"/>
  <c r="C60" i="23" a="1"/>
  <c r="C60" i="23" s="1"/>
  <c r="C110" i="23" a="1"/>
  <c r="C110" i="23" s="1"/>
  <c r="C76" i="23" a="1"/>
  <c r="C76" i="23" s="1"/>
  <c r="C15" i="23" a="1"/>
  <c r="C15" i="23" s="1"/>
  <c r="C24" i="23" a="1"/>
  <c r="C24" i="23" s="1"/>
  <c r="C97" i="23" a="1"/>
  <c r="C97" i="23" s="1"/>
  <c r="L36" i="26"/>
  <c r="C7" i="23" a="1"/>
  <c r="C7" i="23" s="1"/>
  <c r="C114" i="23" a="1"/>
  <c r="C114" i="23" s="1"/>
  <c r="L63" i="26"/>
  <c r="L79" i="26"/>
  <c r="C39" i="23" a="1"/>
  <c r="C39" i="23" s="1"/>
  <c r="C55" i="23" a="1"/>
  <c r="C55" i="23" s="1"/>
  <c r="L6" i="26"/>
  <c r="L46" i="26"/>
  <c r="L11" i="26"/>
  <c r="C102" i="23" a="1"/>
  <c r="C102" i="23" s="1"/>
  <c r="C69" i="23" a="1"/>
  <c r="C69" i="23" s="1"/>
  <c r="C123" i="23" a="1"/>
  <c r="C123" i="23" s="1"/>
  <c r="L10" i="26"/>
  <c r="L77" i="26"/>
  <c r="L9" i="26"/>
  <c r="L30" i="26"/>
  <c r="L8" i="26"/>
  <c r="C81" i="23" a="1"/>
  <c r="C81" i="23" s="1"/>
  <c r="C96" i="23" a="1"/>
  <c r="C96" i="23" s="1"/>
  <c r="L42" i="26"/>
  <c r="C40" i="23" a="1"/>
  <c r="C40" i="23" s="1"/>
  <c r="C53" i="23" a="1"/>
  <c r="C53" i="23" s="1"/>
  <c r="C98" i="23" a="1"/>
  <c r="C98" i="23" s="1"/>
  <c r="C50" i="23" a="1"/>
  <c r="C50" i="23" s="1"/>
  <c r="C26" i="23" a="1"/>
  <c r="C26" i="23" s="1"/>
  <c r="C83" i="23" a="1"/>
  <c r="C83" i="23" s="1"/>
  <c r="C107" i="23" a="1"/>
  <c r="C107" i="23" s="1"/>
  <c r="C18" i="23" a="1"/>
  <c r="C18" i="23" s="1"/>
  <c r="C117" i="23" a="1"/>
  <c r="C117" i="23" s="1"/>
  <c r="C99" i="23" a="1"/>
  <c r="C99" i="23" s="1"/>
  <c r="C44" i="23" a="1"/>
  <c r="C44" i="23" s="1"/>
  <c r="L71" i="26"/>
  <c r="C89" i="23" a="1"/>
  <c r="C89" i="23" s="1"/>
  <c r="L67" i="26"/>
  <c r="L14" i="26"/>
  <c r="C21" i="23" a="1"/>
  <c r="C21" i="23" s="1"/>
  <c r="C5" i="23" a="1"/>
  <c r="C5" i="23" s="1"/>
  <c r="B5" i="26" s="1"/>
  <c r="C108" i="23" a="1"/>
  <c r="C108" i="23" s="1"/>
  <c r="C17" i="23" a="1"/>
  <c r="C17" i="23" s="1"/>
  <c r="C36" i="23" a="1"/>
  <c r="C36" i="23" s="1"/>
  <c r="C59" i="23" a="1"/>
  <c r="C59" i="23" s="1"/>
  <c r="L65" i="26"/>
  <c r="L75" i="26"/>
  <c r="L56" i="26"/>
  <c r="L66" i="26"/>
  <c r="L74" i="26"/>
  <c r="L16" i="26"/>
  <c r="C37" i="23" a="1"/>
  <c r="C37" i="23" s="1"/>
  <c r="L25" i="26"/>
  <c r="C111" i="23" a="1"/>
  <c r="C111" i="23" s="1"/>
  <c r="C29" i="23" a="1"/>
  <c r="C29" i="23" s="1"/>
  <c r="C9" i="23" a="1"/>
  <c r="C9" i="23" s="1"/>
  <c r="C6" i="23" a="1"/>
  <c r="C6" i="23" s="1"/>
  <c r="C94" i="23" a="1"/>
  <c r="C94" i="23" s="1"/>
  <c r="C119" i="23" a="1"/>
  <c r="C119" i="23" s="1"/>
  <c r="C70" i="23" a="1"/>
  <c r="C70" i="23" s="1"/>
  <c r="C48" i="23" a="1"/>
  <c r="C48" i="23" s="1"/>
  <c r="C95" i="23" a="1"/>
  <c r="C95" i="23" s="1"/>
  <c r="C32" i="23" a="1"/>
  <c r="C32" i="23" s="1"/>
  <c r="C22" i="23" a="1"/>
  <c r="C22" i="23" s="1"/>
  <c r="C87" i="23" a="1"/>
  <c r="C87" i="23" s="1"/>
  <c r="C125" i="23" a="1"/>
  <c r="C125" i="23" s="1"/>
  <c r="C113" i="23" a="1"/>
  <c r="C113" i="23" s="1"/>
  <c r="AP91" i="9"/>
  <c r="AR91" i="9" s="1"/>
  <c r="AQ91" i="9"/>
  <c r="AP97" i="9"/>
  <c r="AR97" i="9" s="1"/>
  <c r="AQ97" i="9"/>
  <c r="AY4" i="9"/>
  <c r="AE4" i="9"/>
  <c r="L60" i="26"/>
  <c r="Q41" i="23"/>
  <c r="O41" i="23"/>
  <c r="B41" i="26"/>
  <c r="P41" i="23"/>
  <c r="P23" i="23"/>
  <c r="L28" i="26"/>
  <c r="L51" i="26"/>
  <c r="L73" i="26"/>
  <c r="L68" i="26"/>
  <c r="L22" i="26"/>
  <c r="L44" i="26"/>
  <c r="L17" i="26"/>
  <c r="L80" i="26"/>
  <c r="L38" i="26"/>
  <c r="L33" i="26"/>
  <c r="L59" i="26"/>
  <c r="L27" i="26"/>
  <c r="L52" i="26"/>
  <c r="L15" i="26"/>
  <c r="L53" i="26"/>
  <c r="L49" i="26"/>
  <c r="L21" i="26"/>
  <c r="L64" i="26"/>
  <c r="L43" i="26"/>
  <c r="L58" i="26"/>
  <c r="L69" i="26"/>
  <c r="L32" i="26"/>
  <c r="L61" i="26"/>
  <c r="L40" i="26"/>
  <c r="D6" i="26"/>
  <c r="J5" i="23"/>
  <c r="J6" i="23" s="1"/>
  <c r="J7" i="23" s="1"/>
  <c r="J8" i="23" s="1"/>
  <c r="J9" i="23" s="1"/>
  <c r="J10" i="23" s="1"/>
  <c r="J11" i="23" s="1"/>
  <c r="J12" i="23" s="1"/>
  <c r="J13" i="23" s="1"/>
  <c r="J14" i="23" s="1"/>
  <c r="J15" i="23" s="1"/>
  <c r="J16" i="23" s="1"/>
  <c r="J17" i="23" s="1"/>
  <c r="J18" i="23" s="1"/>
  <c r="J19" i="23" s="1"/>
  <c r="J20" i="23" s="1"/>
  <c r="J21" i="23" s="1"/>
  <c r="J22" i="23" s="1"/>
  <c r="J23" i="23" s="1"/>
  <c r="J24" i="23" s="1"/>
  <c r="J25" i="23" s="1"/>
  <c r="J26" i="23" s="1"/>
  <c r="J27" i="23" s="1"/>
  <c r="J28" i="23" s="1"/>
  <c r="J29" i="23" s="1"/>
  <c r="J30" i="23" s="1"/>
  <c r="J31" i="23" s="1"/>
  <c r="J32" i="23" s="1"/>
  <c r="J33" i="23" s="1"/>
  <c r="J34" i="23" s="1"/>
  <c r="J35" i="23" s="1"/>
  <c r="J36" i="23" s="1"/>
  <c r="J37" i="23" s="1"/>
  <c r="J38" i="23" s="1"/>
  <c r="J39" i="23" s="1"/>
  <c r="J40" i="23" s="1"/>
  <c r="J41" i="23" s="1"/>
  <c r="J42" i="23" s="1"/>
  <c r="J43" i="23" s="1"/>
  <c r="J44" i="23" s="1"/>
  <c r="J45" i="23" s="1"/>
  <c r="J46" i="23" s="1"/>
  <c r="J47" i="23" s="1"/>
  <c r="J48" i="23" s="1"/>
  <c r="J49" i="23" s="1"/>
  <c r="J50" i="23" s="1"/>
  <c r="J51" i="23" s="1"/>
  <c r="J52" i="23" s="1"/>
  <c r="J53" i="23" s="1"/>
  <c r="J54" i="23" s="1"/>
  <c r="J55" i="23" s="1"/>
  <c r="J56" i="23" s="1"/>
  <c r="J57" i="23" s="1"/>
  <c r="J58" i="23" s="1"/>
  <c r="J59" i="23" s="1"/>
  <c r="J60" i="23" s="1"/>
  <c r="J61" i="23" s="1"/>
  <c r="J62" i="23" s="1"/>
  <c r="J63" i="23" s="1"/>
  <c r="J64" i="23" s="1"/>
  <c r="J65" i="23" s="1"/>
  <c r="J66" i="23" s="1"/>
  <c r="J67" i="23" s="1"/>
  <c r="J68" i="23" s="1"/>
  <c r="J69" i="23" s="1"/>
  <c r="J70" i="23" s="1"/>
  <c r="J71" i="23" s="1"/>
  <c r="J72" i="23" s="1"/>
  <c r="J73" i="23" s="1"/>
  <c r="J74" i="23" s="1"/>
  <c r="J75" i="23" s="1"/>
  <c r="J76" i="23" s="1"/>
  <c r="J77" i="23" s="1"/>
  <c r="J78" i="23" s="1"/>
  <c r="J79" i="23" s="1"/>
  <c r="J80" i="23" s="1"/>
  <c r="J81" i="23" s="1"/>
  <c r="J82" i="23" s="1"/>
  <c r="J83" i="23" s="1"/>
  <c r="J84" i="23" s="1"/>
  <c r="J85" i="23" s="1"/>
  <c r="J86" i="23" s="1"/>
  <c r="J87" i="23" s="1"/>
  <c r="J88" i="23" s="1"/>
  <c r="J89" i="23" s="1"/>
  <c r="J90" i="23" s="1"/>
  <c r="J91" i="23" s="1"/>
  <c r="J92" i="23" s="1"/>
  <c r="J93" i="23" s="1"/>
  <c r="J94" i="23" s="1"/>
  <c r="J95" i="23" s="1"/>
  <c r="J96" i="23" s="1"/>
  <c r="J97" i="23" s="1"/>
  <c r="J98" i="23" s="1"/>
  <c r="J99" i="23" s="1"/>
  <c r="J100" i="23" s="1"/>
  <c r="J101" i="23" s="1"/>
  <c r="J102" i="23" s="1"/>
  <c r="J103" i="23" s="1"/>
  <c r="J104" i="23" s="1"/>
  <c r="J105" i="23" s="1"/>
  <c r="J106" i="23" s="1"/>
  <c r="J107" i="23" s="1"/>
  <c r="J108" i="23" s="1"/>
  <c r="J109" i="23" s="1"/>
  <c r="J110" i="23" s="1"/>
  <c r="J111" i="23" s="1"/>
  <c r="J112" i="23" s="1"/>
  <c r="J113" i="23" s="1"/>
  <c r="J114" i="23" s="1"/>
  <c r="J115" i="23" s="1"/>
  <c r="J116" i="23" s="1"/>
  <c r="J117" i="23" s="1"/>
  <c r="J118" i="23" s="1"/>
  <c r="J119" i="23" s="1"/>
  <c r="J120" i="23" s="1"/>
  <c r="J121" i="23" s="1"/>
  <c r="J122" i="23" s="1"/>
  <c r="J123" i="23" s="1"/>
  <c r="J124" i="23" s="1"/>
  <c r="J125" i="23" s="1"/>
  <c r="D5" i="26"/>
  <c r="D4" i="25"/>
  <c r="D5" i="25" s="1"/>
  <c r="D6" i="25" s="1"/>
  <c r="D7" i="25" s="1"/>
  <c r="D8" i="25" s="1"/>
  <c r="D9" i="25" s="1"/>
  <c r="D10" i="25" s="1"/>
  <c r="D11" i="25" s="1"/>
  <c r="D12" i="25" s="1"/>
  <c r="D13" i="25" s="1"/>
  <c r="D14" i="25" s="1"/>
  <c r="D15" i="25" s="1"/>
  <c r="D16" i="25" s="1"/>
  <c r="D17" i="25" s="1"/>
  <c r="D18" i="25" s="1"/>
  <c r="D19" i="25" s="1"/>
  <c r="D20" i="25" s="1"/>
  <c r="D21" i="25" s="1"/>
  <c r="D22" i="25" s="1"/>
  <c r="D23" i="25" s="1"/>
  <c r="D24" i="25" s="1"/>
  <c r="D25" i="25" s="1"/>
  <c r="D26" i="25" s="1"/>
  <c r="D27" i="25" s="1"/>
  <c r="D28" i="25" s="1"/>
  <c r="D29" i="25" s="1"/>
  <c r="D30" i="25" s="1"/>
  <c r="D31" i="25" s="1"/>
  <c r="D32" i="25" s="1"/>
  <c r="D33" i="25" s="1"/>
  <c r="D34" i="25" s="1"/>
  <c r="D35" i="25" s="1"/>
  <c r="D36" i="25" s="1"/>
  <c r="D37" i="25" s="1"/>
  <c r="D38" i="25" s="1"/>
  <c r="D39" i="25" s="1"/>
  <c r="D40" i="25" s="1"/>
  <c r="D41" i="25" s="1"/>
  <c r="D42" i="25" s="1"/>
  <c r="D43" i="25" s="1"/>
  <c r="D44" i="25" s="1"/>
  <c r="D45" i="25" s="1"/>
  <c r="D46" i="25" s="1"/>
  <c r="D47" i="25" s="1"/>
  <c r="D48" i="25" s="1"/>
  <c r="D49" i="25" s="1"/>
  <c r="D50" i="25" s="1"/>
  <c r="D51" i="25" s="1"/>
  <c r="D52" i="25" s="1"/>
  <c r="D53" i="25" s="1"/>
  <c r="D54" i="25" s="1"/>
  <c r="D55" i="25" s="1"/>
  <c r="D56" i="25" s="1"/>
  <c r="D57" i="25" s="1"/>
  <c r="D58" i="25" s="1"/>
  <c r="D59" i="25" s="1"/>
  <c r="D60" i="25" s="1"/>
  <c r="D61" i="25" s="1"/>
  <c r="D62" i="25" s="1"/>
  <c r="D63" i="25" s="1"/>
  <c r="D64" i="25" s="1"/>
  <c r="D65" i="25" s="1"/>
  <c r="D66" i="25" s="1"/>
  <c r="D67" i="25" s="1"/>
  <c r="D68" i="25" s="1"/>
  <c r="D69" i="25" s="1"/>
  <c r="D70" i="25" s="1"/>
  <c r="D71" i="25" s="1"/>
  <c r="D72" i="25" s="1"/>
  <c r="D73" i="25" s="1"/>
  <c r="D74" i="25" s="1"/>
  <c r="D75" i="25" s="1"/>
  <c r="D76" i="25" s="1"/>
  <c r="D77" i="25" s="1"/>
  <c r="D78" i="25" s="1"/>
  <c r="D79" i="25" s="1"/>
  <c r="D80" i="25" s="1"/>
  <c r="D81" i="25" s="1"/>
  <c r="D82" i="25" s="1"/>
  <c r="D83" i="25" s="1"/>
  <c r="D84" i="25" s="1"/>
  <c r="D85" i="25" s="1"/>
  <c r="D86" i="25" s="1"/>
  <c r="D87" i="25" s="1"/>
  <c r="D88" i="25" s="1"/>
  <c r="D89" i="25" s="1"/>
  <c r="D90" i="25" s="1"/>
  <c r="D91" i="25" s="1"/>
  <c r="D92" i="25" s="1"/>
  <c r="D93" i="25" s="1"/>
  <c r="D94" i="25" s="1"/>
  <c r="D95" i="25" s="1"/>
  <c r="D96" i="25" s="1"/>
  <c r="D97" i="25" s="1"/>
  <c r="D98" i="25" s="1"/>
  <c r="D99" i="25" s="1"/>
  <c r="D100" i="25" s="1"/>
  <c r="D101" i="25" s="1"/>
  <c r="D102" i="25" s="1"/>
  <c r="D103" i="25" s="1"/>
  <c r="D104" i="25" s="1"/>
  <c r="D105" i="25" s="1"/>
  <c r="D106" i="25" s="1"/>
  <c r="D107" i="25" s="1"/>
  <c r="D108" i="25" s="1"/>
  <c r="D109" i="25" s="1"/>
  <c r="D110" i="25" s="1"/>
  <c r="D111" i="25" s="1"/>
  <c r="D112" i="25" s="1"/>
  <c r="D113" i="25" s="1"/>
  <c r="D114" i="25" s="1"/>
  <c r="D115" i="25" s="1"/>
  <c r="D116" i="25" s="1"/>
  <c r="D117" i="25" s="1"/>
  <c r="D118" i="25" s="1"/>
  <c r="D119" i="25" s="1"/>
  <c r="D120" i="25" s="1"/>
  <c r="D121" i="25" s="1"/>
  <c r="D122" i="25" s="1"/>
  <c r="D123" i="25" s="1"/>
  <c r="D124" i="25" s="1"/>
  <c r="J5" i="24"/>
  <c r="J6" i="24" s="1"/>
  <c r="J7" i="24" s="1"/>
  <c r="J8" i="24" s="1"/>
  <c r="J9" i="24" s="1"/>
  <c r="J10" i="24" s="1"/>
  <c r="J11" i="24" s="1"/>
  <c r="J12" i="24" s="1"/>
  <c r="J13" i="24" s="1"/>
  <c r="J14" i="24" s="1"/>
  <c r="J15" i="24" s="1"/>
  <c r="J16" i="24" s="1"/>
  <c r="J17" i="24" s="1"/>
  <c r="J18" i="24" s="1"/>
  <c r="J19" i="24" s="1"/>
  <c r="J20" i="24" s="1"/>
  <c r="J21" i="24" s="1"/>
  <c r="J22" i="24" s="1"/>
  <c r="J23" i="24" s="1"/>
  <c r="J24" i="24" s="1"/>
  <c r="J25" i="24" s="1"/>
  <c r="J26" i="24" s="1"/>
  <c r="J27" i="24" s="1"/>
  <c r="J28" i="24" s="1"/>
  <c r="J29" i="24" s="1"/>
  <c r="J30" i="24" s="1"/>
  <c r="J31" i="24" s="1"/>
  <c r="J32" i="24" s="1"/>
  <c r="J33" i="24" s="1"/>
  <c r="J34" i="24" s="1"/>
  <c r="J35" i="24" s="1"/>
  <c r="J36" i="24" s="1"/>
  <c r="J37" i="24" s="1"/>
  <c r="J38" i="24" s="1"/>
  <c r="J39" i="24" s="1"/>
  <c r="J40" i="24" s="1"/>
  <c r="J41" i="24" s="1"/>
  <c r="J42" i="24" s="1"/>
  <c r="J43" i="24" s="1"/>
  <c r="J44" i="24" s="1"/>
  <c r="J45" i="24" s="1"/>
  <c r="J46" i="24" s="1"/>
  <c r="J47" i="24" s="1"/>
  <c r="J48" i="24" s="1"/>
  <c r="J49" i="24" s="1"/>
  <c r="J50" i="24" s="1"/>
  <c r="J51" i="24" s="1"/>
  <c r="J52" i="24" s="1"/>
  <c r="J53" i="24" s="1"/>
  <c r="J54" i="24" s="1"/>
  <c r="J55" i="24" s="1"/>
  <c r="J56" i="24" s="1"/>
  <c r="J57" i="24" s="1"/>
  <c r="J58" i="24" s="1"/>
  <c r="J59" i="24" s="1"/>
  <c r="J60" i="24" s="1"/>
  <c r="J61" i="24" s="1"/>
  <c r="J62" i="24" s="1"/>
  <c r="J63" i="24" s="1"/>
  <c r="J64" i="24" s="1"/>
  <c r="J65" i="24" s="1"/>
  <c r="J66" i="24" s="1"/>
  <c r="J67" i="24" s="1"/>
  <c r="J68" i="24" s="1"/>
  <c r="J69" i="24" s="1"/>
  <c r="J70" i="24" s="1"/>
  <c r="J71" i="24" s="1"/>
  <c r="J72" i="24" s="1"/>
  <c r="J73" i="24" s="1"/>
  <c r="J74" i="24" s="1"/>
  <c r="J75" i="24" s="1"/>
  <c r="J76" i="24" s="1"/>
  <c r="J77" i="24" s="1"/>
  <c r="J78" i="24" s="1"/>
  <c r="J79" i="24" s="1"/>
  <c r="J80" i="24" s="1"/>
  <c r="J81" i="24" s="1"/>
  <c r="J82" i="24" s="1"/>
  <c r="J83" i="24" s="1"/>
  <c r="J84" i="24" s="1"/>
  <c r="J85" i="24" s="1"/>
  <c r="J86" i="24" s="1"/>
  <c r="J87" i="24" s="1"/>
  <c r="J88" i="24" s="1"/>
  <c r="J89" i="24" s="1"/>
  <c r="J90" i="24" s="1"/>
  <c r="J91" i="24" s="1"/>
  <c r="J92" i="24" s="1"/>
  <c r="J93" i="24" s="1"/>
  <c r="J94" i="24" s="1"/>
  <c r="J95" i="24" s="1"/>
  <c r="J96" i="24" s="1"/>
  <c r="J97" i="24" s="1"/>
  <c r="J98" i="24" s="1"/>
  <c r="J99" i="24" s="1"/>
  <c r="J100" i="24" s="1"/>
  <c r="J101" i="24" s="1"/>
  <c r="J102" i="24" s="1"/>
  <c r="J103" i="24" s="1"/>
  <c r="J104" i="24" s="1"/>
  <c r="J105" i="24" s="1"/>
  <c r="J106" i="24" s="1"/>
  <c r="J107" i="24" s="1"/>
  <c r="J108" i="24" s="1"/>
  <c r="J109" i="24" s="1"/>
  <c r="J110" i="24" s="1"/>
  <c r="J111" i="24" s="1"/>
  <c r="J112" i="24" s="1"/>
  <c r="J113" i="24" s="1"/>
  <c r="J114" i="24" s="1"/>
  <c r="J115" i="24" s="1"/>
  <c r="J116" i="24" s="1"/>
  <c r="J117" i="24" s="1"/>
  <c r="J118" i="24" s="1"/>
  <c r="J119" i="24" s="1"/>
  <c r="J120" i="24" s="1"/>
  <c r="J121" i="24" s="1"/>
  <c r="J122" i="24" s="1"/>
  <c r="J123" i="24" s="1"/>
  <c r="J124" i="24" s="1"/>
  <c r="J125" i="24" s="1"/>
  <c r="N5" i="26"/>
  <c r="AS4" i="9"/>
  <c r="AZ4" i="9" s="1"/>
  <c r="R92" i="9"/>
  <c r="AG92" i="9" s="1"/>
  <c r="AN92" i="9"/>
  <c r="R93" i="9"/>
  <c r="AG93" i="9" s="1"/>
  <c r="AN93" i="9"/>
  <c r="R95" i="9"/>
  <c r="AG95" i="9" s="1"/>
  <c r="AN95" i="9"/>
  <c r="AI98" i="9"/>
  <c r="V98" i="9"/>
  <c r="AI96" i="9"/>
  <c r="V96" i="9"/>
  <c r="R91" i="9"/>
  <c r="AG91" i="9" s="1"/>
  <c r="W91" i="9"/>
  <c r="AT91" i="9" s="1"/>
  <c r="Y96" i="9"/>
  <c r="AE96" i="9" s="1"/>
  <c r="AT4" i="9"/>
  <c r="BA4" i="9" s="1"/>
  <c r="AH4" i="9"/>
  <c r="N93" i="9"/>
  <c r="X93" i="9" s="1"/>
  <c r="AD93" i="9" s="1"/>
  <c r="O93" i="9"/>
  <c r="AF93" i="9" s="1"/>
  <c r="N92" i="9"/>
  <c r="X92" i="9" s="1"/>
  <c r="AD92" i="9" s="1"/>
  <c r="O92" i="9"/>
  <c r="AF92" i="9" s="1"/>
  <c r="O91" i="9"/>
  <c r="AF91" i="9" s="1"/>
  <c r="N91" i="9"/>
  <c r="X91" i="9" s="1"/>
  <c r="AD91" i="9" s="1"/>
  <c r="Y97" i="9"/>
  <c r="AE97" i="9" s="1"/>
  <c r="Y98" i="9"/>
  <c r="AE98" i="9" s="1"/>
  <c r="X50" i="9"/>
  <c r="X95" i="9"/>
  <c r="AD95" i="9" s="1"/>
  <c r="X59" i="9"/>
  <c r="AD59" i="9" s="1"/>
  <c r="Y50" i="9"/>
  <c r="P101" i="9"/>
  <c r="L101" i="9"/>
  <c r="AK101" i="9" s="1"/>
  <c r="AM101" i="9" s="1"/>
  <c r="L103" i="9"/>
  <c r="AK103" i="9" s="1"/>
  <c r="AM103" i="9" s="1"/>
  <c r="AE125" i="23" l="1"/>
  <c r="AF125" i="23"/>
  <c r="AG125" i="23"/>
  <c r="AB125" i="23"/>
  <c r="AC125" i="23"/>
  <c r="AA125" i="23"/>
  <c r="W125" i="23"/>
  <c r="X125" i="23"/>
  <c r="Y125" i="23"/>
  <c r="AE108" i="23"/>
  <c r="AF108" i="23"/>
  <c r="AG108" i="23"/>
  <c r="AB108" i="23"/>
  <c r="AA108" i="23"/>
  <c r="AC108" i="23"/>
  <c r="Y108" i="23"/>
  <c r="W108" i="23"/>
  <c r="X108" i="23"/>
  <c r="AG99" i="23"/>
  <c r="AA99" i="23"/>
  <c r="AB99" i="23"/>
  <c r="AC99" i="23"/>
  <c r="AE99" i="23"/>
  <c r="AF99" i="23"/>
  <c r="W99" i="23"/>
  <c r="X99" i="23"/>
  <c r="Y99" i="23"/>
  <c r="AA112" i="23"/>
  <c r="AB112" i="23"/>
  <c r="AC112" i="23"/>
  <c r="AE112" i="23"/>
  <c r="AF112" i="23"/>
  <c r="AG112" i="23"/>
  <c r="W112" i="23"/>
  <c r="X112" i="23"/>
  <c r="Y112" i="23"/>
  <c r="AE116" i="23"/>
  <c r="AF116" i="23"/>
  <c r="AG116" i="23"/>
  <c r="AB116" i="23"/>
  <c r="AA116" i="23"/>
  <c r="AC116" i="23"/>
  <c r="Y116" i="23"/>
  <c r="W116" i="23"/>
  <c r="X116" i="23"/>
  <c r="AA93" i="23"/>
  <c r="AB93" i="23"/>
  <c r="AC93" i="23"/>
  <c r="AE93" i="23"/>
  <c r="AF93" i="23"/>
  <c r="AG93" i="23"/>
  <c r="W93" i="23"/>
  <c r="X93" i="23"/>
  <c r="Y93" i="23"/>
  <c r="AA88" i="23"/>
  <c r="AB88" i="23"/>
  <c r="AC88" i="23"/>
  <c r="AE88" i="23"/>
  <c r="AF88" i="23"/>
  <c r="AG88" i="23"/>
  <c r="W88" i="23"/>
  <c r="X88" i="23"/>
  <c r="Y88" i="23"/>
  <c r="AB122" i="23"/>
  <c r="AC122" i="23"/>
  <c r="AE122" i="23"/>
  <c r="AF122" i="23"/>
  <c r="AG122" i="23"/>
  <c r="AA122" i="23"/>
  <c r="W122" i="23"/>
  <c r="X122" i="23"/>
  <c r="Y122" i="23"/>
  <c r="AA101" i="23"/>
  <c r="AB101" i="23"/>
  <c r="AC101" i="23"/>
  <c r="AE101" i="23"/>
  <c r="AF101" i="23"/>
  <c r="AG101" i="23"/>
  <c r="W101" i="23"/>
  <c r="X101" i="23"/>
  <c r="Y101" i="23"/>
  <c r="AC87" i="23"/>
  <c r="AE87" i="23"/>
  <c r="AF87" i="23"/>
  <c r="AG87" i="23"/>
  <c r="AA87" i="23"/>
  <c r="AB87" i="23"/>
  <c r="X87" i="23"/>
  <c r="Y87" i="23"/>
  <c r="W87" i="23"/>
  <c r="AA117" i="23"/>
  <c r="AB117" i="23"/>
  <c r="AC117" i="23"/>
  <c r="AE117" i="23"/>
  <c r="AF117" i="23"/>
  <c r="AG117" i="23"/>
  <c r="W117" i="23"/>
  <c r="X117" i="23"/>
  <c r="Y117" i="23"/>
  <c r="AF86" i="23"/>
  <c r="AG86" i="23"/>
  <c r="AA86" i="23"/>
  <c r="AB86" i="23"/>
  <c r="AE86" i="23"/>
  <c r="AC86" i="23"/>
  <c r="W86" i="23"/>
  <c r="X86" i="23"/>
  <c r="Y86" i="23"/>
  <c r="AE124" i="23"/>
  <c r="AF124" i="23"/>
  <c r="AG124" i="23"/>
  <c r="AA124" i="23"/>
  <c r="AB124" i="23"/>
  <c r="AC124" i="23"/>
  <c r="Y124" i="23"/>
  <c r="W124" i="23"/>
  <c r="X124" i="23"/>
  <c r="AG91" i="23"/>
  <c r="AA91" i="23"/>
  <c r="AB91" i="23"/>
  <c r="AC91" i="23"/>
  <c r="AE91" i="23"/>
  <c r="AF91" i="23"/>
  <c r="W91" i="23"/>
  <c r="X91" i="23"/>
  <c r="Y91" i="23"/>
  <c r="AC119" i="23"/>
  <c r="AE119" i="23"/>
  <c r="AF119" i="23"/>
  <c r="AG119" i="23"/>
  <c r="AA119" i="23"/>
  <c r="AB119" i="23"/>
  <c r="X119" i="23"/>
  <c r="Y119" i="23"/>
  <c r="W119" i="23"/>
  <c r="AA109" i="23"/>
  <c r="AB109" i="23"/>
  <c r="AC109" i="23"/>
  <c r="AE109" i="23"/>
  <c r="AF109" i="23"/>
  <c r="AG109" i="23"/>
  <c r="W109" i="23"/>
  <c r="X109" i="23"/>
  <c r="Y109" i="23"/>
  <c r="AG123" i="23"/>
  <c r="AA123" i="23"/>
  <c r="AE123" i="23"/>
  <c r="AB123" i="23"/>
  <c r="AF123" i="23"/>
  <c r="AC123" i="23"/>
  <c r="W123" i="23"/>
  <c r="X123" i="23"/>
  <c r="Y123" i="23"/>
  <c r="AF118" i="23"/>
  <c r="AG118" i="23"/>
  <c r="AA118" i="23"/>
  <c r="AB118" i="23"/>
  <c r="AE118" i="23"/>
  <c r="AC118" i="23"/>
  <c r="W118" i="23"/>
  <c r="X118" i="23"/>
  <c r="Y118" i="23"/>
  <c r="AE100" i="23"/>
  <c r="AF100" i="23"/>
  <c r="AG100" i="23"/>
  <c r="AB100" i="23"/>
  <c r="AA100" i="23"/>
  <c r="AC100" i="23"/>
  <c r="Y100" i="23"/>
  <c r="W100" i="23"/>
  <c r="X100" i="23"/>
  <c r="AE113" i="23"/>
  <c r="AF113" i="23"/>
  <c r="AG113" i="23"/>
  <c r="AA113" i="23"/>
  <c r="AC113" i="23"/>
  <c r="AB113" i="23"/>
  <c r="W113" i="23"/>
  <c r="X113" i="23"/>
  <c r="Y113" i="23"/>
  <c r="AG115" i="23"/>
  <c r="AA115" i="23"/>
  <c r="AB115" i="23"/>
  <c r="AC115" i="23"/>
  <c r="AE115" i="23"/>
  <c r="AF115" i="23"/>
  <c r="W115" i="23"/>
  <c r="X115" i="23"/>
  <c r="Y115" i="23"/>
  <c r="AG107" i="23"/>
  <c r="AA107" i="23"/>
  <c r="AB107" i="23"/>
  <c r="AC107" i="23"/>
  <c r="AE107" i="23"/>
  <c r="AF107" i="23"/>
  <c r="W107" i="23"/>
  <c r="X107" i="23"/>
  <c r="Y107" i="23"/>
  <c r="AA96" i="23"/>
  <c r="AB96" i="23"/>
  <c r="AC96" i="23"/>
  <c r="AE96" i="23"/>
  <c r="AF96" i="23"/>
  <c r="AG96" i="23"/>
  <c r="W96" i="23"/>
  <c r="X96" i="23"/>
  <c r="Y96" i="23"/>
  <c r="AF110" i="23"/>
  <c r="AG110" i="23"/>
  <c r="AA110" i="23"/>
  <c r="AB110" i="23"/>
  <c r="AC110" i="23"/>
  <c r="AE110" i="23"/>
  <c r="W110" i="23"/>
  <c r="X110" i="23"/>
  <c r="Y110" i="23"/>
  <c r="AB106" i="23"/>
  <c r="AC106" i="23"/>
  <c r="AE106" i="23"/>
  <c r="AF106" i="23"/>
  <c r="AG106" i="23"/>
  <c r="AA106" i="23"/>
  <c r="W106" i="23"/>
  <c r="X106" i="23"/>
  <c r="Y106" i="23"/>
  <c r="AE97" i="23"/>
  <c r="AF97" i="23"/>
  <c r="AG97" i="23"/>
  <c r="AA97" i="23"/>
  <c r="AC97" i="23"/>
  <c r="AB97" i="23"/>
  <c r="W97" i="23"/>
  <c r="X97" i="23"/>
  <c r="Y97" i="23"/>
  <c r="AB90" i="23"/>
  <c r="AC90" i="23"/>
  <c r="AE90" i="23"/>
  <c r="AF90" i="23"/>
  <c r="AG90" i="23"/>
  <c r="AA90" i="23"/>
  <c r="W90" i="23"/>
  <c r="X90" i="23"/>
  <c r="Y90" i="23"/>
  <c r="AC95" i="23"/>
  <c r="AE95" i="23"/>
  <c r="AF95" i="23"/>
  <c r="AG95" i="23"/>
  <c r="AA95" i="23"/>
  <c r="AB95" i="23"/>
  <c r="X95" i="23"/>
  <c r="Y95" i="23"/>
  <c r="W95" i="23"/>
  <c r="AG83" i="23"/>
  <c r="AA83" i="23"/>
  <c r="AB83" i="23"/>
  <c r="AC83" i="23"/>
  <c r="AE83" i="23"/>
  <c r="AF83" i="23"/>
  <c r="W83" i="23"/>
  <c r="X83" i="23"/>
  <c r="Y83" i="23"/>
  <c r="AG81" i="23"/>
  <c r="AF81" i="23"/>
  <c r="AE81" i="23"/>
  <c r="AC81" i="23"/>
  <c r="AB81" i="23"/>
  <c r="AA81" i="23"/>
  <c r="Y81" i="23"/>
  <c r="X81" i="23"/>
  <c r="W81" i="23"/>
  <c r="AF102" i="23"/>
  <c r="AG102" i="23"/>
  <c r="AA102" i="23"/>
  <c r="AB102" i="23"/>
  <c r="AC102" i="23"/>
  <c r="AE102" i="23"/>
  <c r="W102" i="23"/>
  <c r="X102" i="23"/>
  <c r="Y102" i="23"/>
  <c r="AB114" i="23"/>
  <c r="AC114" i="23"/>
  <c r="AE114" i="23"/>
  <c r="AF114" i="23"/>
  <c r="AG114" i="23"/>
  <c r="AA114" i="23"/>
  <c r="W114" i="23"/>
  <c r="X114" i="23"/>
  <c r="Y114" i="23"/>
  <c r="AE105" i="23"/>
  <c r="AF105" i="23"/>
  <c r="AG105" i="23"/>
  <c r="AA105" i="23"/>
  <c r="AC105" i="23"/>
  <c r="AB105" i="23"/>
  <c r="W105" i="23"/>
  <c r="X105" i="23"/>
  <c r="Y105" i="23"/>
  <c r="AB82" i="23"/>
  <c r="AC82" i="23"/>
  <c r="AE82" i="23"/>
  <c r="AF82" i="23"/>
  <c r="AG82" i="23"/>
  <c r="AA82" i="23"/>
  <c r="W82" i="23"/>
  <c r="X82" i="23"/>
  <c r="Y82" i="23"/>
  <c r="AB98" i="23"/>
  <c r="AC98" i="23"/>
  <c r="AE98" i="23"/>
  <c r="AF98" i="23"/>
  <c r="AG98" i="23"/>
  <c r="AA98" i="23"/>
  <c r="W98" i="23"/>
  <c r="X98" i="23"/>
  <c r="Y98" i="23"/>
  <c r="AE84" i="23"/>
  <c r="AF84" i="23"/>
  <c r="AG84" i="23"/>
  <c r="AA84" i="23"/>
  <c r="AB84" i="23"/>
  <c r="AC84" i="23"/>
  <c r="Y84" i="23"/>
  <c r="W84" i="23"/>
  <c r="X84" i="23"/>
  <c r="AC111" i="23"/>
  <c r="AE111" i="23"/>
  <c r="AF111" i="23"/>
  <c r="AG111" i="23"/>
  <c r="AA111" i="23"/>
  <c r="AB111" i="23"/>
  <c r="X111" i="23"/>
  <c r="Y111" i="23"/>
  <c r="W111" i="23"/>
  <c r="AE89" i="23"/>
  <c r="AF89" i="23"/>
  <c r="AG89" i="23"/>
  <c r="AA89" i="23"/>
  <c r="AC89" i="23"/>
  <c r="AB89" i="23"/>
  <c r="W89" i="23"/>
  <c r="X89" i="23"/>
  <c r="Y89" i="23"/>
  <c r="AE121" i="23"/>
  <c r="AF121" i="23"/>
  <c r="AG121" i="23"/>
  <c r="AA121" i="23"/>
  <c r="AC121" i="23"/>
  <c r="AB121" i="23"/>
  <c r="W121" i="23"/>
  <c r="X121" i="23"/>
  <c r="Y121" i="23"/>
  <c r="AA85" i="23"/>
  <c r="AB85" i="23"/>
  <c r="AC85" i="23"/>
  <c r="AE85" i="23"/>
  <c r="AF85" i="23"/>
  <c r="AG85" i="23"/>
  <c r="W85" i="23"/>
  <c r="X85" i="23"/>
  <c r="Y85" i="23"/>
  <c r="AA104" i="23"/>
  <c r="AB104" i="23"/>
  <c r="AC104" i="23"/>
  <c r="AE104" i="23"/>
  <c r="AF104" i="23"/>
  <c r="AG104" i="23"/>
  <c r="W104" i="23"/>
  <c r="X104" i="23"/>
  <c r="Y104" i="23"/>
  <c r="AF94" i="23"/>
  <c r="AG94" i="23"/>
  <c r="AA94" i="23"/>
  <c r="AB94" i="23"/>
  <c r="AE94" i="23"/>
  <c r="AC94" i="23"/>
  <c r="W94" i="23"/>
  <c r="X94" i="23"/>
  <c r="Y94" i="23"/>
  <c r="AE92" i="23"/>
  <c r="AF92" i="23"/>
  <c r="AG92" i="23"/>
  <c r="AB92" i="23"/>
  <c r="AA92" i="23"/>
  <c r="AC92" i="23"/>
  <c r="Y92" i="23"/>
  <c r="W92" i="23"/>
  <c r="X92" i="23"/>
  <c r="AA120" i="23"/>
  <c r="AB120" i="23"/>
  <c r="AC120" i="23"/>
  <c r="AE120" i="23"/>
  <c r="AF120" i="23"/>
  <c r="AG120" i="23"/>
  <c r="W120" i="23"/>
  <c r="X120" i="23"/>
  <c r="Y120" i="23"/>
  <c r="AC103" i="23"/>
  <c r="AE103" i="23"/>
  <c r="AF103" i="23"/>
  <c r="AG103" i="23"/>
  <c r="AA103" i="23"/>
  <c r="AB103" i="23"/>
  <c r="X103" i="23"/>
  <c r="Y103" i="23"/>
  <c r="W103" i="23"/>
  <c r="G25" i="25"/>
  <c r="G26" i="25" s="1"/>
  <c r="G27" i="25" s="1"/>
  <c r="G28" i="25" s="1"/>
  <c r="G29" i="25" s="1"/>
  <c r="G30" i="25" s="1"/>
  <c r="G31" i="25" s="1"/>
  <c r="G32" i="25" s="1"/>
  <c r="G33" i="25" s="1"/>
  <c r="G34" i="25" s="1"/>
  <c r="G35" i="25" s="1"/>
  <c r="G36" i="25" s="1"/>
  <c r="G37" i="25" s="1"/>
  <c r="G38" i="25" s="1"/>
  <c r="G39" i="25" s="1"/>
  <c r="G40" i="25" s="1"/>
  <c r="G41" i="25" s="1"/>
  <c r="G42" i="25" s="1"/>
  <c r="G43" i="25" s="1"/>
  <c r="G44" i="25" s="1"/>
  <c r="X70" i="26"/>
  <c r="E63" i="16" s="1"/>
  <c r="X80" i="26"/>
  <c r="E107" i="16" s="1"/>
  <c r="X110" i="26"/>
  <c r="E110" i="16" s="1"/>
  <c r="X120" i="26"/>
  <c r="E111" i="16" s="1"/>
  <c r="X90" i="26"/>
  <c r="E108" i="16" s="1"/>
  <c r="X100" i="26"/>
  <c r="E109" i="16" s="1"/>
  <c r="B55" i="19"/>
  <c r="B56" i="19" s="1"/>
  <c r="B57" i="19" s="1"/>
  <c r="B58" i="19" s="1"/>
  <c r="B59" i="19" s="1"/>
  <c r="B60" i="19" s="1"/>
  <c r="B61" i="19" s="1"/>
  <c r="B62" i="19" s="1"/>
  <c r="B63" i="19" s="1"/>
  <c r="B64" i="19" s="1"/>
  <c r="B65" i="19" s="1"/>
  <c r="B66" i="19" s="1"/>
  <c r="B67" i="19" s="1"/>
  <c r="B68" i="19" s="1"/>
  <c r="B69" i="19" s="1"/>
  <c r="B70" i="19" s="1"/>
  <c r="B71" i="19" s="1"/>
  <c r="B72" i="19" s="1"/>
  <c r="B73" i="19" s="1"/>
  <c r="B74" i="19" s="1"/>
  <c r="E97" i="16"/>
  <c r="G45" i="19"/>
  <c r="G46" i="19" s="1"/>
  <c r="G47" i="19" s="1"/>
  <c r="G48" i="19" s="1"/>
  <c r="G49" i="19" s="1"/>
  <c r="G50" i="19" s="1"/>
  <c r="G51" i="19" s="1"/>
  <c r="G52" i="19" s="1"/>
  <c r="G53" i="19" s="1"/>
  <c r="G54" i="19" s="1"/>
  <c r="C84" i="16"/>
  <c r="C45" i="19"/>
  <c r="C46" i="19" s="1"/>
  <c r="C47" i="19" s="1"/>
  <c r="C48" i="19" s="1"/>
  <c r="C49" i="19" s="1"/>
  <c r="C50" i="19" s="1"/>
  <c r="C51" i="19" s="1"/>
  <c r="C52" i="19" s="1"/>
  <c r="C53" i="19" s="1"/>
  <c r="C54" i="19" s="1"/>
  <c r="C97" i="16"/>
  <c r="F45" i="19"/>
  <c r="F46" i="19" s="1"/>
  <c r="F47" i="19" s="1"/>
  <c r="F48" i="19" s="1"/>
  <c r="F49" i="19" s="1"/>
  <c r="F50" i="19" s="1"/>
  <c r="F51" i="19" s="1"/>
  <c r="F52" i="19" s="1"/>
  <c r="F53" i="19" s="1"/>
  <c r="F54" i="19" s="1"/>
  <c r="F25" i="25"/>
  <c r="F26" i="25" s="1"/>
  <c r="F27" i="25" s="1"/>
  <c r="F28" i="25" s="1"/>
  <c r="F29" i="25" s="1"/>
  <c r="F30" i="25" s="1"/>
  <c r="F31" i="25" s="1"/>
  <c r="F32" i="25" s="1"/>
  <c r="F33" i="25" s="1"/>
  <c r="F34" i="25" s="1"/>
  <c r="D95" i="16"/>
  <c r="B15" i="25"/>
  <c r="B16" i="25" s="1"/>
  <c r="B17" i="25" s="1"/>
  <c r="B18" i="25" s="1"/>
  <c r="B19" i="25" s="1"/>
  <c r="B20" i="25" s="1"/>
  <c r="B21" i="25" s="1"/>
  <c r="B22" i="25" s="1"/>
  <c r="B23" i="25" s="1"/>
  <c r="B24" i="25" s="1"/>
  <c r="F81" i="16"/>
  <c r="B23" i="26"/>
  <c r="Q23" i="23"/>
  <c r="Z50" i="26"/>
  <c r="E69" i="16" s="1"/>
  <c r="M99" i="26"/>
  <c r="X50" i="26"/>
  <c r="E61" i="16" s="1"/>
  <c r="Z40" i="26"/>
  <c r="E68" i="16" s="1"/>
  <c r="E71" i="16"/>
  <c r="Z60" i="26"/>
  <c r="E70" i="16" s="1"/>
  <c r="X10" i="26"/>
  <c r="E57" i="16" s="1"/>
  <c r="Z30" i="26"/>
  <c r="E67" i="16" s="1"/>
  <c r="L50" i="26"/>
  <c r="Z20" i="26"/>
  <c r="E66" i="16" s="1"/>
  <c r="Z10" i="26"/>
  <c r="E65" i="16" s="1"/>
  <c r="X30" i="26"/>
  <c r="E59" i="16" s="1"/>
  <c r="X20" i="26"/>
  <c r="E58" i="16" s="1"/>
  <c r="X40" i="26"/>
  <c r="E60" i="16" s="1"/>
  <c r="X60" i="26"/>
  <c r="E62" i="16" s="1"/>
  <c r="AP93" i="9"/>
  <c r="AR93" i="9" s="1"/>
  <c r="AQ93" i="9"/>
  <c r="AP92" i="9"/>
  <c r="AR92" i="9" s="1"/>
  <c r="AQ92" i="9"/>
  <c r="AP95" i="9"/>
  <c r="AR95" i="9" s="1"/>
  <c r="AQ95" i="9"/>
  <c r="P78" i="23"/>
  <c r="C93" i="26"/>
  <c r="O78" i="23"/>
  <c r="B78" i="26"/>
  <c r="M113" i="26"/>
  <c r="M122" i="26"/>
  <c r="C105" i="26"/>
  <c r="B18" i="26"/>
  <c r="Q18" i="23"/>
  <c r="O18" i="23"/>
  <c r="P18" i="23"/>
  <c r="Q5" i="23"/>
  <c r="U5" i="23" s="1"/>
  <c r="I5" i="23"/>
  <c r="I6" i="23" s="1"/>
  <c r="I7" i="23" s="1"/>
  <c r="I8" i="23" s="1"/>
  <c r="I9" i="23" s="1"/>
  <c r="I10" i="23" s="1"/>
  <c r="I11" i="23" s="1"/>
  <c r="I12" i="23" s="1"/>
  <c r="I13" i="23" s="1"/>
  <c r="I14" i="23" s="1"/>
  <c r="I15" i="23" s="1"/>
  <c r="I16" i="23" s="1"/>
  <c r="I17" i="23" s="1"/>
  <c r="I18" i="23" s="1"/>
  <c r="I19" i="23" s="1"/>
  <c r="I20" i="23" s="1"/>
  <c r="I21" i="23" s="1"/>
  <c r="I22" i="23" s="1"/>
  <c r="I23" i="23" s="1"/>
  <c r="I24" i="23" s="1"/>
  <c r="I25" i="23" s="1"/>
  <c r="I26" i="23" s="1"/>
  <c r="I27" i="23" s="1"/>
  <c r="I28" i="23" s="1"/>
  <c r="I29" i="23" s="1"/>
  <c r="I30" i="23" s="1"/>
  <c r="I31" i="23" s="1"/>
  <c r="I32" i="23" s="1"/>
  <c r="I33" i="23" s="1"/>
  <c r="I34" i="23" s="1"/>
  <c r="I35" i="23" s="1"/>
  <c r="I36" i="23" s="1"/>
  <c r="I37" i="23" s="1"/>
  <c r="I38" i="23" s="1"/>
  <c r="I39" i="23" s="1"/>
  <c r="I40" i="23" s="1"/>
  <c r="I41" i="23" s="1"/>
  <c r="I42" i="23" s="1"/>
  <c r="I43" i="23" s="1"/>
  <c r="I44" i="23" s="1"/>
  <c r="I45" i="23" s="1"/>
  <c r="I46" i="23" s="1"/>
  <c r="I47" i="23" s="1"/>
  <c r="I48" i="23" s="1"/>
  <c r="I49" i="23" s="1"/>
  <c r="I50" i="23" s="1"/>
  <c r="I51" i="23" s="1"/>
  <c r="I52" i="23" s="1"/>
  <c r="I53" i="23" s="1"/>
  <c r="I54" i="23" s="1"/>
  <c r="I55" i="23" s="1"/>
  <c r="I56" i="23" s="1"/>
  <c r="I57" i="23" s="1"/>
  <c r="I58" i="23" s="1"/>
  <c r="I59" i="23" s="1"/>
  <c r="I60" i="23" s="1"/>
  <c r="I61" i="23" s="1"/>
  <c r="I62" i="23" s="1"/>
  <c r="I63" i="23" s="1"/>
  <c r="I64" i="23" s="1"/>
  <c r="I65" i="23" s="1"/>
  <c r="I66" i="23" s="1"/>
  <c r="I67" i="23" s="1"/>
  <c r="I68" i="23" s="1"/>
  <c r="I69" i="23" s="1"/>
  <c r="I70" i="23" s="1"/>
  <c r="I71" i="23" s="1"/>
  <c r="I72" i="23" s="1"/>
  <c r="I73" i="23" s="1"/>
  <c r="I74" i="23" s="1"/>
  <c r="I75" i="23" s="1"/>
  <c r="I76" i="23" s="1"/>
  <c r="I77" i="23" s="1"/>
  <c r="I78" i="23" s="1"/>
  <c r="I79" i="23" s="1"/>
  <c r="I80" i="23" s="1"/>
  <c r="I81" i="23" s="1"/>
  <c r="I82" i="23" s="1"/>
  <c r="I83" i="23" s="1"/>
  <c r="I84" i="23" s="1"/>
  <c r="I85" i="23" s="1"/>
  <c r="I86" i="23" s="1"/>
  <c r="I87" i="23" s="1"/>
  <c r="I88" i="23" s="1"/>
  <c r="I89" i="23" s="1"/>
  <c r="I90" i="23" s="1"/>
  <c r="I91" i="23" s="1"/>
  <c r="I92" i="23" s="1"/>
  <c r="I93" i="23" s="1"/>
  <c r="I94" i="23" s="1"/>
  <c r="I95" i="23" s="1"/>
  <c r="I96" i="23" s="1"/>
  <c r="I97" i="23" s="1"/>
  <c r="I98" i="23" s="1"/>
  <c r="I99" i="23" s="1"/>
  <c r="I100" i="23" s="1"/>
  <c r="I101" i="23" s="1"/>
  <c r="I102" i="23" s="1"/>
  <c r="I103" i="23" s="1"/>
  <c r="I104" i="23" s="1"/>
  <c r="I105" i="23" s="1"/>
  <c r="I106" i="23" s="1"/>
  <c r="I107" i="23" s="1"/>
  <c r="I108" i="23" s="1"/>
  <c r="I109" i="23" s="1"/>
  <c r="I110" i="23" s="1"/>
  <c r="I111" i="23" s="1"/>
  <c r="I112" i="23" s="1"/>
  <c r="I113" i="23" s="1"/>
  <c r="I114" i="23" s="1"/>
  <c r="I115" i="23" s="1"/>
  <c r="I116" i="23" s="1"/>
  <c r="I117" i="23" s="1"/>
  <c r="I118" i="23" s="1"/>
  <c r="I119" i="23" s="1"/>
  <c r="I120" i="23" s="1"/>
  <c r="I121" i="23" s="1"/>
  <c r="I122" i="23" s="1"/>
  <c r="I123" i="23" s="1"/>
  <c r="I124" i="23" s="1"/>
  <c r="I125" i="23" s="1"/>
  <c r="C4" i="25"/>
  <c r="P5" i="23"/>
  <c r="T5" i="23" s="1"/>
  <c r="O5" i="23"/>
  <c r="S5" i="23" s="1"/>
  <c r="M110" i="26"/>
  <c r="M124" i="26"/>
  <c r="AK81" i="24"/>
  <c r="AS81" i="24" s="1"/>
  <c r="AQ81" i="24"/>
  <c r="AY81" i="24" s="1"/>
  <c r="AL81" i="24"/>
  <c r="AT81" i="24" s="1"/>
  <c r="AP81" i="24"/>
  <c r="AX81" i="24" s="1"/>
  <c r="AM81" i="24"/>
  <c r="AU81" i="24" s="1"/>
  <c r="AI81" i="24"/>
  <c r="M81" i="26"/>
  <c r="AD81" i="24"/>
  <c r="AF81" i="24"/>
  <c r="AH81" i="24"/>
  <c r="AE81" i="24"/>
  <c r="AO81" i="24"/>
  <c r="AW81" i="24" s="1"/>
  <c r="AG81" i="24"/>
  <c r="M98" i="26"/>
  <c r="M90" i="26"/>
  <c r="P28" i="23"/>
  <c r="Q28" i="23"/>
  <c r="O28" i="23"/>
  <c r="B28" i="26"/>
  <c r="C81" i="26"/>
  <c r="B72" i="26"/>
  <c r="Q72" i="23"/>
  <c r="P72" i="23"/>
  <c r="O72" i="23"/>
  <c r="P46" i="23"/>
  <c r="B46" i="26"/>
  <c r="O46" i="23"/>
  <c r="Q46" i="23"/>
  <c r="O74" i="23"/>
  <c r="Q74" i="23"/>
  <c r="B74" i="26"/>
  <c r="P74" i="23"/>
  <c r="O17" i="23"/>
  <c r="B17" i="26"/>
  <c r="Q17" i="23"/>
  <c r="P17" i="23"/>
  <c r="C112" i="26"/>
  <c r="P12" i="23"/>
  <c r="B12" i="26"/>
  <c r="O12" i="23"/>
  <c r="Q12" i="23"/>
  <c r="Q24" i="23"/>
  <c r="P24" i="23"/>
  <c r="B24" i="26"/>
  <c r="O24" i="23"/>
  <c r="B19" i="26"/>
  <c r="Q19" i="23"/>
  <c r="P19" i="23"/>
  <c r="O19" i="23"/>
  <c r="C107" i="26"/>
  <c r="C115" i="26"/>
  <c r="C95" i="26"/>
  <c r="C94" i="26"/>
  <c r="M125" i="26"/>
  <c r="M83" i="26"/>
  <c r="Q35" i="23"/>
  <c r="B35" i="26"/>
  <c r="O35" i="23"/>
  <c r="P35" i="23"/>
  <c r="C88" i="26"/>
  <c r="C92" i="26"/>
  <c r="Q14" i="23"/>
  <c r="O14" i="23"/>
  <c r="P14" i="23"/>
  <c r="B14" i="26"/>
  <c r="C97" i="26"/>
  <c r="C91" i="26"/>
  <c r="C82" i="26"/>
  <c r="C86" i="26"/>
  <c r="O56" i="23"/>
  <c r="B56" i="26"/>
  <c r="Q56" i="23"/>
  <c r="P56" i="23"/>
  <c r="O29" i="23"/>
  <c r="Q29" i="23"/>
  <c r="P29" i="23"/>
  <c r="B29" i="26"/>
  <c r="B15" i="26"/>
  <c r="Q15" i="23"/>
  <c r="P15" i="23"/>
  <c r="O15" i="23"/>
  <c r="B80" i="26"/>
  <c r="P80" i="23"/>
  <c r="O80" i="23"/>
  <c r="Q80" i="23"/>
  <c r="Q70" i="23"/>
  <c r="P70" i="23"/>
  <c r="B70" i="26"/>
  <c r="O70" i="23"/>
  <c r="O61" i="23"/>
  <c r="B61" i="26"/>
  <c r="Q61" i="23"/>
  <c r="P61" i="23"/>
  <c r="O38" i="23"/>
  <c r="Q38" i="23"/>
  <c r="B38" i="26"/>
  <c r="P38" i="23"/>
  <c r="Q30" i="23"/>
  <c r="B30" i="26"/>
  <c r="O30" i="23"/>
  <c r="P30" i="23"/>
  <c r="P44" i="23"/>
  <c r="Q44" i="23"/>
  <c r="B44" i="26"/>
  <c r="O44" i="23"/>
  <c r="M118" i="26"/>
  <c r="B37" i="26"/>
  <c r="O37" i="23"/>
  <c r="P37" i="23"/>
  <c r="Q37" i="23"/>
  <c r="B26" i="26"/>
  <c r="P26" i="23"/>
  <c r="O26" i="23"/>
  <c r="Q26" i="23"/>
  <c r="M109" i="26"/>
  <c r="M117" i="26"/>
  <c r="M104" i="26"/>
  <c r="M89" i="26"/>
  <c r="M119" i="26"/>
  <c r="M107" i="26"/>
  <c r="M112" i="26"/>
  <c r="Q22" i="23"/>
  <c r="B22" i="26"/>
  <c r="P22" i="23"/>
  <c r="O22" i="23"/>
  <c r="C104" i="26"/>
  <c r="P40" i="23"/>
  <c r="B40" i="26"/>
  <c r="O40" i="23"/>
  <c r="Q40" i="23"/>
  <c r="Q69" i="23"/>
  <c r="P69" i="23"/>
  <c r="O69" i="23"/>
  <c r="B69" i="26"/>
  <c r="C103" i="26"/>
  <c r="O75" i="23"/>
  <c r="B75" i="26"/>
  <c r="P75" i="23"/>
  <c r="Q75" i="23"/>
  <c r="B8" i="26"/>
  <c r="Q8" i="23"/>
  <c r="P8" i="23"/>
  <c r="O8" i="23"/>
  <c r="C90" i="26"/>
  <c r="Q20" i="23"/>
  <c r="B20" i="26"/>
  <c r="P20" i="23"/>
  <c r="O20" i="23"/>
  <c r="C87" i="26"/>
  <c r="C113" i="26"/>
  <c r="C110" i="26"/>
  <c r="C83" i="26"/>
  <c r="B31" i="26"/>
  <c r="Q31" i="23"/>
  <c r="O31" i="23"/>
  <c r="P31" i="23"/>
  <c r="M114" i="26"/>
  <c r="M84" i="26"/>
  <c r="O47" i="23"/>
  <c r="Q47" i="23"/>
  <c r="P47" i="23"/>
  <c r="B47" i="26"/>
  <c r="B57" i="26"/>
  <c r="Q57" i="23"/>
  <c r="O57" i="23"/>
  <c r="P57" i="23"/>
  <c r="M123" i="26"/>
  <c r="M105" i="26"/>
  <c r="M96" i="26"/>
  <c r="M86" i="26"/>
  <c r="L5" i="26"/>
  <c r="I5" i="24"/>
  <c r="I6" i="24" s="1"/>
  <c r="I7" i="24" s="1"/>
  <c r="I8" i="24" s="1"/>
  <c r="I9" i="24" s="1"/>
  <c r="I10" i="24" s="1"/>
  <c r="I11" i="24" s="1"/>
  <c r="I12" i="24" s="1"/>
  <c r="I13" i="24" s="1"/>
  <c r="I14" i="24" s="1"/>
  <c r="I15" i="24" s="1"/>
  <c r="I16" i="24" s="1"/>
  <c r="I17" i="24" s="1"/>
  <c r="I18" i="24" s="1"/>
  <c r="I19" i="24" s="1"/>
  <c r="I20" i="24" s="1"/>
  <c r="I21" i="24" s="1"/>
  <c r="I22" i="24" s="1"/>
  <c r="I23" i="24" s="1"/>
  <c r="I24" i="24" s="1"/>
  <c r="I25" i="24" s="1"/>
  <c r="I26" i="24" s="1"/>
  <c r="I27" i="24" s="1"/>
  <c r="I28" i="24" s="1"/>
  <c r="I29" i="24" s="1"/>
  <c r="I30" i="24" s="1"/>
  <c r="I31" i="24" s="1"/>
  <c r="I32" i="24" s="1"/>
  <c r="I33" i="24" s="1"/>
  <c r="I34" i="24" s="1"/>
  <c r="I35" i="24" s="1"/>
  <c r="I36" i="24" s="1"/>
  <c r="I37" i="24" s="1"/>
  <c r="I38" i="24" s="1"/>
  <c r="I39" i="24" s="1"/>
  <c r="I40" i="24" s="1"/>
  <c r="I41" i="24" s="1"/>
  <c r="I42" i="24" s="1"/>
  <c r="I43" i="24" s="1"/>
  <c r="I44" i="24" s="1"/>
  <c r="I45" i="24" s="1"/>
  <c r="I46" i="24" s="1"/>
  <c r="I47" i="24" s="1"/>
  <c r="I48" i="24" s="1"/>
  <c r="I49" i="24" s="1"/>
  <c r="I50" i="24" s="1"/>
  <c r="I51" i="24" s="1"/>
  <c r="I52" i="24" s="1"/>
  <c r="I53" i="24" s="1"/>
  <c r="I54" i="24" s="1"/>
  <c r="I55" i="24" s="1"/>
  <c r="I56" i="24" s="1"/>
  <c r="I57" i="24" s="1"/>
  <c r="I58" i="24" s="1"/>
  <c r="I59" i="24" s="1"/>
  <c r="I60" i="24" s="1"/>
  <c r="I61" i="24" s="1"/>
  <c r="I62" i="24" s="1"/>
  <c r="I63" i="24" s="1"/>
  <c r="I64" i="24" s="1"/>
  <c r="I65" i="24" s="1"/>
  <c r="I66" i="24" s="1"/>
  <c r="I67" i="24" s="1"/>
  <c r="I68" i="24" s="1"/>
  <c r="I69" i="24" s="1"/>
  <c r="I70" i="24" s="1"/>
  <c r="I71" i="24" s="1"/>
  <c r="I72" i="24" s="1"/>
  <c r="I73" i="24" s="1"/>
  <c r="I74" i="24" s="1"/>
  <c r="I75" i="24" s="1"/>
  <c r="I76" i="24" s="1"/>
  <c r="I77" i="24" s="1"/>
  <c r="I78" i="24" s="1"/>
  <c r="I79" i="24" s="1"/>
  <c r="I80" i="24" s="1"/>
  <c r="I81" i="24" s="1"/>
  <c r="I82" i="24" s="1"/>
  <c r="I83" i="24" s="1"/>
  <c r="I84" i="24" s="1"/>
  <c r="I85" i="24" s="1"/>
  <c r="I86" i="24" s="1"/>
  <c r="I87" i="24" s="1"/>
  <c r="I88" i="24" s="1"/>
  <c r="I89" i="24" s="1"/>
  <c r="I90" i="24" s="1"/>
  <c r="I91" i="24" s="1"/>
  <c r="I92" i="24" s="1"/>
  <c r="I93" i="24" s="1"/>
  <c r="I94" i="24" s="1"/>
  <c r="I95" i="24" s="1"/>
  <c r="I96" i="24" s="1"/>
  <c r="I97" i="24" s="1"/>
  <c r="I98" i="24" s="1"/>
  <c r="I99" i="24" s="1"/>
  <c r="I100" i="24" s="1"/>
  <c r="I101" i="24" s="1"/>
  <c r="I102" i="24" s="1"/>
  <c r="I103" i="24" s="1"/>
  <c r="I104" i="24" s="1"/>
  <c r="I105" i="24" s="1"/>
  <c r="I106" i="24" s="1"/>
  <c r="I107" i="24" s="1"/>
  <c r="I108" i="24" s="1"/>
  <c r="I109" i="24" s="1"/>
  <c r="I110" i="24" s="1"/>
  <c r="I111" i="24" s="1"/>
  <c r="I112" i="24" s="1"/>
  <c r="I113" i="24" s="1"/>
  <c r="I114" i="24" s="1"/>
  <c r="I115" i="24" s="1"/>
  <c r="I116" i="24" s="1"/>
  <c r="I117" i="24" s="1"/>
  <c r="I118" i="24" s="1"/>
  <c r="I119" i="24" s="1"/>
  <c r="I120" i="24" s="1"/>
  <c r="I121" i="24" s="1"/>
  <c r="I122" i="24" s="1"/>
  <c r="I123" i="24" s="1"/>
  <c r="I124" i="24" s="1"/>
  <c r="I125" i="24" s="1"/>
  <c r="M92" i="26"/>
  <c r="M93" i="26"/>
  <c r="B79" i="26"/>
  <c r="O79" i="23"/>
  <c r="P79" i="23"/>
  <c r="Q79" i="23"/>
  <c r="O53" i="23"/>
  <c r="P53" i="23"/>
  <c r="B53" i="26"/>
  <c r="Q53" i="23"/>
  <c r="Q65" i="23"/>
  <c r="B65" i="26"/>
  <c r="O65" i="23"/>
  <c r="P65" i="23"/>
  <c r="B58" i="26"/>
  <c r="Q58" i="23"/>
  <c r="O58" i="23"/>
  <c r="P58" i="23"/>
  <c r="P64" i="23"/>
  <c r="O64" i="23"/>
  <c r="B64" i="26"/>
  <c r="Q64" i="23"/>
  <c r="C106" i="26"/>
  <c r="P66" i="23"/>
  <c r="O66" i="23"/>
  <c r="Q66" i="23"/>
  <c r="B66" i="26"/>
  <c r="Q42" i="23"/>
  <c r="O42" i="23"/>
  <c r="P42" i="23"/>
  <c r="B42" i="26"/>
  <c r="C116" i="26"/>
  <c r="B73" i="26"/>
  <c r="Q73" i="23"/>
  <c r="P73" i="23"/>
  <c r="O73" i="23"/>
  <c r="P16" i="23"/>
  <c r="O16" i="23"/>
  <c r="B16" i="26"/>
  <c r="Q16" i="23"/>
  <c r="B59" i="26"/>
  <c r="P59" i="23"/>
  <c r="O59" i="23"/>
  <c r="Q59" i="23"/>
  <c r="C125" i="26"/>
  <c r="C114" i="26"/>
  <c r="P7" i="23"/>
  <c r="Q7" i="23"/>
  <c r="O7" i="23"/>
  <c r="B7" i="26"/>
  <c r="P11" i="23"/>
  <c r="B11" i="26"/>
  <c r="Q11" i="23"/>
  <c r="O11" i="23"/>
  <c r="M91" i="26"/>
  <c r="M100" i="26"/>
  <c r="M106" i="26"/>
  <c r="M87" i="26"/>
  <c r="M121" i="26"/>
  <c r="Q10" i="23"/>
  <c r="P10" i="23"/>
  <c r="O10" i="23"/>
  <c r="B10" i="26"/>
  <c r="C121" i="26"/>
  <c r="P49" i="23"/>
  <c r="Q49" i="23"/>
  <c r="O49" i="23"/>
  <c r="B49" i="26"/>
  <c r="Q71" i="23"/>
  <c r="P71" i="23"/>
  <c r="B71" i="26"/>
  <c r="O71" i="23"/>
  <c r="C85" i="26"/>
  <c r="C108" i="26"/>
  <c r="B25" i="26"/>
  <c r="P25" i="23"/>
  <c r="O25" i="23"/>
  <c r="Q25" i="23"/>
  <c r="C96" i="26"/>
  <c r="C124" i="26"/>
  <c r="Q43" i="23"/>
  <c r="P43" i="23"/>
  <c r="O43" i="23"/>
  <c r="B43" i="26"/>
  <c r="C123" i="26"/>
  <c r="P34" i="23"/>
  <c r="B34" i="26"/>
  <c r="Q34" i="23"/>
  <c r="O34" i="23"/>
  <c r="P13" i="23"/>
  <c r="O13" i="23"/>
  <c r="Q13" i="23"/>
  <c r="B13" i="26"/>
  <c r="O67" i="23"/>
  <c r="Q67" i="23"/>
  <c r="P67" i="23"/>
  <c r="B67" i="26"/>
  <c r="Q39" i="23"/>
  <c r="B39" i="26"/>
  <c r="O39" i="23"/>
  <c r="P39" i="23"/>
  <c r="B36" i="26"/>
  <c r="P36" i="23"/>
  <c r="O36" i="23"/>
  <c r="Q36" i="23"/>
  <c r="B52" i="26"/>
  <c r="Q52" i="23"/>
  <c r="O52" i="23"/>
  <c r="P52" i="23"/>
  <c r="M120" i="26"/>
  <c r="M94" i="26"/>
  <c r="M108" i="26"/>
  <c r="M97" i="26"/>
  <c r="M95" i="26"/>
  <c r="M101" i="26"/>
  <c r="M115" i="26"/>
  <c r="M111" i="26"/>
  <c r="Q27" i="23"/>
  <c r="P27" i="23"/>
  <c r="B27" i="26"/>
  <c r="O27" i="23"/>
  <c r="C119" i="26"/>
  <c r="C109" i="26"/>
  <c r="C101" i="26"/>
  <c r="C99" i="26"/>
  <c r="C89" i="26"/>
  <c r="P51" i="23"/>
  <c r="O51" i="23"/>
  <c r="B51" i="26"/>
  <c r="Q51" i="23"/>
  <c r="C84" i="26"/>
  <c r="C122" i="26"/>
  <c r="C102" i="26"/>
  <c r="P63" i="23"/>
  <c r="Q63" i="23"/>
  <c r="O63" i="23"/>
  <c r="B63" i="26"/>
  <c r="Q60" i="23"/>
  <c r="O60" i="23"/>
  <c r="P60" i="23"/>
  <c r="B60" i="26"/>
  <c r="O32" i="23"/>
  <c r="P32" i="23"/>
  <c r="Q32" i="23"/>
  <c r="B32" i="26"/>
  <c r="B77" i="26"/>
  <c r="P77" i="23"/>
  <c r="Q77" i="23"/>
  <c r="O77" i="23"/>
  <c r="Q9" i="23"/>
  <c r="P9" i="23"/>
  <c r="B9" i="26"/>
  <c r="O9" i="23"/>
  <c r="M85" i="26"/>
  <c r="M102" i="26"/>
  <c r="C100" i="26"/>
  <c r="P76" i="23"/>
  <c r="B76" i="26"/>
  <c r="Q76" i="23"/>
  <c r="O76" i="23"/>
  <c r="M116" i="26"/>
  <c r="M82" i="26"/>
  <c r="M88" i="26"/>
  <c r="M103" i="26"/>
  <c r="Q45" i="23"/>
  <c r="O45" i="23"/>
  <c r="P45" i="23"/>
  <c r="B45" i="26"/>
  <c r="B54" i="26"/>
  <c r="Q54" i="23"/>
  <c r="P54" i="23"/>
  <c r="O54" i="23"/>
  <c r="C120" i="26"/>
  <c r="B62" i="26"/>
  <c r="O62" i="23"/>
  <c r="Q62" i="23"/>
  <c r="P62" i="23"/>
  <c r="P6" i="23"/>
  <c r="Q6" i="23"/>
  <c r="O6" i="23"/>
  <c r="B6" i="26"/>
  <c r="Q68" i="23"/>
  <c r="P68" i="23"/>
  <c r="B68" i="26"/>
  <c r="O68" i="23"/>
  <c r="O48" i="23"/>
  <c r="B48" i="26"/>
  <c r="Q48" i="23"/>
  <c r="P48" i="23"/>
  <c r="C117" i="26"/>
  <c r="O50" i="23"/>
  <c r="B50" i="26"/>
  <c r="Q50" i="23"/>
  <c r="P50" i="23"/>
  <c r="O55" i="23"/>
  <c r="Q55" i="23"/>
  <c r="P55" i="23"/>
  <c r="B55" i="26"/>
  <c r="C111" i="26"/>
  <c r="P21" i="23"/>
  <c r="O21" i="23"/>
  <c r="B21" i="26"/>
  <c r="Q21" i="23"/>
  <c r="P33" i="23"/>
  <c r="O33" i="23"/>
  <c r="B33" i="26"/>
  <c r="Q33" i="23"/>
  <c r="C98" i="26"/>
  <c r="C118" i="26"/>
  <c r="AH98" i="9"/>
  <c r="AS98" i="9"/>
  <c r="R103" i="9"/>
  <c r="AN103" i="9"/>
  <c r="R101" i="9"/>
  <c r="AG101" i="9" s="1"/>
  <c r="AN101" i="9"/>
  <c r="Y95" i="9"/>
  <c r="AE95" i="9" s="1"/>
  <c r="AH96" i="9"/>
  <c r="AS96" i="9"/>
  <c r="AI91" i="9"/>
  <c r="V91" i="9"/>
  <c r="N101" i="9"/>
  <c r="X101" i="9" s="1"/>
  <c r="AD101" i="9" s="1"/>
  <c r="O101" i="9"/>
  <c r="AF101" i="9" s="1"/>
  <c r="O103" i="9"/>
  <c r="AF103" i="9" s="1"/>
  <c r="N103" i="9"/>
  <c r="X103" i="9" s="1"/>
  <c r="AD103" i="9" s="1"/>
  <c r="Y92" i="9"/>
  <c r="AE92" i="9" s="1"/>
  <c r="Y91" i="9"/>
  <c r="AE91" i="9" s="1"/>
  <c r="AW50" i="9"/>
  <c r="AY50" i="9"/>
  <c r="P60" i="9"/>
  <c r="R60" i="9" s="1"/>
  <c r="P83" i="9"/>
  <c r="P86" i="9"/>
  <c r="P88" i="9"/>
  <c r="F96" i="16" l="1"/>
  <c r="D86" i="16"/>
  <c r="C98" i="16"/>
  <c r="F55" i="19"/>
  <c r="F56" i="19" s="1"/>
  <c r="F57" i="19" s="1"/>
  <c r="F58" i="19" s="1"/>
  <c r="F59" i="19" s="1"/>
  <c r="F60" i="19" s="1"/>
  <c r="F61" i="19" s="1"/>
  <c r="F62" i="19" s="1"/>
  <c r="F63" i="19" s="1"/>
  <c r="F64" i="19" s="1"/>
  <c r="C85" i="16"/>
  <c r="C55" i="19"/>
  <c r="C56" i="19" s="1"/>
  <c r="C57" i="19" s="1"/>
  <c r="C58" i="19" s="1"/>
  <c r="C59" i="19" s="1"/>
  <c r="C60" i="19" s="1"/>
  <c r="C61" i="19" s="1"/>
  <c r="C62" i="19" s="1"/>
  <c r="C63" i="19" s="1"/>
  <c r="C64" i="19" s="1"/>
  <c r="G55" i="19"/>
  <c r="G56" i="19" s="1"/>
  <c r="G57" i="19" s="1"/>
  <c r="G58" i="19" s="1"/>
  <c r="G59" i="19" s="1"/>
  <c r="G60" i="19" s="1"/>
  <c r="G61" i="19" s="1"/>
  <c r="G62" i="19" s="1"/>
  <c r="G63" i="19" s="1"/>
  <c r="G64" i="19" s="1"/>
  <c r="E98" i="16"/>
  <c r="D87" i="16"/>
  <c r="B75" i="19"/>
  <c r="B76" i="19" s="1"/>
  <c r="B77" i="19" s="1"/>
  <c r="B78" i="19" s="1"/>
  <c r="B79" i="19" s="1"/>
  <c r="B80" i="19" s="1"/>
  <c r="B81" i="19" s="1"/>
  <c r="B82" i="19" s="1"/>
  <c r="B83" i="19" s="1"/>
  <c r="B84" i="19" s="1"/>
  <c r="B85" i="19" s="1"/>
  <c r="B86" i="19" s="1"/>
  <c r="B87" i="19" s="1"/>
  <c r="B88" i="19" s="1"/>
  <c r="B89" i="19" s="1"/>
  <c r="B90" i="19" s="1"/>
  <c r="B91" i="19" s="1"/>
  <c r="B92" i="19" s="1"/>
  <c r="B93" i="19" s="1"/>
  <c r="B94" i="19" s="1"/>
  <c r="B95" i="19" s="1"/>
  <c r="B96" i="19" s="1"/>
  <c r="B97" i="19" s="1"/>
  <c r="B98" i="19" s="1"/>
  <c r="B99" i="19" s="1"/>
  <c r="B100" i="19" s="1"/>
  <c r="B101" i="19" s="1"/>
  <c r="B102" i="19" s="1"/>
  <c r="B103" i="19" s="1"/>
  <c r="B104" i="19" s="1"/>
  <c r="B105" i="19" s="1"/>
  <c r="B106" i="19" s="1"/>
  <c r="B107" i="19" s="1"/>
  <c r="B108" i="19" s="1"/>
  <c r="B109" i="19" s="1"/>
  <c r="B110" i="19" s="1"/>
  <c r="B111" i="19" s="1"/>
  <c r="B112" i="19" s="1"/>
  <c r="B113" i="19" s="1"/>
  <c r="B114" i="19" s="1"/>
  <c r="B115" i="19" s="1"/>
  <c r="B116" i="19" s="1"/>
  <c r="B117" i="19" s="1"/>
  <c r="B118" i="19" s="1"/>
  <c r="B119" i="19" s="1"/>
  <c r="B120" i="19" s="1"/>
  <c r="B121" i="19" s="1"/>
  <c r="B122" i="19" s="1"/>
  <c r="B123" i="19" s="1"/>
  <c r="B124" i="19" s="1"/>
  <c r="C5" i="25"/>
  <c r="C6" i="25" s="1"/>
  <c r="C7" i="25" s="1"/>
  <c r="C8" i="25" s="1"/>
  <c r="C9" i="25" s="1"/>
  <c r="C10" i="25" s="1"/>
  <c r="C11" i="25" s="1"/>
  <c r="C12" i="25" s="1"/>
  <c r="C13" i="25" s="1"/>
  <c r="C14" i="25" s="1"/>
  <c r="E80" i="16"/>
  <c r="B25" i="25"/>
  <c r="B26" i="25" s="1"/>
  <c r="B27" i="25" s="1"/>
  <c r="B28" i="25" s="1"/>
  <c r="B29" i="25" s="1"/>
  <c r="B30" i="25" s="1"/>
  <c r="B31" i="25" s="1"/>
  <c r="B32" i="25" s="1"/>
  <c r="B33" i="25" s="1"/>
  <c r="B34" i="25" s="1"/>
  <c r="F82" i="16"/>
  <c r="F35" i="25"/>
  <c r="F36" i="25" s="1"/>
  <c r="F37" i="25" s="1"/>
  <c r="F38" i="25" s="1"/>
  <c r="F39" i="25" s="1"/>
  <c r="F40" i="25" s="1"/>
  <c r="F41" i="25" s="1"/>
  <c r="F42" i="25" s="1"/>
  <c r="F43" i="25" s="1"/>
  <c r="F44" i="25" s="1"/>
  <c r="D96" i="16"/>
  <c r="G45" i="25"/>
  <c r="G46" i="25" s="1"/>
  <c r="G47" i="25" s="1"/>
  <c r="G48" i="25" s="1"/>
  <c r="G49" i="25" s="1"/>
  <c r="G50" i="25" s="1"/>
  <c r="G51" i="25" s="1"/>
  <c r="G52" i="25" s="1"/>
  <c r="G53" i="25" s="1"/>
  <c r="G54" i="25" s="1"/>
  <c r="F97" i="16"/>
  <c r="AP101" i="9"/>
  <c r="AR101" i="9" s="1"/>
  <c r="AQ101" i="9"/>
  <c r="AP103" i="9"/>
  <c r="AR103" i="9" s="1"/>
  <c r="AQ103" i="9"/>
  <c r="AI82" i="24"/>
  <c r="AI83" i="24" s="1"/>
  <c r="AI84" i="24" s="1"/>
  <c r="AI85" i="24" s="1"/>
  <c r="AI86" i="24" s="1"/>
  <c r="AI87" i="24" s="1"/>
  <c r="AI88" i="24" s="1"/>
  <c r="AI89" i="24" s="1"/>
  <c r="AI90" i="24" s="1"/>
  <c r="AI91" i="24" s="1"/>
  <c r="AI92" i="24" s="1"/>
  <c r="AI93" i="24" s="1"/>
  <c r="AI94" i="24" s="1"/>
  <c r="AI95" i="24" s="1"/>
  <c r="AI96" i="24" s="1"/>
  <c r="AI97" i="24" s="1"/>
  <c r="AI98" i="24" s="1"/>
  <c r="AI99" i="24" s="1"/>
  <c r="AI100" i="24" s="1"/>
  <c r="AI101" i="24" s="1"/>
  <c r="AI102" i="24" s="1"/>
  <c r="AI103" i="24" s="1"/>
  <c r="AI104" i="24" s="1"/>
  <c r="AI105" i="24" s="1"/>
  <c r="AI106" i="24" s="1"/>
  <c r="AI107" i="24" s="1"/>
  <c r="AI108" i="24" s="1"/>
  <c r="AI109" i="24" s="1"/>
  <c r="AI110" i="24" s="1"/>
  <c r="AI111" i="24" s="1"/>
  <c r="AI112" i="24" s="1"/>
  <c r="AI113" i="24" s="1"/>
  <c r="AI114" i="24" s="1"/>
  <c r="AI115" i="24" s="1"/>
  <c r="AI116" i="24" s="1"/>
  <c r="AI117" i="24" s="1"/>
  <c r="AI118" i="24" s="1"/>
  <c r="AI119" i="24" s="1"/>
  <c r="AI120" i="24" s="1"/>
  <c r="AI121" i="24" s="1"/>
  <c r="AI122" i="24" s="1"/>
  <c r="AI123" i="24" s="1"/>
  <c r="AI124" i="24" s="1"/>
  <c r="AI125" i="24" s="1"/>
  <c r="S6" i="23"/>
  <c r="S7" i="23" s="1"/>
  <c r="S8" i="23" s="1"/>
  <c r="S9" i="23" s="1"/>
  <c r="S10" i="23" s="1"/>
  <c r="S11" i="23" s="1"/>
  <c r="S12" i="23" s="1"/>
  <c r="S13" i="23" s="1"/>
  <c r="S14" i="23" s="1"/>
  <c r="S15" i="23" s="1"/>
  <c r="S16" i="23" s="1"/>
  <c r="S17" i="23" s="1"/>
  <c r="S18" i="23" s="1"/>
  <c r="S19" i="23" s="1"/>
  <c r="S20" i="23" s="1"/>
  <c r="S21" i="23" s="1"/>
  <c r="S22" i="23" s="1"/>
  <c r="S23" i="23" s="1"/>
  <c r="S24" i="23" s="1"/>
  <c r="S25" i="23" s="1"/>
  <c r="S26" i="23" s="1"/>
  <c r="S27" i="23" s="1"/>
  <c r="S28" i="23" s="1"/>
  <c r="S29" i="23" s="1"/>
  <c r="S30" i="23" s="1"/>
  <c r="S31" i="23" s="1"/>
  <c r="S32" i="23" s="1"/>
  <c r="S33" i="23" s="1"/>
  <c r="S34" i="23" s="1"/>
  <c r="S35" i="23" s="1"/>
  <c r="S36" i="23" s="1"/>
  <c r="S37" i="23" s="1"/>
  <c r="S38" i="23" s="1"/>
  <c r="S39" i="23" s="1"/>
  <c r="S40" i="23" s="1"/>
  <c r="S41" i="23" s="1"/>
  <c r="S42" i="23" s="1"/>
  <c r="S43" i="23" s="1"/>
  <c r="S44" i="23" s="1"/>
  <c r="S45" i="23" s="1"/>
  <c r="S46" i="23" s="1"/>
  <c r="S47" i="23" s="1"/>
  <c r="S48" i="23" s="1"/>
  <c r="S49" i="23" s="1"/>
  <c r="S50" i="23" s="1"/>
  <c r="S51" i="23" s="1"/>
  <c r="S52" i="23" s="1"/>
  <c r="S53" i="23" s="1"/>
  <c r="S54" i="23" s="1"/>
  <c r="S55" i="23" s="1"/>
  <c r="S56" i="23" s="1"/>
  <c r="S57" i="23" s="1"/>
  <c r="S58" i="23" s="1"/>
  <c r="S59" i="23" s="1"/>
  <c r="S60" i="23" s="1"/>
  <c r="S61" i="23" s="1"/>
  <c r="S62" i="23" s="1"/>
  <c r="S63" i="23" s="1"/>
  <c r="S64" i="23" s="1"/>
  <c r="S65" i="23" s="1"/>
  <c r="S66" i="23" s="1"/>
  <c r="S67" i="23" s="1"/>
  <c r="S68" i="23" s="1"/>
  <c r="S69" i="23" s="1"/>
  <c r="S70" i="23" s="1"/>
  <c r="S71" i="23" s="1"/>
  <c r="S72" i="23" s="1"/>
  <c r="S73" i="23" s="1"/>
  <c r="S74" i="23" s="1"/>
  <c r="S75" i="23" s="1"/>
  <c r="S76" i="23" s="1"/>
  <c r="S77" i="23" s="1"/>
  <c r="S78" i="23" s="1"/>
  <c r="S79" i="23" s="1"/>
  <c r="S80" i="23" s="1"/>
  <c r="AP82" i="24"/>
  <c r="AO82" i="24"/>
  <c r="AO83" i="24" s="1"/>
  <c r="AG103" i="9"/>
  <c r="AF82" i="24"/>
  <c r="AF83" i="24" s="1"/>
  <c r="AF84" i="24" s="1"/>
  <c r="AF85" i="24" s="1"/>
  <c r="AF86" i="24" s="1"/>
  <c r="AF87" i="24" s="1"/>
  <c r="AF88" i="24" s="1"/>
  <c r="AF89" i="24" s="1"/>
  <c r="AF90" i="24" s="1"/>
  <c r="AF91" i="24" s="1"/>
  <c r="AF92" i="24" s="1"/>
  <c r="AF93" i="24" s="1"/>
  <c r="AF94" i="24" s="1"/>
  <c r="AF95" i="24" s="1"/>
  <c r="AF96" i="24" s="1"/>
  <c r="AF97" i="24" s="1"/>
  <c r="AF98" i="24" s="1"/>
  <c r="AF99" i="24" s="1"/>
  <c r="AF100" i="24" s="1"/>
  <c r="AF101" i="24" s="1"/>
  <c r="AF102" i="24" s="1"/>
  <c r="AF103" i="24" s="1"/>
  <c r="AF104" i="24" s="1"/>
  <c r="AF105" i="24" s="1"/>
  <c r="AF106" i="24" s="1"/>
  <c r="AF107" i="24" s="1"/>
  <c r="AF108" i="24" s="1"/>
  <c r="AF109" i="24" s="1"/>
  <c r="AF110" i="24" s="1"/>
  <c r="AF111" i="24" s="1"/>
  <c r="AF112" i="24" s="1"/>
  <c r="AF113" i="24" s="1"/>
  <c r="AF114" i="24" s="1"/>
  <c r="AF115" i="24" s="1"/>
  <c r="AF116" i="24" s="1"/>
  <c r="AF117" i="24" s="1"/>
  <c r="AF118" i="24" s="1"/>
  <c r="AF119" i="24" s="1"/>
  <c r="AF120" i="24" s="1"/>
  <c r="AF121" i="24" s="1"/>
  <c r="AF122" i="24" s="1"/>
  <c r="AF123" i="24" s="1"/>
  <c r="AF124" i="24" s="1"/>
  <c r="AF125" i="24" s="1"/>
  <c r="AK82" i="24"/>
  <c r="U6" i="23"/>
  <c r="U7" i="23" s="1"/>
  <c r="U8" i="23" s="1"/>
  <c r="U9" i="23" s="1"/>
  <c r="U10" i="23" s="1"/>
  <c r="U11" i="23" s="1"/>
  <c r="U12" i="23" s="1"/>
  <c r="U13" i="23" s="1"/>
  <c r="U14" i="23" s="1"/>
  <c r="U15" i="23" s="1"/>
  <c r="U16" i="23" s="1"/>
  <c r="U17" i="23" s="1"/>
  <c r="U18" i="23" s="1"/>
  <c r="U19" i="23" s="1"/>
  <c r="U20" i="23" s="1"/>
  <c r="U21" i="23" s="1"/>
  <c r="U22" i="23" s="1"/>
  <c r="U23" i="23" s="1"/>
  <c r="U24" i="23" s="1"/>
  <c r="U25" i="23" s="1"/>
  <c r="U26" i="23" s="1"/>
  <c r="U27" i="23" s="1"/>
  <c r="U28" i="23" s="1"/>
  <c r="U29" i="23" s="1"/>
  <c r="U30" i="23" s="1"/>
  <c r="U31" i="23" s="1"/>
  <c r="U32" i="23" s="1"/>
  <c r="U33" i="23" s="1"/>
  <c r="U34" i="23" s="1"/>
  <c r="U35" i="23" s="1"/>
  <c r="U36" i="23" s="1"/>
  <c r="U37" i="23" s="1"/>
  <c r="U38" i="23" s="1"/>
  <c r="U39" i="23" s="1"/>
  <c r="U40" i="23" s="1"/>
  <c r="U41" i="23" s="1"/>
  <c r="U42" i="23" s="1"/>
  <c r="U43" i="23" s="1"/>
  <c r="U44" i="23" s="1"/>
  <c r="U45" i="23" s="1"/>
  <c r="U46" i="23" s="1"/>
  <c r="U47" i="23" s="1"/>
  <c r="U48" i="23" s="1"/>
  <c r="U49" i="23" s="1"/>
  <c r="U50" i="23" s="1"/>
  <c r="U51" i="23" s="1"/>
  <c r="U52" i="23" s="1"/>
  <c r="U53" i="23" s="1"/>
  <c r="U54" i="23" s="1"/>
  <c r="U55" i="23" s="1"/>
  <c r="U56" i="23" s="1"/>
  <c r="U57" i="23" s="1"/>
  <c r="U58" i="23" s="1"/>
  <c r="U59" i="23" s="1"/>
  <c r="U60" i="23" s="1"/>
  <c r="U61" i="23" s="1"/>
  <c r="U62" i="23" s="1"/>
  <c r="U63" i="23" s="1"/>
  <c r="U64" i="23" s="1"/>
  <c r="U65" i="23" s="1"/>
  <c r="U66" i="23" s="1"/>
  <c r="U67" i="23" s="1"/>
  <c r="U68" i="23" s="1"/>
  <c r="U69" i="23" s="1"/>
  <c r="U70" i="23" s="1"/>
  <c r="U71" i="23" s="1"/>
  <c r="U72" i="23" s="1"/>
  <c r="U73" i="23" s="1"/>
  <c r="U74" i="23" s="1"/>
  <c r="U75" i="23" s="1"/>
  <c r="U76" i="23" s="1"/>
  <c r="U77" i="23" s="1"/>
  <c r="U78" i="23" s="1"/>
  <c r="U79" i="23" s="1"/>
  <c r="U80" i="23" s="1"/>
  <c r="AD82" i="24"/>
  <c r="AD83" i="24" s="1"/>
  <c r="AD84" i="24" s="1"/>
  <c r="AD85" i="24" s="1"/>
  <c r="AD86" i="24" s="1"/>
  <c r="AD87" i="24" s="1"/>
  <c r="AD88" i="24" s="1"/>
  <c r="AD89" i="24" s="1"/>
  <c r="AD90" i="24" s="1"/>
  <c r="AD91" i="24" s="1"/>
  <c r="AD92" i="24" s="1"/>
  <c r="AD93" i="24" s="1"/>
  <c r="AD94" i="24" s="1"/>
  <c r="AD95" i="24" s="1"/>
  <c r="AD96" i="24" s="1"/>
  <c r="AD97" i="24" s="1"/>
  <c r="AD98" i="24" s="1"/>
  <c r="AD99" i="24" s="1"/>
  <c r="AD100" i="24" s="1"/>
  <c r="AD101" i="24" s="1"/>
  <c r="AD102" i="24" s="1"/>
  <c r="AD103" i="24" s="1"/>
  <c r="AD104" i="24" s="1"/>
  <c r="AD105" i="24" s="1"/>
  <c r="AD106" i="24" s="1"/>
  <c r="AD107" i="24" s="1"/>
  <c r="AD108" i="24" s="1"/>
  <c r="AD109" i="24" s="1"/>
  <c r="AD110" i="24" s="1"/>
  <c r="AD111" i="24" s="1"/>
  <c r="AD112" i="24" s="1"/>
  <c r="AD113" i="24" s="1"/>
  <c r="AD114" i="24" s="1"/>
  <c r="AD115" i="24" s="1"/>
  <c r="AD116" i="24" s="1"/>
  <c r="AD117" i="24" s="1"/>
  <c r="AD118" i="24" s="1"/>
  <c r="AD119" i="24" s="1"/>
  <c r="AD120" i="24" s="1"/>
  <c r="AD121" i="24" s="1"/>
  <c r="AD122" i="24" s="1"/>
  <c r="AD123" i="24" s="1"/>
  <c r="AD124" i="24" s="1"/>
  <c r="AD125" i="24" s="1"/>
  <c r="AQ82" i="24"/>
  <c r="AQ83" i="24" s="1"/>
  <c r="AE82" i="24"/>
  <c r="AE83" i="24" s="1"/>
  <c r="AE84" i="24" s="1"/>
  <c r="AE85" i="24" s="1"/>
  <c r="AE86" i="24" s="1"/>
  <c r="AE87" i="24" s="1"/>
  <c r="AE88" i="24" s="1"/>
  <c r="AE89" i="24" s="1"/>
  <c r="AE90" i="24" s="1"/>
  <c r="AE91" i="24" s="1"/>
  <c r="AE92" i="24" s="1"/>
  <c r="AE93" i="24" s="1"/>
  <c r="AE94" i="24" s="1"/>
  <c r="AE95" i="24" s="1"/>
  <c r="AE96" i="24" s="1"/>
  <c r="AE97" i="24" s="1"/>
  <c r="AE98" i="24" s="1"/>
  <c r="AE99" i="24" s="1"/>
  <c r="AE100" i="24" s="1"/>
  <c r="AE101" i="24" s="1"/>
  <c r="AE102" i="24" s="1"/>
  <c r="AE103" i="24" s="1"/>
  <c r="AE104" i="24" s="1"/>
  <c r="AE105" i="24" s="1"/>
  <c r="AE106" i="24" s="1"/>
  <c r="AE107" i="24" s="1"/>
  <c r="AE108" i="24" s="1"/>
  <c r="AE109" i="24" s="1"/>
  <c r="AE110" i="24" s="1"/>
  <c r="AE111" i="24" s="1"/>
  <c r="AE112" i="24" s="1"/>
  <c r="AE113" i="24" s="1"/>
  <c r="AE114" i="24" s="1"/>
  <c r="AE115" i="24" s="1"/>
  <c r="AE116" i="24" s="1"/>
  <c r="AE117" i="24" s="1"/>
  <c r="AE118" i="24" s="1"/>
  <c r="AE119" i="24" s="1"/>
  <c r="AE120" i="24" s="1"/>
  <c r="AE121" i="24" s="1"/>
  <c r="AE122" i="24" s="1"/>
  <c r="AE123" i="24" s="1"/>
  <c r="AE124" i="24" s="1"/>
  <c r="AE125" i="24" s="1"/>
  <c r="AL82" i="24"/>
  <c r="AH82" i="24"/>
  <c r="AH83" i="24" s="1"/>
  <c r="AH84" i="24" s="1"/>
  <c r="AH85" i="24" s="1"/>
  <c r="AH86" i="24" s="1"/>
  <c r="AH87" i="24" s="1"/>
  <c r="AH88" i="24" s="1"/>
  <c r="AH89" i="24" s="1"/>
  <c r="AH90" i="24" s="1"/>
  <c r="AH91" i="24" s="1"/>
  <c r="AH92" i="24" s="1"/>
  <c r="AH93" i="24" s="1"/>
  <c r="AH94" i="24" s="1"/>
  <c r="AH95" i="24" s="1"/>
  <c r="AH96" i="24" s="1"/>
  <c r="AH97" i="24" s="1"/>
  <c r="AH98" i="24" s="1"/>
  <c r="AH99" i="24" s="1"/>
  <c r="AH100" i="24" s="1"/>
  <c r="AH101" i="24" s="1"/>
  <c r="AH102" i="24" s="1"/>
  <c r="AH103" i="24" s="1"/>
  <c r="AH104" i="24" s="1"/>
  <c r="AH105" i="24" s="1"/>
  <c r="AH106" i="24" s="1"/>
  <c r="AH107" i="24" s="1"/>
  <c r="AH108" i="24" s="1"/>
  <c r="AH109" i="24" s="1"/>
  <c r="AH110" i="24" s="1"/>
  <c r="AH111" i="24" s="1"/>
  <c r="AH112" i="24" s="1"/>
  <c r="AH113" i="24" s="1"/>
  <c r="AH114" i="24" s="1"/>
  <c r="AH115" i="24" s="1"/>
  <c r="AH116" i="24" s="1"/>
  <c r="AH117" i="24" s="1"/>
  <c r="AH118" i="24" s="1"/>
  <c r="AH119" i="24" s="1"/>
  <c r="AH120" i="24" s="1"/>
  <c r="AH121" i="24" s="1"/>
  <c r="AH122" i="24" s="1"/>
  <c r="AH123" i="24" s="1"/>
  <c r="AH124" i="24" s="1"/>
  <c r="AH125" i="24" s="1"/>
  <c r="AG82" i="24"/>
  <c r="AG83" i="24" s="1"/>
  <c r="AG84" i="24" s="1"/>
  <c r="AG85" i="24" s="1"/>
  <c r="AG86" i="24" s="1"/>
  <c r="AG87" i="24" s="1"/>
  <c r="AG88" i="24" s="1"/>
  <c r="AG89" i="24" s="1"/>
  <c r="AG90" i="24" s="1"/>
  <c r="AG91" i="24" s="1"/>
  <c r="AG92" i="24" s="1"/>
  <c r="AG93" i="24" s="1"/>
  <c r="AG94" i="24" s="1"/>
  <c r="AG95" i="24" s="1"/>
  <c r="AG96" i="24" s="1"/>
  <c r="AG97" i="24" s="1"/>
  <c r="AG98" i="24" s="1"/>
  <c r="AG99" i="24" s="1"/>
  <c r="AG100" i="24" s="1"/>
  <c r="AG101" i="24" s="1"/>
  <c r="AG102" i="24" s="1"/>
  <c r="AG103" i="24" s="1"/>
  <c r="AG104" i="24" s="1"/>
  <c r="AG105" i="24" s="1"/>
  <c r="AG106" i="24" s="1"/>
  <c r="AG107" i="24" s="1"/>
  <c r="AG108" i="24" s="1"/>
  <c r="AG109" i="24" s="1"/>
  <c r="AG110" i="24" s="1"/>
  <c r="AG111" i="24" s="1"/>
  <c r="AG112" i="24" s="1"/>
  <c r="AG113" i="24" s="1"/>
  <c r="AG114" i="24" s="1"/>
  <c r="AG115" i="24" s="1"/>
  <c r="AG116" i="24" s="1"/>
  <c r="AG117" i="24" s="1"/>
  <c r="AG118" i="24" s="1"/>
  <c r="AG119" i="24" s="1"/>
  <c r="AG120" i="24" s="1"/>
  <c r="AG121" i="24" s="1"/>
  <c r="AG122" i="24" s="1"/>
  <c r="AG123" i="24" s="1"/>
  <c r="AG124" i="24" s="1"/>
  <c r="AG125" i="24" s="1"/>
  <c r="T6" i="23"/>
  <c r="T7" i="23" s="1"/>
  <c r="T8" i="23" s="1"/>
  <c r="T9" i="23" s="1"/>
  <c r="T10" i="23" s="1"/>
  <c r="T11" i="23" s="1"/>
  <c r="T12" i="23" s="1"/>
  <c r="T13" i="23" s="1"/>
  <c r="T14" i="23" s="1"/>
  <c r="T15" i="23" s="1"/>
  <c r="T16" i="23" s="1"/>
  <c r="T17" i="23" s="1"/>
  <c r="T18" i="23" s="1"/>
  <c r="T19" i="23" s="1"/>
  <c r="T20" i="23" s="1"/>
  <c r="T21" i="23" s="1"/>
  <c r="T22" i="23" s="1"/>
  <c r="T23" i="23" s="1"/>
  <c r="T24" i="23" s="1"/>
  <c r="T25" i="23" s="1"/>
  <c r="T26" i="23" s="1"/>
  <c r="T27" i="23" s="1"/>
  <c r="T28" i="23" s="1"/>
  <c r="T29" i="23" s="1"/>
  <c r="T30" i="23" s="1"/>
  <c r="T31" i="23" s="1"/>
  <c r="T32" i="23" s="1"/>
  <c r="T33" i="23" s="1"/>
  <c r="T34" i="23" s="1"/>
  <c r="T35" i="23" s="1"/>
  <c r="T36" i="23" s="1"/>
  <c r="T37" i="23" s="1"/>
  <c r="T38" i="23" s="1"/>
  <c r="T39" i="23" s="1"/>
  <c r="T40" i="23" s="1"/>
  <c r="T41" i="23" s="1"/>
  <c r="T42" i="23" s="1"/>
  <c r="T43" i="23" s="1"/>
  <c r="T44" i="23" s="1"/>
  <c r="T45" i="23" s="1"/>
  <c r="T46" i="23" s="1"/>
  <c r="T47" i="23" s="1"/>
  <c r="T48" i="23" s="1"/>
  <c r="T49" i="23" s="1"/>
  <c r="T50" i="23" s="1"/>
  <c r="T51" i="23" s="1"/>
  <c r="T52" i="23" s="1"/>
  <c r="T53" i="23" s="1"/>
  <c r="T54" i="23" s="1"/>
  <c r="T55" i="23" s="1"/>
  <c r="T56" i="23" s="1"/>
  <c r="T57" i="23" s="1"/>
  <c r="T58" i="23" s="1"/>
  <c r="T59" i="23" s="1"/>
  <c r="T60" i="23" s="1"/>
  <c r="T61" i="23" s="1"/>
  <c r="T62" i="23" s="1"/>
  <c r="T63" i="23" s="1"/>
  <c r="T64" i="23" s="1"/>
  <c r="T65" i="23" s="1"/>
  <c r="T66" i="23" s="1"/>
  <c r="T67" i="23" s="1"/>
  <c r="T68" i="23" s="1"/>
  <c r="T69" i="23" s="1"/>
  <c r="T70" i="23" s="1"/>
  <c r="T71" i="23" s="1"/>
  <c r="T72" i="23" s="1"/>
  <c r="T73" i="23" s="1"/>
  <c r="T74" i="23" s="1"/>
  <c r="T75" i="23" s="1"/>
  <c r="T76" i="23" s="1"/>
  <c r="T77" i="23" s="1"/>
  <c r="T78" i="23" s="1"/>
  <c r="T79" i="23" s="1"/>
  <c r="T80" i="23" s="1"/>
  <c r="AM82" i="24"/>
  <c r="R88" i="9"/>
  <c r="AG88" i="9" s="1"/>
  <c r="AN88" i="9"/>
  <c r="R86" i="9"/>
  <c r="AG86" i="9" s="1"/>
  <c r="AN86" i="9"/>
  <c r="R83" i="9"/>
  <c r="AG83" i="9" s="1"/>
  <c r="AN83" i="9"/>
  <c r="AH91" i="9"/>
  <c r="AS91" i="9"/>
  <c r="Y103" i="9"/>
  <c r="X86" i="9"/>
  <c r="AD86" i="9" s="1"/>
  <c r="X88" i="9"/>
  <c r="AD88" i="9" s="1"/>
  <c r="X60" i="9"/>
  <c r="AD60" i="9" s="1"/>
  <c r="Y101" i="9"/>
  <c r="AE101" i="9" s="1"/>
  <c r="P79" i="9"/>
  <c r="F79" i="9"/>
  <c r="AQ80" i="23" l="1"/>
  <c r="AQ81" i="23" s="1"/>
  <c r="AQ82" i="23" s="1"/>
  <c r="AQ83" i="23" s="1"/>
  <c r="AQ84" i="23" s="1"/>
  <c r="AQ85" i="23" s="1"/>
  <c r="AQ86" i="23" s="1"/>
  <c r="AQ87" i="23" s="1"/>
  <c r="AQ88" i="23" s="1"/>
  <c r="AQ89" i="23" s="1"/>
  <c r="AQ90" i="23" s="1"/>
  <c r="AQ91" i="23" s="1"/>
  <c r="AQ92" i="23" s="1"/>
  <c r="AQ93" i="23" s="1"/>
  <c r="AQ94" i="23" s="1"/>
  <c r="AQ95" i="23" s="1"/>
  <c r="AQ96" i="23" s="1"/>
  <c r="AQ97" i="23" s="1"/>
  <c r="AQ98" i="23" s="1"/>
  <c r="AQ99" i="23" s="1"/>
  <c r="AQ100" i="23" s="1"/>
  <c r="AQ101" i="23" s="1"/>
  <c r="AQ102" i="23" s="1"/>
  <c r="AQ103" i="23" s="1"/>
  <c r="AQ104" i="23" s="1"/>
  <c r="AQ105" i="23" s="1"/>
  <c r="AQ106" i="23" s="1"/>
  <c r="AQ107" i="23" s="1"/>
  <c r="AQ108" i="23" s="1"/>
  <c r="AQ109" i="23" s="1"/>
  <c r="AQ110" i="23" s="1"/>
  <c r="AQ111" i="23" s="1"/>
  <c r="AQ112" i="23" s="1"/>
  <c r="AQ113" i="23" s="1"/>
  <c r="AQ114" i="23" s="1"/>
  <c r="AQ115" i="23" s="1"/>
  <c r="AQ116" i="23" s="1"/>
  <c r="AQ117" i="23" s="1"/>
  <c r="AQ118" i="23" s="1"/>
  <c r="AQ119" i="23" s="1"/>
  <c r="AQ120" i="23" s="1"/>
  <c r="AQ121" i="23" s="1"/>
  <c r="AQ122" i="23" s="1"/>
  <c r="AQ123" i="23" s="1"/>
  <c r="AQ124" i="23" s="1"/>
  <c r="AR80" i="23"/>
  <c r="AR81" i="23" s="1"/>
  <c r="AR82" i="23" s="1"/>
  <c r="AR83" i="23" s="1"/>
  <c r="AR84" i="23" s="1"/>
  <c r="AR85" i="23" s="1"/>
  <c r="AR86" i="23" s="1"/>
  <c r="AR87" i="23" s="1"/>
  <c r="AR88" i="23" s="1"/>
  <c r="AR89" i="23" s="1"/>
  <c r="AR90" i="23" s="1"/>
  <c r="AR91" i="23" s="1"/>
  <c r="AR92" i="23" s="1"/>
  <c r="AR93" i="23" s="1"/>
  <c r="AR94" i="23" s="1"/>
  <c r="AR95" i="23" s="1"/>
  <c r="AR96" i="23" s="1"/>
  <c r="AR97" i="23" s="1"/>
  <c r="AR98" i="23" s="1"/>
  <c r="AR99" i="23" s="1"/>
  <c r="AR100" i="23" s="1"/>
  <c r="AR101" i="23" s="1"/>
  <c r="AR102" i="23" s="1"/>
  <c r="AR103" i="23" s="1"/>
  <c r="AR104" i="23" s="1"/>
  <c r="AR105" i="23" s="1"/>
  <c r="AR106" i="23" s="1"/>
  <c r="AR107" i="23" s="1"/>
  <c r="AR108" i="23" s="1"/>
  <c r="AR109" i="23" s="1"/>
  <c r="AR110" i="23" s="1"/>
  <c r="AR111" i="23" s="1"/>
  <c r="AR112" i="23" s="1"/>
  <c r="AR113" i="23" s="1"/>
  <c r="AR114" i="23" s="1"/>
  <c r="AR115" i="23" s="1"/>
  <c r="AR116" i="23" s="1"/>
  <c r="AR117" i="23" s="1"/>
  <c r="AR118" i="23" s="1"/>
  <c r="AR119" i="23" s="1"/>
  <c r="AR120" i="23" s="1"/>
  <c r="AR121" i="23" s="1"/>
  <c r="AR122" i="23" s="1"/>
  <c r="AR123" i="23" s="1"/>
  <c r="AR124" i="23" s="1"/>
  <c r="AR125" i="23" s="1"/>
  <c r="AS80" i="23"/>
  <c r="AS81" i="23" s="1"/>
  <c r="AS82" i="23" s="1"/>
  <c r="AS83" i="23" s="1"/>
  <c r="AS84" i="23" s="1"/>
  <c r="AS85" i="23" s="1"/>
  <c r="AS86" i="23" s="1"/>
  <c r="AS87" i="23" s="1"/>
  <c r="AS88" i="23" s="1"/>
  <c r="AS89" i="23" s="1"/>
  <c r="AS90" i="23" s="1"/>
  <c r="AS91" i="23" s="1"/>
  <c r="AS92" i="23" s="1"/>
  <c r="AS93" i="23" s="1"/>
  <c r="AS94" i="23" s="1"/>
  <c r="AS95" i="23" s="1"/>
  <c r="AS96" i="23" s="1"/>
  <c r="AS97" i="23" s="1"/>
  <c r="AS98" i="23" s="1"/>
  <c r="AS99" i="23" s="1"/>
  <c r="AS100" i="23" s="1"/>
  <c r="AS101" i="23" s="1"/>
  <c r="AS102" i="23" s="1"/>
  <c r="AS103" i="23" s="1"/>
  <c r="AS104" i="23" s="1"/>
  <c r="AS105" i="23" s="1"/>
  <c r="AS106" i="23" s="1"/>
  <c r="AS107" i="23" s="1"/>
  <c r="AS108" i="23" s="1"/>
  <c r="AS109" i="23" s="1"/>
  <c r="AS110" i="23" s="1"/>
  <c r="AS111" i="23" s="1"/>
  <c r="AS112" i="23" s="1"/>
  <c r="AS113" i="23" s="1"/>
  <c r="AS114" i="23" s="1"/>
  <c r="AS115" i="23" s="1"/>
  <c r="AS116" i="23" s="1"/>
  <c r="AS117" i="23" s="1"/>
  <c r="AS118" i="23" s="1"/>
  <c r="AS119" i="23" s="1"/>
  <c r="AS120" i="23" s="1"/>
  <c r="AS121" i="23" s="1"/>
  <c r="AS122" i="23" s="1"/>
  <c r="AS123" i="23" s="1"/>
  <c r="AS124" i="23" s="1"/>
  <c r="AX82" i="24"/>
  <c r="E99" i="16"/>
  <c r="G65" i="19"/>
  <c r="G66" i="19" s="1"/>
  <c r="G67" i="19" s="1"/>
  <c r="G68" i="19" s="1"/>
  <c r="G69" i="19" s="1"/>
  <c r="G70" i="19" s="1"/>
  <c r="G71" i="19" s="1"/>
  <c r="G72" i="19" s="1"/>
  <c r="G73" i="19" s="1"/>
  <c r="G74" i="19" s="1"/>
  <c r="C65" i="19"/>
  <c r="C66" i="19" s="1"/>
  <c r="C67" i="19" s="1"/>
  <c r="C68" i="19" s="1"/>
  <c r="C69" i="19" s="1"/>
  <c r="C70" i="19" s="1"/>
  <c r="C71" i="19" s="1"/>
  <c r="C72" i="19" s="1"/>
  <c r="C73" i="19" s="1"/>
  <c r="C74" i="19" s="1"/>
  <c r="C86" i="16"/>
  <c r="C99" i="16"/>
  <c r="F65" i="19"/>
  <c r="F66" i="19" s="1"/>
  <c r="F67" i="19" s="1"/>
  <c r="F68" i="19" s="1"/>
  <c r="F69" i="19" s="1"/>
  <c r="F70" i="19" s="1"/>
  <c r="F71" i="19" s="1"/>
  <c r="F72" i="19" s="1"/>
  <c r="F73" i="19" s="1"/>
  <c r="F74" i="19" s="1"/>
  <c r="B35" i="25"/>
  <c r="B36" i="25" s="1"/>
  <c r="B37" i="25" s="1"/>
  <c r="B38" i="25" s="1"/>
  <c r="B39" i="25" s="1"/>
  <c r="B40" i="25" s="1"/>
  <c r="B41" i="25" s="1"/>
  <c r="B42" i="25" s="1"/>
  <c r="B43" i="25" s="1"/>
  <c r="B44" i="25" s="1"/>
  <c r="F83" i="16"/>
  <c r="C15" i="25"/>
  <c r="C16" i="25" s="1"/>
  <c r="C17" i="25" s="1"/>
  <c r="C18" i="25" s="1"/>
  <c r="C19" i="25" s="1"/>
  <c r="C20" i="25" s="1"/>
  <c r="C21" i="25" s="1"/>
  <c r="C22" i="25" s="1"/>
  <c r="C23" i="25" s="1"/>
  <c r="C24" i="25" s="1"/>
  <c r="E81" i="16"/>
  <c r="G55" i="25"/>
  <c r="G56" i="25" s="1"/>
  <c r="G57" i="25" s="1"/>
  <c r="G58" i="25" s="1"/>
  <c r="G59" i="25" s="1"/>
  <c r="G60" i="25" s="1"/>
  <c r="G61" i="25" s="1"/>
  <c r="G62" i="25" s="1"/>
  <c r="G63" i="25" s="1"/>
  <c r="G64" i="25" s="1"/>
  <c r="F98" i="16"/>
  <c r="F45" i="25"/>
  <c r="F46" i="25" s="1"/>
  <c r="F47" i="25" s="1"/>
  <c r="F48" i="25" s="1"/>
  <c r="F49" i="25" s="1"/>
  <c r="F50" i="25" s="1"/>
  <c r="F51" i="25" s="1"/>
  <c r="F52" i="25" s="1"/>
  <c r="F53" i="25" s="1"/>
  <c r="F54" i="25" s="1"/>
  <c r="D97" i="16"/>
  <c r="AP83" i="24"/>
  <c r="AX83" i="24" s="1"/>
  <c r="AP86" i="9"/>
  <c r="AR86" i="9" s="1"/>
  <c r="AQ86" i="9"/>
  <c r="AP88" i="9"/>
  <c r="AR88" i="9" s="1"/>
  <c r="AQ88" i="9"/>
  <c r="AP83" i="9"/>
  <c r="AS82" i="24"/>
  <c r="AW82" i="24"/>
  <c r="AT82" i="24"/>
  <c r="AE103" i="9"/>
  <c r="AK83" i="24"/>
  <c r="AK84" i="24" s="1"/>
  <c r="AL83" i="24"/>
  <c r="AT83" i="24" s="1"/>
  <c r="AY82" i="24"/>
  <c r="AO80" i="23"/>
  <c r="AO81" i="23" s="1"/>
  <c r="AO82" i="23" s="1"/>
  <c r="AO83" i="23" s="1"/>
  <c r="AO84" i="23" s="1"/>
  <c r="AO85" i="23" s="1"/>
  <c r="AO86" i="23" s="1"/>
  <c r="AO87" i="23" s="1"/>
  <c r="AO88" i="23" s="1"/>
  <c r="AO89" i="23" s="1"/>
  <c r="AO90" i="23" s="1"/>
  <c r="AO91" i="23" s="1"/>
  <c r="AO92" i="23" s="1"/>
  <c r="AO93" i="23" s="1"/>
  <c r="AO94" i="23" s="1"/>
  <c r="AO95" i="23" s="1"/>
  <c r="AO96" i="23" s="1"/>
  <c r="AO97" i="23" s="1"/>
  <c r="AO98" i="23" s="1"/>
  <c r="AO99" i="23" s="1"/>
  <c r="AO100" i="23" s="1"/>
  <c r="AO101" i="23" s="1"/>
  <c r="AO102" i="23" s="1"/>
  <c r="AO103" i="23" s="1"/>
  <c r="AO104" i="23" s="1"/>
  <c r="AO105" i="23" s="1"/>
  <c r="AO106" i="23" s="1"/>
  <c r="AO107" i="23" s="1"/>
  <c r="AO108" i="23" s="1"/>
  <c r="AO109" i="23" s="1"/>
  <c r="AO110" i="23" s="1"/>
  <c r="AO111" i="23" s="1"/>
  <c r="AO112" i="23" s="1"/>
  <c r="AO113" i="23" s="1"/>
  <c r="AO114" i="23" s="1"/>
  <c r="AO115" i="23" s="1"/>
  <c r="AO116" i="23" s="1"/>
  <c r="AO117" i="23" s="1"/>
  <c r="AO118" i="23" s="1"/>
  <c r="AO119" i="23" s="1"/>
  <c r="AO120" i="23" s="1"/>
  <c r="AO121" i="23" s="1"/>
  <c r="AO122" i="23" s="1"/>
  <c r="AO123" i="23" s="1"/>
  <c r="AO124" i="23" s="1"/>
  <c r="AO125" i="23" s="1"/>
  <c r="AM80" i="23"/>
  <c r="AM81" i="23" s="1"/>
  <c r="AM82" i="23" s="1"/>
  <c r="AM83" i="23" s="1"/>
  <c r="AM84" i="23" s="1"/>
  <c r="AM85" i="23" s="1"/>
  <c r="AM86" i="23" s="1"/>
  <c r="AM87" i="23" s="1"/>
  <c r="AM88" i="23" s="1"/>
  <c r="AM89" i="23" s="1"/>
  <c r="AM90" i="23" s="1"/>
  <c r="AM91" i="23" s="1"/>
  <c r="AM92" i="23" s="1"/>
  <c r="AM93" i="23" s="1"/>
  <c r="AM94" i="23" s="1"/>
  <c r="AM95" i="23" s="1"/>
  <c r="AM96" i="23" s="1"/>
  <c r="AM97" i="23" s="1"/>
  <c r="AM98" i="23" s="1"/>
  <c r="AM99" i="23" s="1"/>
  <c r="AM100" i="23" s="1"/>
  <c r="AM101" i="23" s="1"/>
  <c r="AM102" i="23" s="1"/>
  <c r="AM103" i="23" s="1"/>
  <c r="AM104" i="23" s="1"/>
  <c r="AM105" i="23" s="1"/>
  <c r="AM106" i="23" s="1"/>
  <c r="AM107" i="23" s="1"/>
  <c r="AM108" i="23" s="1"/>
  <c r="AM109" i="23" s="1"/>
  <c r="AM110" i="23" s="1"/>
  <c r="AM111" i="23" s="1"/>
  <c r="AM112" i="23" s="1"/>
  <c r="AM113" i="23" s="1"/>
  <c r="AM114" i="23" s="1"/>
  <c r="AM115" i="23" s="1"/>
  <c r="AM116" i="23" s="1"/>
  <c r="AM117" i="23" s="1"/>
  <c r="AM118" i="23" s="1"/>
  <c r="AM119" i="23" s="1"/>
  <c r="AM120" i="23" s="1"/>
  <c r="AM121" i="23" s="1"/>
  <c r="AM122" i="23" s="1"/>
  <c r="AM123" i="23" s="1"/>
  <c r="AM124" i="23" s="1"/>
  <c r="AM125" i="23" s="1"/>
  <c r="AN80" i="23"/>
  <c r="AN81" i="23" s="1"/>
  <c r="AN82" i="23" s="1"/>
  <c r="AN83" i="23" s="1"/>
  <c r="AN84" i="23" s="1"/>
  <c r="AN85" i="23" s="1"/>
  <c r="AN86" i="23" s="1"/>
  <c r="AN87" i="23" s="1"/>
  <c r="AN88" i="23" s="1"/>
  <c r="AN89" i="23" s="1"/>
  <c r="AN90" i="23" s="1"/>
  <c r="AN91" i="23" s="1"/>
  <c r="AN92" i="23" s="1"/>
  <c r="AN93" i="23" s="1"/>
  <c r="AN94" i="23" s="1"/>
  <c r="AN95" i="23" s="1"/>
  <c r="AN96" i="23" s="1"/>
  <c r="AN97" i="23" s="1"/>
  <c r="AN98" i="23" s="1"/>
  <c r="AN99" i="23" s="1"/>
  <c r="AN100" i="23" s="1"/>
  <c r="AN101" i="23" s="1"/>
  <c r="AN102" i="23" s="1"/>
  <c r="AN103" i="23" s="1"/>
  <c r="AN104" i="23" s="1"/>
  <c r="AN105" i="23" s="1"/>
  <c r="AN106" i="23" s="1"/>
  <c r="AN107" i="23" s="1"/>
  <c r="AN108" i="23" s="1"/>
  <c r="AN109" i="23" s="1"/>
  <c r="AN110" i="23" s="1"/>
  <c r="AN111" i="23" s="1"/>
  <c r="AN112" i="23" s="1"/>
  <c r="AN113" i="23" s="1"/>
  <c r="AN114" i="23" s="1"/>
  <c r="AN115" i="23" s="1"/>
  <c r="AN116" i="23" s="1"/>
  <c r="AN117" i="23" s="1"/>
  <c r="AN118" i="23" s="1"/>
  <c r="AN119" i="23" s="1"/>
  <c r="AN120" i="23" s="1"/>
  <c r="AN121" i="23" s="1"/>
  <c r="AN122" i="23" s="1"/>
  <c r="AN123" i="23" s="1"/>
  <c r="AN124" i="23" s="1"/>
  <c r="AN125" i="23" s="1"/>
  <c r="AJ80" i="23"/>
  <c r="AJ81" i="23" s="1"/>
  <c r="AJ82" i="23" s="1"/>
  <c r="AJ83" i="23" s="1"/>
  <c r="AJ84" i="23" s="1"/>
  <c r="AJ85" i="23" s="1"/>
  <c r="AJ86" i="23" s="1"/>
  <c r="AJ87" i="23" s="1"/>
  <c r="AJ88" i="23" s="1"/>
  <c r="AJ89" i="23" s="1"/>
  <c r="AJ90" i="23" s="1"/>
  <c r="AJ91" i="23" s="1"/>
  <c r="AJ92" i="23" s="1"/>
  <c r="AJ93" i="23" s="1"/>
  <c r="AJ94" i="23" s="1"/>
  <c r="AJ95" i="23" s="1"/>
  <c r="AJ96" i="23" s="1"/>
  <c r="AJ97" i="23" s="1"/>
  <c r="AJ98" i="23" s="1"/>
  <c r="AJ99" i="23" s="1"/>
  <c r="AJ100" i="23" s="1"/>
  <c r="AJ101" i="23" s="1"/>
  <c r="AJ102" i="23" s="1"/>
  <c r="AJ103" i="23" s="1"/>
  <c r="AJ104" i="23" s="1"/>
  <c r="AJ105" i="23" s="1"/>
  <c r="AJ106" i="23" s="1"/>
  <c r="AJ107" i="23" s="1"/>
  <c r="AJ108" i="23" s="1"/>
  <c r="AJ109" i="23" s="1"/>
  <c r="AJ110" i="23" s="1"/>
  <c r="AJ111" i="23" s="1"/>
  <c r="AJ112" i="23" s="1"/>
  <c r="AJ113" i="23" s="1"/>
  <c r="AJ114" i="23" s="1"/>
  <c r="AJ115" i="23" s="1"/>
  <c r="AJ116" i="23" s="1"/>
  <c r="AJ117" i="23" s="1"/>
  <c r="AJ118" i="23" s="1"/>
  <c r="AJ119" i="23" s="1"/>
  <c r="AJ120" i="23" s="1"/>
  <c r="AJ121" i="23" s="1"/>
  <c r="AJ122" i="23" s="1"/>
  <c r="AJ123" i="23" s="1"/>
  <c r="AJ124" i="23" s="1"/>
  <c r="AJ125" i="23" s="1"/>
  <c r="AK80" i="23"/>
  <c r="AK81" i="23" s="1"/>
  <c r="AK82" i="23" s="1"/>
  <c r="AK83" i="23" s="1"/>
  <c r="AK84" i="23" s="1"/>
  <c r="AK85" i="23" s="1"/>
  <c r="AK86" i="23" s="1"/>
  <c r="AK87" i="23" s="1"/>
  <c r="AK88" i="23" s="1"/>
  <c r="AK89" i="23" s="1"/>
  <c r="AK90" i="23" s="1"/>
  <c r="AK91" i="23" s="1"/>
  <c r="AK92" i="23" s="1"/>
  <c r="AK93" i="23" s="1"/>
  <c r="AK94" i="23" s="1"/>
  <c r="AK95" i="23" s="1"/>
  <c r="AK96" i="23" s="1"/>
  <c r="AK97" i="23" s="1"/>
  <c r="AK98" i="23" s="1"/>
  <c r="AK99" i="23" s="1"/>
  <c r="AK100" i="23" s="1"/>
  <c r="AK101" i="23" s="1"/>
  <c r="AK102" i="23" s="1"/>
  <c r="AK103" i="23" s="1"/>
  <c r="AK104" i="23" s="1"/>
  <c r="AK105" i="23" s="1"/>
  <c r="AK106" i="23" s="1"/>
  <c r="AK107" i="23" s="1"/>
  <c r="AK108" i="23" s="1"/>
  <c r="AK109" i="23" s="1"/>
  <c r="AK110" i="23" s="1"/>
  <c r="AK111" i="23" s="1"/>
  <c r="AK112" i="23" s="1"/>
  <c r="AK113" i="23" s="1"/>
  <c r="AK114" i="23" s="1"/>
  <c r="AK115" i="23" s="1"/>
  <c r="AK116" i="23" s="1"/>
  <c r="AK117" i="23" s="1"/>
  <c r="AK118" i="23" s="1"/>
  <c r="AK119" i="23" s="1"/>
  <c r="AK120" i="23" s="1"/>
  <c r="AK121" i="23" s="1"/>
  <c r="AK122" i="23" s="1"/>
  <c r="AK123" i="23" s="1"/>
  <c r="AK124" i="23" s="1"/>
  <c r="AK125" i="23" s="1"/>
  <c r="AI80" i="23"/>
  <c r="AI81" i="23" s="1"/>
  <c r="AI82" i="23" s="1"/>
  <c r="AI83" i="23" s="1"/>
  <c r="AI84" i="23" s="1"/>
  <c r="AI85" i="23" s="1"/>
  <c r="AI86" i="23" s="1"/>
  <c r="AI87" i="23" s="1"/>
  <c r="AI88" i="23" s="1"/>
  <c r="AI89" i="23" s="1"/>
  <c r="AI90" i="23" s="1"/>
  <c r="AI91" i="23" s="1"/>
  <c r="AI92" i="23" s="1"/>
  <c r="AI93" i="23" s="1"/>
  <c r="AI94" i="23" s="1"/>
  <c r="AI95" i="23" s="1"/>
  <c r="AI96" i="23" s="1"/>
  <c r="AI97" i="23" s="1"/>
  <c r="AI98" i="23" s="1"/>
  <c r="AI99" i="23" s="1"/>
  <c r="AI100" i="23" s="1"/>
  <c r="AI101" i="23" s="1"/>
  <c r="AI102" i="23" s="1"/>
  <c r="AI103" i="23" s="1"/>
  <c r="AI104" i="23" s="1"/>
  <c r="AI105" i="23" s="1"/>
  <c r="AI106" i="23" s="1"/>
  <c r="AI107" i="23" s="1"/>
  <c r="AI108" i="23" s="1"/>
  <c r="AI109" i="23" s="1"/>
  <c r="AI110" i="23" s="1"/>
  <c r="AI111" i="23" s="1"/>
  <c r="AI112" i="23" s="1"/>
  <c r="AI113" i="23" s="1"/>
  <c r="AI114" i="23" s="1"/>
  <c r="AI115" i="23" s="1"/>
  <c r="AI116" i="23" s="1"/>
  <c r="AI117" i="23" s="1"/>
  <c r="AI118" i="23" s="1"/>
  <c r="AI119" i="23" s="1"/>
  <c r="AI120" i="23" s="1"/>
  <c r="AI121" i="23" s="1"/>
  <c r="AI122" i="23" s="1"/>
  <c r="AI123" i="23" s="1"/>
  <c r="AI124" i="23" s="1"/>
  <c r="AI125" i="23" s="1"/>
  <c r="AQ84" i="24"/>
  <c r="AY83" i="24"/>
  <c r="AU82" i="24"/>
  <c r="AM83" i="24"/>
  <c r="AW83" i="24"/>
  <c r="AO84" i="24"/>
  <c r="R79" i="9"/>
  <c r="AG79" i="9" s="1"/>
  <c r="AN79" i="9"/>
  <c r="X79" i="9"/>
  <c r="AD79" i="9" s="1"/>
  <c r="AV47" i="9"/>
  <c r="R10" i="9"/>
  <c r="AV42" i="9"/>
  <c r="AV46" i="9"/>
  <c r="P46" i="9"/>
  <c r="R46" i="9" s="1"/>
  <c r="Y86" i="9"/>
  <c r="AE86" i="9" s="1"/>
  <c r="Y88" i="9"/>
  <c r="AE88" i="9" s="1"/>
  <c r="R27" i="9"/>
  <c r="AS125" i="23" l="1"/>
  <c r="AQ125" i="23"/>
  <c r="C100" i="16"/>
  <c r="F75" i="19"/>
  <c r="F76" i="19" s="1"/>
  <c r="F77" i="19" s="1"/>
  <c r="F78" i="19" s="1"/>
  <c r="F79" i="19" s="1"/>
  <c r="F80" i="19" s="1"/>
  <c r="F81" i="19" s="1"/>
  <c r="F82" i="19" s="1"/>
  <c r="F83" i="19" s="1"/>
  <c r="F84" i="19" s="1"/>
  <c r="F85" i="19" s="1"/>
  <c r="F86" i="19" s="1"/>
  <c r="F87" i="19" s="1"/>
  <c r="F88" i="19" s="1"/>
  <c r="F89" i="19" s="1"/>
  <c r="F90" i="19" s="1"/>
  <c r="F91" i="19" s="1"/>
  <c r="F92" i="19" s="1"/>
  <c r="F93" i="19" s="1"/>
  <c r="F94" i="19" s="1"/>
  <c r="F95" i="19" s="1"/>
  <c r="F96" i="19" s="1"/>
  <c r="F97" i="19" s="1"/>
  <c r="F98" i="19" s="1"/>
  <c r="F99" i="19" s="1"/>
  <c r="F100" i="19" s="1"/>
  <c r="F101" i="19" s="1"/>
  <c r="F102" i="19" s="1"/>
  <c r="F103" i="19" s="1"/>
  <c r="F104" i="19" s="1"/>
  <c r="F105" i="19" s="1"/>
  <c r="F106" i="19" s="1"/>
  <c r="F107" i="19" s="1"/>
  <c r="F108" i="19" s="1"/>
  <c r="F109" i="19" s="1"/>
  <c r="F110" i="19" s="1"/>
  <c r="F111" i="19" s="1"/>
  <c r="F112" i="19" s="1"/>
  <c r="F113" i="19" s="1"/>
  <c r="F114" i="19" s="1"/>
  <c r="F115" i="19" s="1"/>
  <c r="F116" i="19" s="1"/>
  <c r="F117" i="19" s="1"/>
  <c r="F118" i="19" s="1"/>
  <c r="F119" i="19" s="1"/>
  <c r="F120" i="19" s="1"/>
  <c r="F121" i="19" s="1"/>
  <c r="F122" i="19" s="1"/>
  <c r="F123" i="19" s="1"/>
  <c r="F124" i="19" s="1"/>
  <c r="C87" i="16"/>
  <c r="C75" i="19"/>
  <c r="C76" i="19" s="1"/>
  <c r="C77" i="19" s="1"/>
  <c r="C78" i="19" s="1"/>
  <c r="C79" i="19" s="1"/>
  <c r="C80" i="19" s="1"/>
  <c r="E100" i="16"/>
  <c r="G75" i="19"/>
  <c r="G76" i="19" s="1"/>
  <c r="G77" i="19" s="1"/>
  <c r="G78" i="19" s="1"/>
  <c r="G79" i="19" s="1"/>
  <c r="G80" i="19" s="1"/>
  <c r="G81" i="19" s="1"/>
  <c r="G82" i="19" s="1"/>
  <c r="G83" i="19" s="1"/>
  <c r="G84" i="19" s="1"/>
  <c r="G85" i="19" s="1"/>
  <c r="G86" i="19" s="1"/>
  <c r="G87" i="19" s="1"/>
  <c r="G88" i="19" s="1"/>
  <c r="G89" i="19" s="1"/>
  <c r="G90" i="19" s="1"/>
  <c r="G91" i="19" s="1"/>
  <c r="G92" i="19" s="1"/>
  <c r="G93" i="19" s="1"/>
  <c r="G94" i="19" s="1"/>
  <c r="G95" i="19" s="1"/>
  <c r="G96" i="19" s="1"/>
  <c r="G97" i="19" s="1"/>
  <c r="G98" i="19" s="1"/>
  <c r="G99" i="19" s="1"/>
  <c r="G100" i="19" s="1"/>
  <c r="G101" i="19" s="1"/>
  <c r="G102" i="19" s="1"/>
  <c r="G103" i="19" s="1"/>
  <c r="G104" i="19" s="1"/>
  <c r="G105" i="19" s="1"/>
  <c r="G106" i="19" s="1"/>
  <c r="G107" i="19" s="1"/>
  <c r="G108" i="19" s="1"/>
  <c r="G109" i="19" s="1"/>
  <c r="G110" i="19" s="1"/>
  <c r="G111" i="19" s="1"/>
  <c r="G112" i="19" s="1"/>
  <c r="G113" i="19" s="1"/>
  <c r="G114" i="19" s="1"/>
  <c r="G115" i="19" s="1"/>
  <c r="G116" i="19" s="1"/>
  <c r="G117" i="19" s="1"/>
  <c r="G118" i="19" s="1"/>
  <c r="G119" i="19" s="1"/>
  <c r="G120" i="19" s="1"/>
  <c r="G121" i="19" s="1"/>
  <c r="G122" i="19" s="1"/>
  <c r="G123" i="19" s="1"/>
  <c r="G124" i="19" s="1"/>
  <c r="G65" i="25"/>
  <c r="G66" i="25" s="1"/>
  <c r="G67" i="25" s="1"/>
  <c r="G68" i="25" s="1"/>
  <c r="G69" i="25" s="1"/>
  <c r="G70" i="25" s="1"/>
  <c r="G71" i="25" s="1"/>
  <c r="G72" i="25" s="1"/>
  <c r="G73" i="25" s="1"/>
  <c r="G74" i="25" s="1"/>
  <c r="F99" i="16"/>
  <c r="C25" i="25"/>
  <c r="C26" i="25" s="1"/>
  <c r="C27" i="25" s="1"/>
  <c r="C28" i="25" s="1"/>
  <c r="C29" i="25" s="1"/>
  <c r="C30" i="25" s="1"/>
  <c r="C31" i="25" s="1"/>
  <c r="C32" i="25" s="1"/>
  <c r="C33" i="25" s="1"/>
  <c r="C34" i="25" s="1"/>
  <c r="E82" i="16"/>
  <c r="F55" i="25"/>
  <c r="F56" i="25" s="1"/>
  <c r="F57" i="25" s="1"/>
  <c r="F58" i="25" s="1"/>
  <c r="F59" i="25" s="1"/>
  <c r="F60" i="25" s="1"/>
  <c r="F61" i="25" s="1"/>
  <c r="F62" i="25" s="1"/>
  <c r="F63" i="25" s="1"/>
  <c r="F64" i="25" s="1"/>
  <c r="D98" i="16"/>
  <c r="B45" i="25"/>
  <c r="B46" i="25" s="1"/>
  <c r="B47" i="25" s="1"/>
  <c r="B48" i="25" s="1"/>
  <c r="B49" i="25" s="1"/>
  <c r="B50" i="25" s="1"/>
  <c r="B51" i="25" s="1"/>
  <c r="B52" i="25" s="1"/>
  <c r="B53" i="25" s="1"/>
  <c r="B54" i="25" s="1"/>
  <c r="F84" i="16"/>
  <c r="AP84" i="24"/>
  <c r="AX84" i="24" s="1"/>
  <c r="AS83" i="24"/>
  <c r="AP79" i="9"/>
  <c r="AR79" i="9" s="1"/>
  <c r="AQ79" i="9"/>
  <c r="AL84" i="24"/>
  <c r="AT84" i="24" s="1"/>
  <c r="AW84" i="24"/>
  <c r="AO85" i="24"/>
  <c r="AQ85" i="24"/>
  <c r="AY84" i="24"/>
  <c r="AM84" i="24"/>
  <c r="AU83" i="24"/>
  <c r="AS84" i="24"/>
  <c r="AK85" i="24"/>
  <c r="Y79" i="9"/>
  <c r="AE79" i="9" s="1"/>
  <c r="N87" i="9"/>
  <c r="X87" i="9" s="1"/>
  <c r="AD87" i="9" s="1"/>
  <c r="O87" i="9"/>
  <c r="AF87" i="9" s="1"/>
  <c r="O67" i="9"/>
  <c r="N67" i="9"/>
  <c r="X67" i="9" s="1"/>
  <c r="X27" i="9"/>
  <c r="X47" i="9"/>
  <c r="X10" i="9"/>
  <c r="X46" i="9"/>
  <c r="AW67" i="9"/>
  <c r="Y47" i="9"/>
  <c r="AW27" i="9"/>
  <c r="AN94" i="9"/>
  <c r="P78" i="9"/>
  <c r="Y93" i="9"/>
  <c r="AE93" i="9" s="1"/>
  <c r="AN55" i="9"/>
  <c r="P85" i="9"/>
  <c r="P84" i="9"/>
  <c r="L83" i="9"/>
  <c r="P82" i="9"/>
  <c r="C81" i="19" l="1"/>
  <c r="N80" i="19"/>
  <c r="P80" i="19"/>
  <c r="M80" i="19"/>
  <c r="R80" i="19"/>
  <c r="O80" i="19"/>
  <c r="Q80" i="19"/>
  <c r="F65" i="25"/>
  <c r="F66" i="25" s="1"/>
  <c r="F67" i="25" s="1"/>
  <c r="F68" i="25" s="1"/>
  <c r="F69" i="25" s="1"/>
  <c r="F70" i="25" s="1"/>
  <c r="F71" i="25" s="1"/>
  <c r="F72" i="25" s="1"/>
  <c r="F73" i="25" s="1"/>
  <c r="F74" i="25" s="1"/>
  <c r="D99" i="16"/>
  <c r="B55" i="25"/>
  <c r="B56" i="25" s="1"/>
  <c r="B57" i="25" s="1"/>
  <c r="B58" i="25" s="1"/>
  <c r="B59" i="25" s="1"/>
  <c r="B60" i="25" s="1"/>
  <c r="B61" i="25" s="1"/>
  <c r="B62" i="25" s="1"/>
  <c r="B63" i="25" s="1"/>
  <c r="B64" i="25" s="1"/>
  <c r="F85" i="16"/>
  <c r="C35" i="25"/>
  <c r="C36" i="25" s="1"/>
  <c r="C37" i="25" s="1"/>
  <c r="C38" i="25" s="1"/>
  <c r="C39" i="25" s="1"/>
  <c r="C40" i="25" s="1"/>
  <c r="C41" i="25" s="1"/>
  <c r="C42" i="25" s="1"/>
  <c r="C43" i="25" s="1"/>
  <c r="C44" i="25" s="1"/>
  <c r="E83" i="16"/>
  <c r="G75" i="25"/>
  <c r="G76" i="25" s="1"/>
  <c r="G77" i="25" s="1"/>
  <c r="G78" i="25" s="1"/>
  <c r="G79" i="25" s="1"/>
  <c r="G80" i="25" s="1"/>
  <c r="G81" i="25" s="1"/>
  <c r="G82" i="25" s="1"/>
  <c r="G83" i="25" s="1"/>
  <c r="G84" i="25" s="1"/>
  <c r="G85" i="25" s="1"/>
  <c r="G86" i="25" s="1"/>
  <c r="G87" i="25" s="1"/>
  <c r="G88" i="25" s="1"/>
  <c r="G89" i="25" s="1"/>
  <c r="G90" i="25" s="1"/>
  <c r="G91" i="25" s="1"/>
  <c r="G92" i="25" s="1"/>
  <c r="G93" i="25" s="1"/>
  <c r="G94" i="25" s="1"/>
  <c r="G95" i="25" s="1"/>
  <c r="G96" i="25" s="1"/>
  <c r="G97" i="25" s="1"/>
  <c r="G98" i="25" s="1"/>
  <c r="G99" i="25" s="1"/>
  <c r="G100" i="25" s="1"/>
  <c r="G101" i="25" s="1"/>
  <c r="G102" i="25" s="1"/>
  <c r="G103" i="25" s="1"/>
  <c r="G104" i="25" s="1"/>
  <c r="G105" i="25" s="1"/>
  <c r="G106" i="25" s="1"/>
  <c r="G107" i="25" s="1"/>
  <c r="G108" i="25" s="1"/>
  <c r="G109" i="25" s="1"/>
  <c r="G110" i="25" s="1"/>
  <c r="G111" i="25" s="1"/>
  <c r="G112" i="25" s="1"/>
  <c r="G113" i="25" s="1"/>
  <c r="G114" i="25" s="1"/>
  <c r="G115" i="25" s="1"/>
  <c r="G116" i="25" s="1"/>
  <c r="G117" i="25" s="1"/>
  <c r="G118" i="25" s="1"/>
  <c r="G119" i="25" s="1"/>
  <c r="G120" i="25" s="1"/>
  <c r="G121" i="25" s="1"/>
  <c r="G122" i="25" s="1"/>
  <c r="G123" i="25" s="1"/>
  <c r="G124" i="25" s="1"/>
  <c r="F100" i="16"/>
  <c r="AP85" i="24"/>
  <c r="AP86" i="24" s="1"/>
  <c r="AP55" i="9"/>
  <c r="AR55" i="9" s="1"/>
  <c r="AQ55" i="9"/>
  <c r="AP94" i="9"/>
  <c r="AR94" i="9" s="1"/>
  <c r="AQ94" i="9"/>
  <c r="AL85" i="24"/>
  <c r="AT85" i="24" s="1"/>
  <c r="AO86" i="24"/>
  <c r="AW85" i="24"/>
  <c r="AS85" i="24"/>
  <c r="AK86" i="24"/>
  <c r="AU84" i="24"/>
  <c r="AM85" i="24"/>
  <c r="AQ86" i="24"/>
  <c r="AY85" i="24"/>
  <c r="AK83" i="9"/>
  <c r="R85" i="9"/>
  <c r="AG85" i="9" s="1"/>
  <c r="AN85" i="9"/>
  <c r="R78" i="9"/>
  <c r="AG78" i="9" s="1"/>
  <c r="AN78" i="9"/>
  <c r="R82" i="9"/>
  <c r="AG82" i="9" s="1"/>
  <c r="AN82" i="9"/>
  <c r="R84" i="9"/>
  <c r="AG84" i="9" s="1"/>
  <c r="AN84" i="9"/>
  <c r="W94" i="9"/>
  <c r="R94" i="9"/>
  <c r="O83" i="9"/>
  <c r="N83" i="9"/>
  <c r="X83" i="9" s="1"/>
  <c r="AD83" i="9" s="1"/>
  <c r="O82" i="9"/>
  <c r="AF82" i="9" s="1"/>
  <c r="N82" i="9"/>
  <c r="X82" i="9" s="1"/>
  <c r="AD82" i="9" s="1"/>
  <c r="X94" i="9"/>
  <c r="AD94" i="9" s="1"/>
  <c r="Y87" i="9"/>
  <c r="AE87" i="9" s="1"/>
  <c r="AV27" i="9"/>
  <c r="Y27" i="9"/>
  <c r="AY27" i="9" s="1"/>
  <c r="X78" i="9"/>
  <c r="AD78" i="9" s="1"/>
  <c r="X85" i="9"/>
  <c r="AD85" i="9" s="1"/>
  <c r="Y67" i="9"/>
  <c r="AY67" i="9" s="1"/>
  <c r="AW10" i="9"/>
  <c r="Y10" i="9"/>
  <c r="AY10" i="9" s="1"/>
  <c r="X84" i="9"/>
  <c r="AD84" i="9" s="1"/>
  <c r="AW46" i="9"/>
  <c r="Y46" i="9"/>
  <c r="AY46" i="9" s="1"/>
  <c r="AV67" i="9"/>
  <c r="AW47" i="9"/>
  <c r="AY47" i="9"/>
  <c r="P81" i="9"/>
  <c r="P80" i="9"/>
  <c r="AN22" i="9"/>
  <c r="AK22" i="9"/>
  <c r="AM22" i="9" s="1"/>
  <c r="C82" i="19" l="1"/>
  <c r="P81" i="19"/>
  <c r="Q81" i="19"/>
  <c r="R81" i="19"/>
  <c r="M81" i="19"/>
  <c r="N81" i="19"/>
  <c r="O81" i="19"/>
  <c r="C45" i="25"/>
  <c r="C46" i="25" s="1"/>
  <c r="C47" i="25" s="1"/>
  <c r="C48" i="25" s="1"/>
  <c r="C49" i="25" s="1"/>
  <c r="C50" i="25" s="1"/>
  <c r="C51" i="25" s="1"/>
  <c r="C52" i="25" s="1"/>
  <c r="C53" i="25" s="1"/>
  <c r="C54" i="25" s="1"/>
  <c r="E84" i="16"/>
  <c r="B65" i="25"/>
  <c r="B66" i="25" s="1"/>
  <c r="B67" i="25" s="1"/>
  <c r="B68" i="25" s="1"/>
  <c r="B69" i="25" s="1"/>
  <c r="B70" i="25" s="1"/>
  <c r="B71" i="25" s="1"/>
  <c r="B72" i="25" s="1"/>
  <c r="B73" i="25" s="1"/>
  <c r="B74" i="25" s="1"/>
  <c r="F86" i="16"/>
  <c r="F75" i="25"/>
  <c r="F76" i="25" s="1"/>
  <c r="F77" i="25" s="1"/>
  <c r="F78" i="25" s="1"/>
  <c r="F79" i="25" s="1"/>
  <c r="F80" i="25" s="1"/>
  <c r="F81" i="25" s="1"/>
  <c r="F82" i="25" s="1"/>
  <c r="F83" i="25" s="1"/>
  <c r="F84" i="25" s="1"/>
  <c r="F85" i="25" s="1"/>
  <c r="F86" i="25" s="1"/>
  <c r="F87" i="25" s="1"/>
  <c r="F88" i="25" s="1"/>
  <c r="F89" i="25" s="1"/>
  <c r="F90" i="25" s="1"/>
  <c r="F91" i="25" s="1"/>
  <c r="F92" i="25" s="1"/>
  <c r="F93" i="25" s="1"/>
  <c r="F94" i="25" s="1"/>
  <c r="F95" i="25" s="1"/>
  <c r="F96" i="25" s="1"/>
  <c r="F97" i="25" s="1"/>
  <c r="F98" i="25" s="1"/>
  <c r="F99" i="25" s="1"/>
  <c r="F100" i="25" s="1"/>
  <c r="F101" i="25" s="1"/>
  <c r="F102" i="25" s="1"/>
  <c r="F103" i="25" s="1"/>
  <c r="F104" i="25" s="1"/>
  <c r="F105" i="25" s="1"/>
  <c r="F106" i="25" s="1"/>
  <c r="F107" i="25" s="1"/>
  <c r="F108" i="25" s="1"/>
  <c r="F109" i="25" s="1"/>
  <c r="F110" i="25" s="1"/>
  <c r="F111" i="25" s="1"/>
  <c r="F112" i="25" s="1"/>
  <c r="F113" i="25" s="1"/>
  <c r="F114" i="25" s="1"/>
  <c r="F115" i="25" s="1"/>
  <c r="F116" i="25" s="1"/>
  <c r="F117" i="25" s="1"/>
  <c r="F118" i="25" s="1"/>
  <c r="F119" i="25" s="1"/>
  <c r="F120" i="25" s="1"/>
  <c r="F121" i="25" s="1"/>
  <c r="F122" i="25" s="1"/>
  <c r="F123" i="25" s="1"/>
  <c r="F124" i="25" s="1"/>
  <c r="D100" i="16"/>
  <c r="AX85" i="24"/>
  <c r="AP78" i="9"/>
  <c r="AR78" i="9" s="1"/>
  <c r="AQ78" i="9"/>
  <c r="AP85" i="9"/>
  <c r="AR85" i="9" s="1"/>
  <c r="AQ85" i="9"/>
  <c r="AP22" i="9"/>
  <c r="AR22" i="9" s="1"/>
  <c r="AQ22" i="9"/>
  <c r="AP84" i="9"/>
  <c r="AR84" i="9" s="1"/>
  <c r="AQ84" i="9"/>
  <c r="AM83" i="9"/>
  <c r="AR83" i="9" s="1"/>
  <c r="AQ83" i="9"/>
  <c r="AP82" i="9"/>
  <c r="AR82" i="9" s="1"/>
  <c r="AQ82" i="9"/>
  <c r="AT94" i="9"/>
  <c r="AG94" i="9"/>
  <c r="Y94" i="9"/>
  <c r="AL86" i="24"/>
  <c r="AL87" i="24" s="1"/>
  <c r="AM86" i="24"/>
  <c r="AU85" i="24"/>
  <c r="AP87" i="24"/>
  <c r="AX86" i="24"/>
  <c r="AK87" i="24"/>
  <c r="AS86" i="24"/>
  <c r="AY86" i="24"/>
  <c r="AQ87" i="24"/>
  <c r="AW86" i="24"/>
  <c r="AO87" i="24"/>
  <c r="Y85" i="9"/>
  <c r="AE85" i="9" s="1"/>
  <c r="Y84" i="9"/>
  <c r="AE84" i="9" s="1"/>
  <c r="R80" i="9"/>
  <c r="AG80" i="9" s="1"/>
  <c r="AN80" i="9"/>
  <c r="Y78" i="9"/>
  <c r="AE78" i="9" s="1"/>
  <c r="R81" i="9"/>
  <c r="AG81" i="9" s="1"/>
  <c r="AN81" i="9"/>
  <c r="AI94" i="9"/>
  <c r="V94" i="9"/>
  <c r="Y83" i="9"/>
  <c r="AE83" i="9" s="1"/>
  <c r="AF83" i="9"/>
  <c r="N81" i="9"/>
  <c r="X81" i="9" s="1"/>
  <c r="AD81" i="9" s="1"/>
  <c r="O81" i="9"/>
  <c r="AF81" i="9" s="1"/>
  <c r="X80" i="9"/>
  <c r="AD80" i="9" s="1"/>
  <c r="Y82" i="9"/>
  <c r="AE82" i="9" s="1"/>
  <c r="P22" i="9"/>
  <c r="AT22" i="9"/>
  <c r="AS22" i="9" s="1"/>
  <c r="F22" i="9"/>
  <c r="P77" i="9"/>
  <c r="P75" i="9"/>
  <c r="L74" i="9"/>
  <c r="C83" i="19" l="1"/>
  <c r="R82" i="19"/>
  <c r="M82" i="19"/>
  <c r="N82" i="19"/>
  <c r="O82" i="19"/>
  <c r="P82" i="19"/>
  <c r="Q82" i="19"/>
  <c r="C55" i="25"/>
  <c r="C56" i="25" s="1"/>
  <c r="C57" i="25" s="1"/>
  <c r="C58" i="25" s="1"/>
  <c r="C59" i="25" s="1"/>
  <c r="C60" i="25" s="1"/>
  <c r="C61" i="25" s="1"/>
  <c r="C62" i="25" s="1"/>
  <c r="C63" i="25" s="1"/>
  <c r="C64" i="25" s="1"/>
  <c r="E85" i="16"/>
  <c r="B75" i="25"/>
  <c r="B76" i="25" s="1"/>
  <c r="B77" i="25" s="1"/>
  <c r="B78" i="25" s="1"/>
  <c r="B79" i="25" s="1"/>
  <c r="B80" i="25" s="1"/>
  <c r="B81" i="25" s="1"/>
  <c r="B82" i="25" s="1"/>
  <c r="B83" i="25" s="1"/>
  <c r="B84" i="25" s="1"/>
  <c r="B85" i="25" s="1"/>
  <c r="B86" i="25" s="1"/>
  <c r="B87" i="25" s="1"/>
  <c r="B88" i="25" s="1"/>
  <c r="B89" i="25" s="1"/>
  <c r="B90" i="25" s="1"/>
  <c r="B91" i="25" s="1"/>
  <c r="B92" i="25" s="1"/>
  <c r="B93" i="25" s="1"/>
  <c r="B94" i="25" s="1"/>
  <c r="B95" i="25" s="1"/>
  <c r="B96" i="25" s="1"/>
  <c r="B97" i="25" s="1"/>
  <c r="B98" i="25" s="1"/>
  <c r="B99" i="25" s="1"/>
  <c r="B100" i="25" s="1"/>
  <c r="B101" i="25" s="1"/>
  <c r="B102" i="25" s="1"/>
  <c r="B103" i="25" s="1"/>
  <c r="B104" i="25" s="1"/>
  <c r="B105" i="25" s="1"/>
  <c r="B106" i="25" s="1"/>
  <c r="B107" i="25" s="1"/>
  <c r="B108" i="25" s="1"/>
  <c r="B109" i="25" s="1"/>
  <c r="B110" i="25" s="1"/>
  <c r="B111" i="25" s="1"/>
  <c r="B112" i="25" s="1"/>
  <c r="B113" i="25" s="1"/>
  <c r="B114" i="25" s="1"/>
  <c r="B115" i="25" s="1"/>
  <c r="B116" i="25" s="1"/>
  <c r="B117" i="25" s="1"/>
  <c r="B118" i="25" s="1"/>
  <c r="B119" i="25" s="1"/>
  <c r="B120" i="25" s="1"/>
  <c r="B121" i="25" s="1"/>
  <c r="B122" i="25" s="1"/>
  <c r="B123" i="25" s="1"/>
  <c r="B124" i="25" s="1"/>
  <c r="F87" i="16"/>
  <c r="AP81" i="9"/>
  <c r="AR81" i="9" s="1"/>
  <c r="AQ81" i="9"/>
  <c r="AP80" i="9"/>
  <c r="AR80" i="9" s="1"/>
  <c r="AQ80" i="9"/>
  <c r="AE94" i="9"/>
  <c r="AT86" i="24"/>
  <c r="AS87" i="24"/>
  <c r="AK88" i="24"/>
  <c r="AO88" i="24"/>
  <c r="AW87" i="24"/>
  <c r="AP88" i="24"/>
  <c r="AX87" i="24"/>
  <c r="AL88" i="24"/>
  <c r="AT87" i="24"/>
  <c r="AQ88" i="24"/>
  <c r="AY87" i="24"/>
  <c r="AM87" i="24"/>
  <c r="AU86" i="24"/>
  <c r="AK74" i="9"/>
  <c r="AM74" i="9" s="1"/>
  <c r="AH94" i="9"/>
  <c r="AS94" i="9"/>
  <c r="Y80" i="9"/>
  <c r="AE80" i="9" s="1"/>
  <c r="R74" i="9"/>
  <c r="AG74" i="9" s="1"/>
  <c r="AN74" i="9"/>
  <c r="R75" i="9"/>
  <c r="AG75" i="9" s="1"/>
  <c r="AN75" i="9"/>
  <c r="R77" i="9"/>
  <c r="AG77" i="9" s="1"/>
  <c r="AN77" i="9"/>
  <c r="O73" i="9"/>
  <c r="AF73" i="9" s="1"/>
  <c r="N73" i="9"/>
  <c r="X73" i="9" s="1"/>
  <c r="AD73" i="9" s="1"/>
  <c r="O74" i="9"/>
  <c r="AF74" i="9" s="1"/>
  <c r="N74" i="9"/>
  <c r="X74" i="9" s="1"/>
  <c r="AD74" i="9" s="1"/>
  <c r="O76" i="9"/>
  <c r="AF76" i="9" s="1"/>
  <c r="N76" i="9"/>
  <c r="X76" i="9" s="1"/>
  <c r="AD76" i="9" s="1"/>
  <c r="R22" i="9"/>
  <c r="Y22" i="9" s="1"/>
  <c r="W22" i="9"/>
  <c r="AI22" i="9" s="1"/>
  <c r="X22" i="9"/>
  <c r="AD22" i="9" s="1"/>
  <c r="V22" i="9"/>
  <c r="AH22" i="9" s="1"/>
  <c r="X77" i="9"/>
  <c r="AD77" i="9" s="1"/>
  <c r="X75" i="9"/>
  <c r="AD75" i="9" s="1"/>
  <c r="Y81" i="9"/>
  <c r="AE81" i="9" s="1"/>
  <c r="P69" i="9"/>
  <c r="L69" i="9"/>
  <c r="AK69" i="9" s="1"/>
  <c r="AM69" i="9" s="1"/>
  <c r="AH65" i="9"/>
  <c r="P65" i="9"/>
  <c r="R65" i="9" s="1"/>
  <c r="P64" i="9"/>
  <c r="R64" i="9" s="1"/>
  <c r="P68" i="9"/>
  <c r="P63" i="9"/>
  <c r="L65" i="9"/>
  <c r="L64" i="9"/>
  <c r="L63" i="9"/>
  <c r="C84" i="19" l="1"/>
  <c r="M83" i="19"/>
  <c r="N83" i="19"/>
  <c r="O83" i="19"/>
  <c r="P83" i="19"/>
  <c r="Q83" i="19"/>
  <c r="R83" i="19"/>
  <c r="C65" i="25"/>
  <c r="C66" i="25" s="1"/>
  <c r="C67" i="25" s="1"/>
  <c r="C68" i="25" s="1"/>
  <c r="C69" i="25" s="1"/>
  <c r="C70" i="25" s="1"/>
  <c r="C71" i="25" s="1"/>
  <c r="C72" i="25" s="1"/>
  <c r="C73" i="25" s="1"/>
  <c r="C74" i="25" s="1"/>
  <c r="E86" i="16"/>
  <c r="AP74" i="9"/>
  <c r="AR74" i="9" s="1"/>
  <c r="AQ74" i="9"/>
  <c r="AP77" i="9"/>
  <c r="AR77" i="9" s="1"/>
  <c r="AQ77" i="9"/>
  <c r="AP75" i="9"/>
  <c r="AR75" i="9" s="1"/>
  <c r="AQ75" i="9"/>
  <c r="Y75" i="9"/>
  <c r="AE75" i="9" s="1"/>
  <c r="AU87" i="24"/>
  <c r="AM88" i="24"/>
  <c r="AP89" i="24"/>
  <c r="AX88" i="24"/>
  <c r="AL89" i="24"/>
  <c r="AT88" i="24"/>
  <c r="AQ89" i="24"/>
  <c r="AY88" i="24"/>
  <c r="AW88" i="24"/>
  <c r="AO89" i="24"/>
  <c r="AK89" i="24"/>
  <c r="AS88" i="24"/>
  <c r="R69" i="9"/>
  <c r="AG69" i="9" s="1"/>
  <c r="AN69" i="9"/>
  <c r="R68" i="9"/>
  <c r="AG68" i="9" s="1"/>
  <c r="AN68" i="9"/>
  <c r="Y77" i="9"/>
  <c r="AE77" i="9" s="1"/>
  <c r="R63" i="9"/>
  <c r="AG63" i="9" s="1"/>
  <c r="AN63" i="9"/>
  <c r="AG22" i="9"/>
  <c r="O69" i="9"/>
  <c r="AF69" i="9" s="1"/>
  <c r="N69" i="9"/>
  <c r="X69" i="9" s="1"/>
  <c r="AD69" i="9" s="1"/>
  <c r="N72" i="9"/>
  <c r="X72" i="9" s="1"/>
  <c r="AD72" i="9" s="1"/>
  <c r="O72" i="9"/>
  <c r="O66" i="9"/>
  <c r="AF66" i="9" s="1"/>
  <c r="N66" i="9"/>
  <c r="X66" i="9" s="1"/>
  <c r="AD66" i="9" s="1"/>
  <c r="N68" i="9"/>
  <c r="X68" i="9" s="1"/>
  <c r="AD68" i="9" s="1"/>
  <c r="O68" i="9"/>
  <c r="AF68" i="9" s="1"/>
  <c r="N63" i="9"/>
  <c r="X63" i="9" s="1"/>
  <c r="AD63" i="9" s="1"/>
  <c r="O63" i="9"/>
  <c r="AF63" i="9" s="1"/>
  <c r="N64" i="9"/>
  <c r="X64" i="9" s="1"/>
  <c r="AD64" i="9" s="1"/>
  <c r="O64" i="9"/>
  <c r="O65" i="9"/>
  <c r="N65" i="9"/>
  <c r="X65" i="9" s="1"/>
  <c r="AD65" i="9" s="1"/>
  <c r="Y76" i="9"/>
  <c r="AE76" i="9" s="1"/>
  <c r="X71" i="9"/>
  <c r="AD71" i="9" s="1"/>
  <c r="Y74" i="9"/>
  <c r="AE74" i="9" s="1"/>
  <c r="X70" i="9"/>
  <c r="AD70" i="9" s="1"/>
  <c r="Y73" i="9"/>
  <c r="AE73" i="9" s="1"/>
  <c r="AK65" i="9"/>
  <c r="AM65" i="9" s="1"/>
  <c r="AE22" i="9"/>
  <c r="AF22" i="9"/>
  <c r="AN65" i="9"/>
  <c r="AH64" i="9"/>
  <c r="AK64" i="9"/>
  <c r="AM64" i="9" s="1"/>
  <c r="Y71" i="9"/>
  <c r="AE71" i="9" s="1"/>
  <c r="AN64" i="9"/>
  <c r="P62" i="9"/>
  <c r="L62" i="9"/>
  <c r="AT48" i="9"/>
  <c r="AS48" i="9" s="1"/>
  <c r="AH48" i="9"/>
  <c r="AN60" i="9"/>
  <c r="AQ60" i="9" s="1"/>
  <c r="F58" i="9"/>
  <c r="AH57" i="9"/>
  <c r="P57" i="9"/>
  <c r="AH56" i="9"/>
  <c r="G53" i="9"/>
  <c r="P53" i="9"/>
  <c r="V52" i="9"/>
  <c r="AS52" i="9" s="1"/>
  <c r="P52" i="9"/>
  <c r="AT55" i="9"/>
  <c r="AS55" i="9" s="1"/>
  <c r="AH55" i="9"/>
  <c r="AH54" i="9"/>
  <c r="P55" i="9"/>
  <c r="R55" i="9" s="1"/>
  <c r="AT54" i="9"/>
  <c r="AS54" i="9" s="1"/>
  <c r="AN54" i="9"/>
  <c r="AT51" i="9"/>
  <c r="AS51" i="9" s="1"/>
  <c r="P51" i="9"/>
  <c r="R51" i="9" s="1"/>
  <c r="AH49" i="9"/>
  <c r="P49" i="9"/>
  <c r="C85" i="19" l="1"/>
  <c r="N84" i="19"/>
  <c r="O84" i="19"/>
  <c r="P84" i="19"/>
  <c r="Q84" i="19"/>
  <c r="R84" i="19"/>
  <c r="M84" i="19"/>
  <c r="C75" i="25"/>
  <c r="C76" i="25" s="1"/>
  <c r="C77" i="25" s="1"/>
  <c r="C78" i="25" s="1"/>
  <c r="C79" i="25" s="1"/>
  <c r="C80" i="25" s="1"/>
  <c r="E87" i="16"/>
  <c r="AP65" i="9"/>
  <c r="AR65" i="9" s="1"/>
  <c r="AQ65" i="9"/>
  <c r="AP63" i="9"/>
  <c r="AR63" i="9" s="1"/>
  <c r="AQ63" i="9"/>
  <c r="AP69" i="9"/>
  <c r="AR69" i="9" s="1"/>
  <c r="AQ69" i="9"/>
  <c r="AP54" i="9"/>
  <c r="AR54" i="9" s="1"/>
  <c r="AQ54" i="9"/>
  <c r="AP68" i="9"/>
  <c r="AR68" i="9" s="1"/>
  <c r="AQ68" i="9"/>
  <c r="AP64" i="9"/>
  <c r="AR64" i="9" s="1"/>
  <c r="AQ64" i="9"/>
  <c r="AU88" i="24"/>
  <c r="AM89" i="24"/>
  <c r="AQ90" i="24"/>
  <c r="AY89" i="24"/>
  <c r="AS89" i="24"/>
  <c r="AK90" i="24"/>
  <c r="AL90" i="24"/>
  <c r="AT89" i="24"/>
  <c r="AW89" i="24"/>
  <c r="AO90" i="24"/>
  <c r="AP90" i="24"/>
  <c r="AX89" i="24"/>
  <c r="AN62" i="9"/>
  <c r="R62" i="9"/>
  <c r="AG62" i="9" s="1"/>
  <c r="R49" i="9"/>
  <c r="AN49" i="9"/>
  <c r="AP60" i="9"/>
  <c r="AR60" i="9" s="1"/>
  <c r="R57" i="9"/>
  <c r="AN57" i="9"/>
  <c r="Y72" i="9"/>
  <c r="AE72" i="9" s="1"/>
  <c r="AF72" i="9"/>
  <c r="R53" i="9"/>
  <c r="AN53" i="9"/>
  <c r="R52" i="9"/>
  <c r="AN52" i="9"/>
  <c r="AH52" i="9"/>
  <c r="W52" i="9"/>
  <c r="Y63" i="9"/>
  <c r="AE63" i="9" s="1"/>
  <c r="O58" i="9"/>
  <c r="N58" i="9"/>
  <c r="X58" i="9" s="1"/>
  <c r="N62" i="9"/>
  <c r="X62" i="9" s="1"/>
  <c r="AD62" i="9" s="1"/>
  <c r="O62" i="9"/>
  <c r="AF62" i="9" s="1"/>
  <c r="O51" i="9"/>
  <c r="N51" i="9"/>
  <c r="X51" i="9" s="1"/>
  <c r="AD51" i="9" s="1"/>
  <c r="AG51" i="9"/>
  <c r="Y66" i="9"/>
  <c r="AE66" i="9" s="1"/>
  <c r="Y69" i="9"/>
  <c r="AE69" i="9" s="1"/>
  <c r="X48" i="9"/>
  <c r="AD48" i="9" s="1"/>
  <c r="Y70" i="9"/>
  <c r="AE70" i="9" s="1"/>
  <c r="X54" i="9"/>
  <c r="AD54" i="9" s="1"/>
  <c r="X55" i="9"/>
  <c r="AD55" i="9" s="1"/>
  <c r="X53" i="9"/>
  <c r="AD53" i="9" s="1"/>
  <c r="X49" i="9"/>
  <c r="AD49" i="9" s="1"/>
  <c r="Y68" i="9"/>
  <c r="AE68" i="9" s="1"/>
  <c r="Y65" i="9"/>
  <c r="AE65" i="9" s="1"/>
  <c r="X52" i="9"/>
  <c r="AD52" i="9" s="1"/>
  <c r="X57" i="9"/>
  <c r="AD57" i="9" s="1"/>
  <c r="X61" i="9"/>
  <c r="AD61" i="9" s="1"/>
  <c r="AF64" i="9"/>
  <c r="Y64" i="9"/>
  <c r="AE64" i="9" s="1"/>
  <c r="AG64" i="9"/>
  <c r="AF65" i="9"/>
  <c r="AG65" i="9"/>
  <c r="Y61" i="9"/>
  <c r="AE61" i="9" s="1"/>
  <c r="Y60" i="9"/>
  <c r="AH60" i="9"/>
  <c r="Y59" i="9"/>
  <c r="AE59" i="9" s="1"/>
  <c r="AN51" i="9"/>
  <c r="AN44" i="9"/>
  <c r="AQ44" i="9" s="1"/>
  <c r="AT45" i="9"/>
  <c r="AS45" i="9" s="1"/>
  <c r="AN45" i="9"/>
  <c r="AQ45" i="9" s="1"/>
  <c r="AH45" i="9"/>
  <c r="AH44" i="9"/>
  <c r="AH43" i="9"/>
  <c r="P42" i="9"/>
  <c r="R42" i="9" s="1"/>
  <c r="AN40" i="9"/>
  <c r="AH40" i="9"/>
  <c r="L39" i="9"/>
  <c r="G39" i="9"/>
  <c r="G38" i="9"/>
  <c r="L38" i="9"/>
  <c r="AN38" i="9" s="1"/>
  <c r="AQ38" i="9" s="1"/>
  <c r="V37" i="9"/>
  <c r="P37" i="9"/>
  <c r="R37" i="9" s="1"/>
  <c r="N80" i="25" l="1"/>
  <c r="Y80" i="25" s="1"/>
  <c r="P80" i="25"/>
  <c r="AA80" i="25" s="1"/>
  <c r="M80" i="25"/>
  <c r="X80" i="25" s="1"/>
  <c r="R80" i="25"/>
  <c r="AC80" i="25" s="1"/>
  <c r="O80" i="25"/>
  <c r="Z80" i="25" s="1"/>
  <c r="Q80" i="25"/>
  <c r="AB80" i="25" s="1"/>
  <c r="C86" i="19"/>
  <c r="P85" i="19"/>
  <c r="Q85" i="19"/>
  <c r="R85" i="19"/>
  <c r="M85" i="19"/>
  <c r="N85" i="19"/>
  <c r="O85" i="19"/>
  <c r="C81" i="25"/>
  <c r="I80" i="25"/>
  <c r="T80" i="25" s="1"/>
  <c r="K80" i="25"/>
  <c r="V80" i="25" s="1"/>
  <c r="J80" i="25"/>
  <c r="U80" i="25" s="1"/>
  <c r="AP49" i="9"/>
  <c r="AR49" i="9" s="1"/>
  <c r="AQ49" i="9"/>
  <c r="AP53" i="9"/>
  <c r="AR53" i="9" s="1"/>
  <c r="AQ53" i="9"/>
  <c r="AP62" i="9"/>
  <c r="AR62" i="9" s="1"/>
  <c r="AQ62" i="9"/>
  <c r="AP40" i="9"/>
  <c r="AR40" i="9" s="1"/>
  <c r="AQ40" i="9"/>
  <c r="AP51" i="9"/>
  <c r="AR51" i="9" s="1"/>
  <c r="AQ51" i="9"/>
  <c r="AP57" i="9"/>
  <c r="AR57" i="9" s="1"/>
  <c r="AQ57" i="9"/>
  <c r="AP52" i="9"/>
  <c r="AR52" i="9" s="1"/>
  <c r="AQ52" i="9"/>
  <c r="AT90" i="24"/>
  <c r="AL91" i="24"/>
  <c r="AX90" i="24"/>
  <c r="AP91" i="24"/>
  <c r="AK91" i="24"/>
  <c r="AS90" i="24"/>
  <c r="AQ91" i="24"/>
  <c r="AY90" i="24"/>
  <c r="AW90" i="24"/>
  <c r="AO91" i="24"/>
  <c r="AM90" i="24"/>
  <c r="AU89" i="24"/>
  <c r="AP45" i="9"/>
  <c r="AR45" i="9" s="1"/>
  <c r="AP38" i="9"/>
  <c r="AR38" i="9" s="1"/>
  <c r="AI52" i="9"/>
  <c r="AT52" i="9"/>
  <c r="AP44" i="9"/>
  <c r="AR44" i="9" s="1"/>
  <c r="AH37" i="9"/>
  <c r="AS37" i="9"/>
  <c r="W37" i="9"/>
  <c r="V39" i="9"/>
  <c r="AN39" i="9"/>
  <c r="AQ39" i="9" s="1"/>
  <c r="N39" i="9"/>
  <c r="X39" i="9" s="1"/>
  <c r="AD39" i="9" s="1"/>
  <c r="O39" i="9"/>
  <c r="Y39" i="9" s="1"/>
  <c r="AE39" i="9" s="1"/>
  <c r="N38" i="9"/>
  <c r="X38" i="9" s="1"/>
  <c r="AD38" i="9" s="1"/>
  <c r="O38" i="9"/>
  <c r="Y38" i="9" s="1"/>
  <c r="AE38" i="9" s="1"/>
  <c r="X43" i="9"/>
  <c r="AD43" i="9" s="1"/>
  <c r="X41" i="9"/>
  <c r="AD41" i="9" s="1"/>
  <c r="X40" i="9"/>
  <c r="AD40" i="9" s="1"/>
  <c r="AG54" i="9"/>
  <c r="Y54" i="9"/>
  <c r="AE54" i="9" s="1"/>
  <c r="AF51" i="9"/>
  <c r="Y51" i="9"/>
  <c r="AE51" i="9" s="1"/>
  <c r="AG57" i="9"/>
  <c r="Y57" i="9"/>
  <c r="AE57" i="9" s="1"/>
  <c r="AV58" i="9"/>
  <c r="Y58" i="9"/>
  <c r="AY58" i="9" s="1"/>
  <c r="X45" i="9"/>
  <c r="AD45" i="9" s="1"/>
  <c r="X37" i="9"/>
  <c r="AD37" i="9" s="1"/>
  <c r="Y62" i="9"/>
  <c r="AE62" i="9" s="1"/>
  <c r="X42" i="9"/>
  <c r="AG52" i="9"/>
  <c r="Y52" i="9"/>
  <c r="AE52" i="9" s="1"/>
  <c r="AG53" i="9"/>
  <c r="Y53" i="9"/>
  <c r="AE53" i="9" s="1"/>
  <c r="AG48" i="9"/>
  <c r="Y48" i="9"/>
  <c r="AE48" i="9" s="1"/>
  <c r="AG55" i="9"/>
  <c r="Y55" i="9"/>
  <c r="AE55" i="9" s="1"/>
  <c r="X44" i="9"/>
  <c r="AD44" i="9" s="1"/>
  <c r="AG56" i="9"/>
  <c r="Y56" i="9"/>
  <c r="AE56" i="9" s="1"/>
  <c r="AG49" i="9"/>
  <c r="Y49" i="9"/>
  <c r="AE49" i="9" s="1"/>
  <c r="AW58" i="9"/>
  <c r="AG40" i="9"/>
  <c r="AG41" i="9"/>
  <c r="AE60" i="9"/>
  <c r="AG60" i="9"/>
  <c r="AT43" i="9"/>
  <c r="AS43" i="9" s="1"/>
  <c r="AN43" i="9"/>
  <c r="AN37" i="9"/>
  <c r="AQ37" i="9" s="1"/>
  <c r="L34" i="9"/>
  <c r="AH36" i="9"/>
  <c r="G36" i="9"/>
  <c r="R36" i="9"/>
  <c r="R35" i="9"/>
  <c r="G34" i="9"/>
  <c r="AH33" i="9"/>
  <c r="R28" i="9"/>
  <c r="R32" i="9"/>
  <c r="P33" i="9"/>
  <c r="AH28" i="9"/>
  <c r="R31" i="9"/>
  <c r="G30" i="9"/>
  <c r="P30" i="9"/>
  <c r="N81" i="25" l="1"/>
  <c r="Y81" i="25" s="1"/>
  <c r="O81" i="25"/>
  <c r="Z81" i="25" s="1"/>
  <c r="P81" i="25"/>
  <c r="AA81" i="25" s="1"/>
  <c r="Q81" i="25"/>
  <c r="AB81" i="25" s="1"/>
  <c r="R81" i="25"/>
  <c r="AC81" i="25" s="1"/>
  <c r="M81" i="25"/>
  <c r="X81" i="25" s="1"/>
  <c r="C87" i="19"/>
  <c r="R86" i="19"/>
  <c r="M86" i="19"/>
  <c r="N86" i="19"/>
  <c r="O86" i="19"/>
  <c r="P86" i="19"/>
  <c r="Q86" i="19"/>
  <c r="J81" i="25"/>
  <c r="U81" i="25" s="1"/>
  <c r="I81" i="25"/>
  <c r="T81" i="25" s="1"/>
  <c r="K81" i="25"/>
  <c r="V81" i="25" s="1"/>
  <c r="C82" i="25"/>
  <c r="AP43" i="9"/>
  <c r="AR43" i="9" s="1"/>
  <c r="AQ43" i="9"/>
  <c r="AQ92" i="24"/>
  <c r="AY91" i="24"/>
  <c r="AU90" i="24"/>
  <c r="AM91" i="24"/>
  <c r="AK92" i="24"/>
  <c r="AS91" i="24"/>
  <c r="AW91" i="24"/>
  <c r="AO92" i="24"/>
  <c r="AX91" i="24"/>
  <c r="AP92" i="24"/>
  <c r="AL92" i="24"/>
  <c r="AT91" i="24"/>
  <c r="AP39" i="9"/>
  <c r="AR39" i="9" s="1"/>
  <c r="AP37" i="9"/>
  <c r="AR37" i="9" s="1"/>
  <c r="AT39" i="9"/>
  <c r="AS39" i="9" s="1"/>
  <c r="AH39" i="9"/>
  <c r="V34" i="9"/>
  <c r="AH34" i="9" s="1"/>
  <c r="AN34" i="9"/>
  <c r="AQ34" i="9" s="1"/>
  <c r="AI37" i="9"/>
  <c r="AT37" i="9"/>
  <c r="R30" i="9"/>
  <c r="Y30" i="9" s="1"/>
  <c r="W30" i="9"/>
  <c r="R33" i="9"/>
  <c r="AI33" i="9"/>
  <c r="O34" i="9"/>
  <c r="Y34" i="9" s="1"/>
  <c r="AE34" i="9" s="1"/>
  <c r="N34" i="9"/>
  <c r="X34" i="9" s="1"/>
  <c r="AD34" i="9" s="1"/>
  <c r="X31" i="9"/>
  <c r="AD31" i="9" s="1"/>
  <c r="X32" i="9"/>
  <c r="AD32" i="9" s="1"/>
  <c r="X35" i="9"/>
  <c r="AF41" i="9"/>
  <c r="Y41" i="9"/>
  <c r="AE41" i="9" s="1"/>
  <c r="X36" i="9"/>
  <c r="AD36" i="9" s="1"/>
  <c r="AG44" i="9"/>
  <c r="Y44" i="9"/>
  <c r="AE44" i="9" s="1"/>
  <c r="AG45" i="9"/>
  <c r="Y45" i="9"/>
  <c r="AE45" i="9" s="1"/>
  <c r="X30" i="9"/>
  <c r="X33" i="9"/>
  <c r="AD33" i="9" s="1"/>
  <c r="AF39" i="9"/>
  <c r="AF43" i="9"/>
  <c r="Y43" i="9"/>
  <c r="AE43" i="9" s="1"/>
  <c r="AW42" i="9"/>
  <c r="Y42" i="9"/>
  <c r="AY42" i="9" s="1"/>
  <c r="AG37" i="9"/>
  <c r="Y37" i="9"/>
  <c r="AE37" i="9" s="1"/>
  <c r="AF40" i="9"/>
  <c r="Y40" i="9"/>
  <c r="AE40" i="9" s="1"/>
  <c r="AF38" i="9"/>
  <c r="AG43" i="9"/>
  <c r="AG31" i="9"/>
  <c r="Y35" i="9"/>
  <c r="Y36" i="9"/>
  <c r="AN31" i="9"/>
  <c r="AN30" i="9"/>
  <c r="AN33" i="9"/>
  <c r="AQ33" i="9" s="1"/>
  <c r="AN32" i="9"/>
  <c r="AG32" i="9"/>
  <c r="P29" i="9"/>
  <c r="AN29" i="9" s="1"/>
  <c r="AQ29" i="9" s="1"/>
  <c r="AN28" i="9"/>
  <c r="P26" i="9"/>
  <c r="W26" i="9" s="1"/>
  <c r="Y24" i="9"/>
  <c r="G24" i="9"/>
  <c r="AT21" i="9"/>
  <c r="AS21" i="9" s="1"/>
  <c r="L20" i="9"/>
  <c r="P19" i="9"/>
  <c r="G18" i="9"/>
  <c r="G19" i="9"/>
  <c r="AT19" i="9"/>
  <c r="L18" i="9"/>
  <c r="P82" i="25" l="1"/>
  <c r="AA82" i="25" s="1"/>
  <c r="Q82" i="25"/>
  <c r="AB82" i="25" s="1"/>
  <c r="R82" i="25"/>
  <c r="AC82" i="25" s="1"/>
  <c r="M82" i="25"/>
  <c r="X82" i="25" s="1"/>
  <c r="N82" i="25"/>
  <c r="Y82" i="25" s="1"/>
  <c r="O82" i="25"/>
  <c r="Z82" i="25" s="1"/>
  <c r="C88" i="19"/>
  <c r="M87" i="19"/>
  <c r="N87" i="19"/>
  <c r="O87" i="19"/>
  <c r="P87" i="19"/>
  <c r="Q87" i="19"/>
  <c r="R87" i="19"/>
  <c r="J82" i="25"/>
  <c r="U82" i="25" s="1"/>
  <c r="C83" i="25"/>
  <c r="K82" i="25"/>
  <c r="V82" i="25" s="1"/>
  <c r="I82" i="25"/>
  <c r="T82" i="25" s="1"/>
  <c r="AP28" i="9"/>
  <c r="AR28" i="9" s="1"/>
  <c r="AQ28" i="9"/>
  <c r="AP30" i="9"/>
  <c r="AR30" i="9" s="1"/>
  <c r="AQ30" i="9"/>
  <c r="AP32" i="9"/>
  <c r="AR32" i="9" s="1"/>
  <c r="AQ32" i="9"/>
  <c r="AP31" i="9"/>
  <c r="AR31" i="9" s="1"/>
  <c r="AQ31" i="9"/>
  <c r="AQ93" i="24"/>
  <c r="AY92" i="24"/>
  <c r="AO93" i="24"/>
  <c r="AW92" i="24"/>
  <c r="AS92" i="24"/>
  <c r="AK93" i="24"/>
  <c r="AU91" i="24"/>
  <c r="AM92" i="24"/>
  <c r="AL93" i="24"/>
  <c r="AT92" i="24"/>
  <c r="AP93" i="24"/>
  <c r="AX92" i="24"/>
  <c r="AP34" i="9"/>
  <c r="AR34" i="9" s="1"/>
  <c r="AP33" i="9"/>
  <c r="AR33" i="9" s="1"/>
  <c r="AP29" i="9"/>
  <c r="AR29" i="9" s="1"/>
  <c r="AI26" i="9"/>
  <c r="AT26" i="9"/>
  <c r="V30" i="9"/>
  <c r="AS30" i="9" s="1"/>
  <c r="AT30" i="9"/>
  <c r="R29" i="9"/>
  <c r="Y29" i="9" s="1"/>
  <c r="W29" i="9"/>
  <c r="V20" i="9"/>
  <c r="AH20" i="9" s="1"/>
  <c r="N20" i="9"/>
  <c r="V18" i="9"/>
  <c r="AH18" i="9" s="1"/>
  <c r="N18" i="9"/>
  <c r="X18" i="9" s="1"/>
  <c r="AD18" i="9" s="1"/>
  <c r="AN26" i="9"/>
  <c r="AQ26" i="9" s="1"/>
  <c r="R26" i="9"/>
  <c r="Y26" i="9" s="1"/>
  <c r="R19" i="9"/>
  <c r="V19" i="9"/>
  <c r="W19" i="9"/>
  <c r="AI19" i="9" s="1"/>
  <c r="O20" i="9"/>
  <c r="Y20" i="9" s="1"/>
  <c r="X28" i="9"/>
  <c r="AD28" i="9" s="1"/>
  <c r="O18" i="9"/>
  <c r="AF34" i="9"/>
  <c r="AG25" i="9"/>
  <c r="Y25" i="9"/>
  <c r="AE25" i="9" s="1"/>
  <c r="X26" i="9"/>
  <c r="AD26" i="9" s="1"/>
  <c r="AF31" i="9"/>
  <c r="Y31" i="9"/>
  <c r="AE31" i="9" s="1"/>
  <c r="AG33" i="9"/>
  <c r="Y33" i="9"/>
  <c r="AE33" i="9" s="1"/>
  <c r="AG21" i="9"/>
  <c r="Y21" i="9"/>
  <c r="AE21" i="9" s="1"/>
  <c r="AF26" i="9"/>
  <c r="Y32" i="9"/>
  <c r="AE32" i="9" s="1"/>
  <c r="X29" i="9"/>
  <c r="AG23" i="9"/>
  <c r="Y23" i="9"/>
  <c r="AE23" i="9" s="1"/>
  <c r="X19" i="9"/>
  <c r="AD19" i="9" s="1"/>
  <c r="AE24" i="9"/>
  <c r="AF24" i="9"/>
  <c r="AF32" i="9"/>
  <c r="AE36" i="9"/>
  <c r="AG36" i="9"/>
  <c r="AG28" i="9"/>
  <c r="AN18" i="9"/>
  <c r="AQ18" i="9" s="1"/>
  <c r="AN19" i="9"/>
  <c r="AQ19" i="9" s="1"/>
  <c r="V17" i="9"/>
  <c r="AS17" i="9" s="1"/>
  <c r="P17" i="9"/>
  <c r="W17" i="9" s="1"/>
  <c r="AI17" i="9" s="1"/>
  <c r="V16" i="9"/>
  <c r="P16" i="9"/>
  <c r="AT15" i="9"/>
  <c r="V15" i="9" s="1"/>
  <c r="AH15" i="9" s="1"/>
  <c r="AN15" i="9"/>
  <c r="AK15" i="9"/>
  <c r="AT14" i="9"/>
  <c r="AN14" i="9"/>
  <c r="AQ14" i="9" s="1"/>
  <c r="V14" i="9"/>
  <c r="AH14" i="9" s="1"/>
  <c r="Y14" i="9"/>
  <c r="V13" i="9"/>
  <c r="AS13" i="9" s="1"/>
  <c r="AG13" i="9"/>
  <c r="V12" i="9"/>
  <c r="AS12" i="9" s="1"/>
  <c r="AZ12" i="9" s="1"/>
  <c r="P12" i="9"/>
  <c r="W12" i="9" s="1"/>
  <c r="AI12" i="9" s="1"/>
  <c r="R83" i="25" l="1"/>
  <c r="AC83" i="25" s="1"/>
  <c r="M83" i="25"/>
  <c r="X83" i="25" s="1"/>
  <c r="N83" i="25"/>
  <c r="Y83" i="25" s="1"/>
  <c r="O83" i="25"/>
  <c r="Z83" i="25" s="1"/>
  <c r="P83" i="25"/>
  <c r="AA83" i="25" s="1"/>
  <c r="Q83" i="25"/>
  <c r="AB83" i="25" s="1"/>
  <c r="C89" i="19"/>
  <c r="N88" i="19"/>
  <c r="O88" i="19"/>
  <c r="P88" i="19"/>
  <c r="Q88" i="19"/>
  <c r="R88" i="19"/>
  <c r="M88" i="19"/>
  <c r="J83" i="25"/>
  <c r="U83" i="25" s="1"/>
  <c r="K83" i="25"/>
  <c r="V83" i="25" s="1"/>
  <c r="C84" i="25"/>
  <c r="I83" i="25"/>
  <c r="T83" i="25" s="1"/>
  <c r="AP15" i="9"/>
  <c r="AQ15" i="9"/>
  <c r="AU92" i="24"/>
  <c r="AM93" i="24"/>
  <c r="AS93" i="24"/>
  <c r="AK94" i="24"/>
  <c r="AP94" i="24"/>
  <c r="AX93" i="24"/>
  <c r="AW93" i="24"/>
  <c r="AO94" i="24"/>
  <c r="AT93" i="24"/>
  <c r="AL94" i="24"/>
  <c r="AY93" i="24"/>
  <c r="AQ94" i="24"/>
  <c r="N12" i="9"/>
  <c r="X12" i="9" s="1"/>
  <c r="AD12" i="9" s="1"/>
  <c r="AS20" i="9"/>
  <c r="V29" i="9"/>
  <c r="AS29" i="9" s="1"/>
  <c r="AT29" i="9"/>
  <c r="AS18" i="9"/>
  <c r="AP26" i="9"/>
  <c r="AR26" i="9" s="1"/>
  <c r="AH16" i="9"/>
  <c r="AS16" i="9"/>
  <c r="AM15" i="9"/>
  <c r="AR15" i="9" s="1"/>
  <c r="AS15" i="9"/>
  <c r="AH19" i="9"/>
  <c r="AS19" i="9"/>
  <c r="R16" i="9"/>
  <c r="AG16" i="9" s="1"/>
  <c r="W16" i="9"/>
  <c r="AI16" i="9" s="1"/>
  <c r="X17" i="9"/>
  <c r="AD17" i="9" s="1"/>
  <c r="R17" i="9"/>
  <c r="AG17" i="9" s="1"/>
  <c r="AN17" i="9"/>
  <c r="R12" i="9"/>
  <c r="AP19" i="9"/>
  <c r="AR19" i="9" s="1"/>
  <c r="X20" i="9"/>
  <c r="AD20" i="9" s="1"/>
  <c r="AN20" i="9"/>
  <c r="AQ20" i="9" s="1"/>
  <c r="AP14" i="9"/>
  <c r="AR14" i="9" s="1"/>
  <c r="O12" i="9"/>
  <c r="AH13" i="9"/>
  <c r="AT13" i="9"/>
  <c r="AP18" i="9"/>
  <c r="AR18" i="9" s="1"/>
  <c r="AH17" i="9"/>
  <c r="AT17" i="9"/>
  <c r="AG19" i="9"/>
  <c r="Y19" i="9"/>
  <c r="AE19" i="9" s="1"/>
  <c r="AF16" i="9"/>
  <c r="X16" i="9"/>
  <c r="AD16" i="9" s="1"/>
  <c r="AF28" i="9"/>
  <c r="Y28" i="9"/>
  <c r="AE28" i="9" s="1"/>
  <c r="AF18" i="9"/>
  <c r="Y18" i="9"/>
  <c r="AE18" i="9" s="1"/>
  <c r="AF13" i="9"/>
  <c r="Y13" i="9"/>
  <c r="AE13" i="9" s="1"/>
  <c r="AE26" i="9"/>
  <c r="AG26" i="9"/>
  <c r="AE20" i="9"/>
  <c r="AF20" i="9"/>
  <c r="AH12" i="9"/>
  <c r="AE14" i="9"/>
  <c r="AG14" i="9"/>
  <c r="AT12" i="9"/>
  <c r="BA12" i="9" s="1"/>
  <c r="AT16" i="9"/>
  <c r="P15" i="9"/>
  <c r="AN16" i="9"/>
  <c r="AQ16" i="9" s="1"/>
  <c r="AN12" i="9"/>
  <c r="P11" i="9"/>
  <c r="Y9" i="9"/>
  <c r="M84" i="25" l="1"/>
  <c r="X84" i="25" s="1"/>
  <c r="N84" i="25"/>
  <c r="Y84" i="25" s="1"/>
  <c r="O84" i="25"/>
  <c r="Z84" i="25" s="1"/>
  <c r="P84" i="25"/>
  <c r="AA84" i="25" s="1"/>
  <c r="Q84" i="25"/>
  <c r="AB84" i="25" s="1"/>
  <c r="R84" i="25"/>
  <c r="AC84" i="25" s="1"/>
  <c r="C90" i="19"/>
  <c r="P89" i="19"/>
  <c r="Q89" i="19"/>
  <c r="R89" i="19"/>
  <c r="M89" i="19"/>
  <c r="N89" i="19"/>
  <c r="O89" i="19"/>
  <c r="K84" i="25"/>
  <c r="V84" i="25" s="1"/>
  <c r="C85" i="25"/>
  <c r="J84" i="25"/>
  <c r="U84" i="25" s="1"/>
  <c r="I84" i="25"/>
  <c r="T84" i="25" s="1"/>
  <c r="AP12" i="9"/>
  <c r="AR12" i="9" s="1"/>
  <c r="AQ12" i="9"/>
  <c r="AP17" i="9"/>
  <c r="AR17" i="9" s="1"/>
  <c r="AQ17" i="9"/>
  <c r="AY94" i="24"/>
  <c r="AQ95" i="24"/>
  <c r="AO95" i="24"/>
  <c r="AW94" i="24"/>
  <c r="AU93" i="24"/>
  <c r="AM94" i="24"/>
  <c r="AP95" i="24"/>
  <c r="AX94" i="24"/>
  <c r="AL95" i="24"/>
  <c r="AT94" i="24"/>
  <c r="AK95" i="24"/>
  <c r="AS94" i="24"/>
  <c r="W15" i="9"/>
  <c r="AI15" i="9" s="1"/>
  <c r="V11" i="9"/>
  <c r="W11" i="9"/>
  <c r="AP16" i="9"/>
  <c r="AR16" i="9" s="1"/>
  <c r="X15" i="9"/>
  <c r="AD15" i="9" s="1"/>
  <c r="R15" i="9"/>
  <c r="AG15" i="9" s="1"/>
  <c r="AT20" i="9"/>
  <c r="AP20" i="9"/>
  <c r="AR20" i="9" s="1"/>
  <c r="R11" i="9"/>
  <c r="Y16" i="9"/>
  <c r="AE16" i="9" s="1"/>
  <c r="AN11" i="9"/>
  <c r="AQ11" i="9" s="1"/>
  <c r="X11" i="9"/>
  <c r="AD11" i="9" s="1"/>
  <c r="AF17" i="9"/>
  <c r="Y17" i="9"/>
  <c r="AE17" i="9" s="1"/>
  <c r="AF15" i="9"/>
  <c r="Y12" i="9"/>
  <c r="AE12" i="9" s="1"/>
  <c r="AE9" i="9"/>
  <c r="AG9" i="9"/>
  <c r="AV12" i="9"/>
  <c r="AF12" i="9"/>
  <c r="AW12" i="9"/>
  <c r="AG12" i="9"/>
  <c r="N85" i="25" l="1"/>
  <c r="Y85" i="25" s="1"/>
  <c r="O85" i="25"/>
  <c r="Z85" i="25" s="1"/>
  <c r="P85" i="25"/>
  <c r="AA85" i="25" s="1"/>
  <c r="Q85" i="25"/>
  <c r="AB85" i="25" s="1"/>
  <c r="R85" i="25"/>
  <c r="AC85" i="25" s="1"/>
  <c r="M85" i="25"/>
  <c r="X85" i="25" s="1"/>
  <c r="C91" i="19"/>
  <c r="R90" i="19"/>
  <c r="M90" i="19"/>
  <c r="N90" i="19"/>
  <c r="O90" i="19"/>
  <c r="P90" i="19"/>
  <c r="Q90" i="19"/>
  <c r="J85" i="25"/>
  <c r="U85" i="25" s="1"/>
  <c r="K85" i="25"/>
  <c r="V85" i="25" s="1"/>
  <c r="C86" i="25"/>
  <c r="I85" i="25"/>
  <c r="T85" i="25" s="1"/>
  <c r="J5" i="12"/>
  <c r="J6" i="12" s="1"/>
  <c r="J7" i="12" s="1"/>
  <c r="J8" i="12" s="1"/>
  <c r="J9" i="12" s="1"/>
  <c r="J10" i="12" s="1"/>
  <c r="J11" i="12" s="1"/>
  <c r="J12" i="12" s="1"/>
  <c r="J13" i="12" s="1"/>
  <c r="J14" i="12" s="1"/>
  <c r="J15" i="12" s="1"/>
  <c r="J16" i="12" s="1"/>
  <c r="J17" i="12" s="1"/>
  <c r="J18" i="12" s="1"/>
  <c r="J19" i="12" s="1"/>
  <c r="J20" i="12" s="1"/>
  <c r="J21" i="12" s="1"/>
  <c r="J22" i="12" s="1"/>
  <c r="J23" i="12" s="1"/>
  <c r="J24" i="12" s="1"/>
  <c r="J25" i="12" s="1"/>
  <c r="J26" i="12" s="1"/>
  <c r="J27" i="12" s="1"/>
  <c r="J28" i="12" s="1"/>
  <c r="J29" i="12" s="1"/>
  <c r="J30" i="12" s="1"/>
  <c r="J31" i="12" s="1"/>
  <c r="J32" i="12" s="1"/>
  <c r="J33" i="12" s="1"/>
  <c r="J34" i="12" s="1"/>
  <c r="J35" i="12" s="1"/>
  <c r="J36" i="12" s="1"/>
  <c r="J37" i="12" s="1"/>
  <c r="J38" i="12" s="1"/>
  <c r="J39" i="12" s="1"/>
  <c r="J40" i="12" s="1"/>
  <c r="J41" i="12" s="1"/>
  <c r="J42" i="12" s="1"/>
  <c r="J43" i="12" s="1"/>
  <c r="J44" i="12" s="1"/>
  <c r="J45" i="12" s="1"/>
  <c r="J46" i="12" s="1"/>
  <c r="J47" i="12" s="1"/>
  <c r="J48" i="12" s="1"/>
  <c r="J49" i="12" s="1"/>
  <c r="J50" i="12" s="1"/>
  <c r="J51" i="12" s="1"/>
  <c r="J52" i="12" s="1"/>
  <c r="J53" i="12" s="1"/>
  <c r="J54" i="12" s="1"/>
  <c r="J55" i="12" s="1"/>
  <c r="J56" i="12" s="1"/>
  <c r="J57" i="12" s="1"/>
  <c r="J58" i="12" s="1"/>
  <c r="J59" i="12" s="1"/>
  <c r="J60" i="12" s="1"/>
  <c r="J61" i="12" s="1"/>
  <c r="J62" i="12" s="1"/>
  <c r="J63" i="12" s="1"/>
  <c r="J64" i="12" s="1"/>
  <c r="J65" i="12" s="1"/>
  <c r="J66" i="12" s="1"/>
  <c r="J67" i="12" s="1"/>
  <c r="J68" i="12" s="1"/>
  <c r="J69" i="12" s="1"/>
  <c r="J70" i="12" s="1"/>
  <c r="J71" i="12" s="1"/>
  <c r="J72" i="12" s="1"/>
  <c r="J73" i="12" s="1"/>
  <c r="J74" i="12" s="1"/>
  <c r="J75" i="12" s="1"/>
  <c r="J76" i="12" s="1"/>
  <c r="J77" i="12" s="1"/>
  <c r="J78" i="12" s="1"/>
  <c r="J79" i="12" s="1"/>
  <c r="J80" i="12" s="1"/>
  <c r="J81" i="12" s="1"/>
  <c r="J82" i="12" s="1"/>
  <c r="J83" i="12" s="1"/>
  <c r="J84" i="12" s="1"/>
  <c r="J85" i="12" s="1"/>
  <c r="J86" i="12" s="1"/>
  <c r="J87" i="12" s="1"/>
  <c r="J88" i="12" s="1"/>
  <c r="J89" i="12" s="1"/>
  <c r="J90" i="12" s="1"/>
  <c r="J91" i="12" s="1"/>
  <c r="J92" i="12" s="1"/>
  <c r="J93" i="12" s="1"/>
  <c r="J94" i="12" s="1"/>
  <c r="J95" i="12" s="1"/>
  <c r="J96" i="12" s="1"/>
  <c r="J97" i="12" s="1"/>
  <c r="J98" i="12" s="1"/>
  <c r="J99" i="12" s="1"/>
  <c r="J100" i="12" s="1"/>
  <c r="J101" i="12" s="1"/>
  <c r="J102" i="12" s="1"/>
  <c r="J103" i="12" s="1"/>
  <c r="J104" i="12" s="1"/>
  <c r="J105" i="12" s="1"/>
  <c r="J106" i="12" s="1"/>
  <c r="J107" i="12" s="1"/>
  <c r="J108" i="12" s="1"/>
  <c r="J109" i="12" s="1"/>
  <c r="J110" i="12" s="1"/>
  <c r="J111" i="12" s="1"/>
  <c r="J112" i="12" s="1"/>
  <c r="J113" i="12" s="1"/>
  <c r="J114" i="12" s="1"/>
  <c r="J115" i="12" s="1"/>
  <c r="J116" i="12" s="1"/>
  <c r="J117" i="12" s="1"/>
  <c r="J118" i="12" s="1"/>
  <c r="J119" i="12" s="1"/>
  <c r="J120" i="12" s="1"/>
  <c r="J121" i="12" s="1"/>
  <c r="J122" i="12" s="1"/>
  <c r="J123" i="12" s="1"/>
  <c r="J124" i="12" s="1"/>
  <c r="J125" i="12" s="1"/>
  <c r="AY95" i="24"/>
  <c r="AQ96" i="24"/>
  <c r="AU94" i="24"/>
  <c r="AM95" i="24"/>
  <c r="AS95" i="24"/>
  <c r="AK96" i="24"/>
  <c r="AT95" i="24"/>
  <c r="AL96" i="24"/>
  <c r="AX95" i="24"/>
  <c r="AP96" i="24"/>
  <c r="AW95" i="24"/>
  <c r="AO96" i="24"/>
  <c r="AI11" i="9"/>
  <c r="Y11" i="9"/>
  <c r="AS11" i="9"/>
  <c r="AP11" i="9"/>
  <c r="AH11" i="9"/>
  <c r="AT11" i="9"/>
  <c r="Y15" i="9"/>
  <c r="AE15" i="9" s="1"/>
  <c r="AP4" i="9"/>
  <c r="AR4" i="9" s="1"/>
  <c r="AG11" i="9"/>
  <c r="AY12" i="9"/>
  <c r="P86" i="25" l="1"/>
  <c r="AA86" i="25" s="1"/>
  <c r="Q86" i="25"/>
  <c r="AB86" i="25" s="1"/>
  <c r="R86" i="25"/>
  <c r="AC86" i="25" s="1"/>
  <c r="M86" i="25"/>
  <c r="X86" i="25" s="1"/>
  <c r="N86" i="25"/>
  <c r="Y86" i="25" s="1"/>
  <c r="O86" i="25"/>
  <c r="Z86" i="25" s="1"/>
  <c r="C92" i="19"/>
  <c r="M91" i="19"/>
  <c r="N91" i="19"/>
  <c r="O91" i="19"/>
  <c r="P91" i="19"/>
  <c r="Q91" i="19"/>
  <c r="R91" i="19"/>
  <c r="C87" i="25"/>
  <c r="J86" i="25"/>
  <c r="U86" i="25" s="1"/>
  <c r="I86" i="25"/>
  <c r="T86" i="25" s="1"/>
  <c r="K86" i="25"/>
  <c r="V86" i="25" s="1"/>
  <c r="AR11" i="9"/>
  <c r="P79" i="12"/>
  <c r="W79" i="20" s="1"/>
  <c r="J5" i="18"/>
  <c r="J6" i="18" s="1"/>
  <c r="J7" i="18" s="1"/>
  <c r="J8" i="18" s="1"/>
  <c r="J9" i="18" s="1"/>
  <c r="J10" i="18" s="1"/>
  <c r="J11" i="18" s="1"/>
  <c r="J12" i="18" s="1"/>
  <c r="J13" i="18" s="1"/>
  <c r="J14" i="18" s="1"/>
  <c r="J15" i="18" s="1"/>
  <c r="J16" i="18" s="1"/>
  <c r="J17" i="18" s="1"/>
  <c r="J18" i="18" s="1"/>
  <c r="J19" i="18" s="1"/>
  <c r="J20" i="18" s="1"/>
  <c r="J21" i="18" s="1"/>
  <c r="J22" i="18" s="1"/>
  <c r="J23" i="18" s="1"/>
  <c r="J24" i="18" s="1"/>
  <c r="J25" i="18" s="1"/>
  <c r="J26" i="18" s="1"/>
  <c r="J27" i="18" s="1"/>
  <c r="J28" i="18" s="1"/>
  <c r="J29" i="18" s="1"/>
  <c r="J30" i="18" s="1"/>
  <c r="J31" i="18" s="1"/>
  <c r="J32" i="18" s="1"/>
  <c r="J33" i="18" s="1"/>
  <c r="J34" i="18" s="1"/>
  <c r="J35" i="18" s="1"/>
  <c r="J36" i="18" s="1"/>
  <c r="J37" i="18" s="1"/>
  <c r="J38" i="18" s="1"/>
  <c r="J39" i="18" s="1"/>
  <c r="J40" i="18" s="1"/>
  <c r="J41" i="18" s="1"/>
  <c r="J42" i="18" s="1"/>
  <c r="J43" i="18" s="1"/>
  <c r="J44" i="18" s="1"/>
  <c r="J45" i="18" s="1"/>
  <c r="J46" i="18" s="1"/>
  <c r="J47" i="18" s="1"/>
  <c r="J48" i="18" s="1"/>
  <c r="J49" i="18" s="1"/>
  <c r="J50" i="18" s="1"/>
  <c r="J51" i="18" s="1"/>
  <c r="J52" i="18" s="1"/>
  <c r="J53" i="18" s="1"/>
  <c r="J54" i="18" s="1"/>
  <c r="J55" i="18" s="1"/>
  <c r="J56" i="18" s="1"/>
  <c r="J57" i="18" s="1"/>
  <c r="J58" i="18" s="1"/>
  <c r="J59" i="18" s="1"/>
  <c r="J60" i="18" s="1"/>
  <c r="J61" i="18" s="1"/>
  <c r="J62" i="18" s="1"/>
  <c r="J63" i="18" s="1"/>
  <c r="J64" i="18" s="1"/>
  <c r="J65" i="18" s="1"/>
  <c r="J66" i="18" s="1"/>
  <c r="J67" i="18" s="1"/>
  <c r="J68" i="18" s="1"/>
  <c r="J69" i="18" s="1"/>
  <c r="J70" i="18" s="1"/>
  <c r="J71" i="18" s="1"/>
  <c r="J72" i="18" s="1"/>
  <c r="J73" i="18" s="1"/>
  <c r="J74" i="18" s="1"/>
  <c r="J75" i="18" s="1"/>
  <c r="J76" i="18" s="1"/>
  <c r="J77" i="18" s="1"/>
  <c r="J78" i="18" s="1"/>
  <c r="J79" i="18" s="1"/>
  <c r="J80" i="18" s="1"/>
  <c r="J81" i="18" s="1"/>
  <c r="AK97" i="24"/>
  <c r="AS96" i="24"/>
  <c r="AW96" i="24"/>
  <c r="AO97" i="24"/>
  <c r="AP97" i="24"/>
  <c r="AX96" i="24"/>
  <c r="AU95" i="24"/>
  <c r="AM96" i="24"/>
  <c r="AL97" i="24"/>
  <c r="AT96" i="24"/>
  <c r="AQ97" i="24"/>
  <c r="AY96" i="24"/>
  <c r="O79" i="12"/>
  <c r="V79" i="20" s="1"/>
  <c r="P50" i="12"/>
  <c r="W50" i="20" s="1"/>
  <c r="P70" i="12"/>
  <c r="W70" i="20" s="1"/>
  <c r="Q40" i="12"/>
  <c r="Q13" i="12"/>
  <c r="P15" i="12"/>
  <c r="W15" i="20" s="1"/>
  <c r="Q14" i="12"/>
  <c r="P6" i="12"/>
  <c r="W6" i="20" s="1"/>
  <c r="Q30" i="12"/>
  <c r="Q36" i="12"/>
  <c r="AE11" i="9"/>
  <c r="O9" i="12"/>
  <c r="V9" i="20" s="1"/>
  <c r="Q64" i="12"/>
  <c r="Q57" i="12"/>
  <c r="O8" i="12"/>
  <c r="V8" i="20" s="1"/>
  <c r="Q41" i="12"/>
  <c r="P41" i="12"/>
  <c r="W41" i="20" s="1"/>
  <c r="O41" i="12"/>
  <c r="V41" i="20" s="1"/>
  <c r="O75" i="12"/>
  <c r="V75" i="20" s="1"/>
  <c r="P75" i="12"/>
  <c r="W75" i="20" s="1"/>
  <c r="P28" i="12"/>
  <c r="W28" i="20" s="1"/>
  <c r="O28" i="12"/>
  <c r="V28" i="20" s="1"/>
  <c r="Q28" i="12"/>
  <c r="Q17" i="12"/>
  <c r="P17" i="12"/>
  <c r="W17" i="20" s="1"/>
  <c r="Q12" i="12"/>
  <c r="P53" i="12"/>
  <c r="W53" i="20" s="1"/>
  <c r="P20" i="12"/>
  <c r="W20" i="20" s="1"/>
  <c r="P49" i="12"/>
  <c r="W49" i="20" s="1"/>
  <c r="P32" i="12"/>
  <c r="W32" i="20" s="1"/>
  <c r="O32" i="12"/>
  <c r="V32" i="20" s="1"/>
  <c r="Q32" i="12"/>
  <c r="Q56" i="12"/>
  <c r="P56" i="12"/>
  <c r="W56" i="20" s="1"/>
  <c r="O56" i="12"/>
  <c r="V56" i="20" s="1"/>
  <c r="P34" i="12"/>
  <c r="W34" i="20" s="1"/>
  <c r="Q34" i="12"/>
  <c r="O34" i="12"/>
  <c r="V34" i="20" s="1"/>
  <c r="Q71" i="12"/>
  <c r="O71" i="12"/>
  <c r="V71" i="20" s="1"/>
  <c r="P71" i="12"/>
  <c r="W71" i="20" s="1"/>
  <c r="Q5" i="12"/>
  <c r="U5" i="12" s="1"/>
  <c r="P5" i="12"/>
  <c r="I5" i="12"/>
  <c r="O5" i="12"/>
  <c r="R87" i="25" l="1"/>
  <c r="AC87" i="25" s="1"/>
  <c r="M87" i="25"/>
  <c r="X87" i="25" s="1"/>
  <c r="N87" i="25"/>
  <c r="Y87" i="25" s="1"/>
  <c r="O87" i="25"/>
  <c r="P87" i="25"/>
  <c r="AA87" i="25" s="1"/>
  <c r="Q87" i="25"/>
  <c r="AB87" i="25" s="1"/>
  <c r="S5" i="12"/>
  <c r="V5" i="20"/>
  <c r="T5" i="12"/>
  <c r="T6" i="12" s="1"/>
  <c r="W5" i="20"/>
  <c r="J82" i="18"/>
  <c r="C93" i="19"/>
  <c r="N92" i="19"/>
  <c r="O92" i="19"/>
  <c r="P92" i="19"/>
  <c r="Q92" i="19"/>
  <c r="R92" i="19"/>
  <c r="M92" i="19"/>
  <c r="I87" i="25"/>
  <c r="T87" i="25" s="1"/>
  <c r="Z87" i="25"/>
  <c r="J87" i="25"/>
  <c r="U87" i="25" s="1"/>
  <c r="K87" i="25"/>
  <c r="V87" i="25" s="1"/>
  <c r="C88" i="25"/>
  <c r="O53" i="12"/>
  <c r="V53" i="20" s="1"/>
  <c r="Q53" i="12"/>
  <c r="Q55" i="12"/>
  <c r="O55" i="12"/>
  <c r="V55" i="20" s="1"/>
  <c r="P55" i="12"/>
  <c r="W55" i="20" s="1"/>
  <c r="P19" i="12"/>
  <c r="W19" i="20" s="1"/>
  <c r="O30" i="12"/>
  <c r="V30" i="20" s="1"/>
  <c r="Q75" i="12"/>
  <c r="P30" i="12"/>
  <c r="W30" i="20" s="1"/>
  <c r="Q24" i="12"/>
  <c r="Q42" i="12"/>
  <c r="O19" i="12"/>
  <c r="V19" i="20" s="1"/>
  <c r="Q19" i="12"/>
  <c r="Q70" i="12"/>
  <c r="Q58" i="12"/>
  <c r="O70" i="12"/>
  <c r="V70" i="20" s="1"/>
  <c r="P58" i="12"/>
  <c r="W58" i="20" s="1"/>
  <c r="O58" i="12"/>
  <c r="V58" i="20" s="1"/>
  <c r="O17" i="12"/>
  <c r="V17" i="20" s="1"/>
  <c r="Q61" i="12"/>
  <c r="O68" i="12"/>
  <c r="V68" i="20" s="1"/>
  <c r="Q68" i="12"/>
  <c r="Q23" i="12"/>
  <c r="O23" i="12"/>
  <c r="V23" i="20" s="1"/>
  <c r="P23" i="12"/>
  <c r="W23" i="20" s="1"/>
  <c r="P10" i="12"/>
  <c r="W10" i="20" s="1"/>
  <c r="P61" i="12"/>
  <c r="W61" i="20" s="1"/>
  <c r="Q18" i="12"/>
  <c r="O40" i="12"/>
  <c r="V40" i="20" s="1"/>
  <c r="Q50" i="12"/>
  <c r="O18" i="12"/>
  <c r="V18" i="20" s="1"/>
  <c r="P24" i="12"/>
  <c r="W24" i="20" s="1"/>
  <c r="Q79" i="12"/>
  <c r="Q62" i="12"/>
  <c r="O38" i="12"/>
  <c r="V38" i="20" s="1"/>
  <c r="O51" i="12"/>
  <c r="V51" i="20" s="1"/>
  <c r="Q20" i="12"/>
  <c r="P51" i="12"/>
  <c r="W51" i="20" s="1"/>
  <c r="P26" i="12"/>
  <c r="W26" i="20" s="1"/>
  <c r="O54" i="12"/>
  <c r="V54" i="20" s="1"/>
  <c r="P72" i="12"/>
  <c r="W72" i="20" s="1"/>
  <c r="O20" i="12"/>
  <c r="V20" i="20" s="1"/>
  <c r="O42" i="12"/>
  <c r="V42" i="20" s="1"/>
  <c r="O72" i="12"/>
  <c r="V72" i="20" s="1"/>
  <c r="K5" i="18"/>
  <c r="K6" i="18" s="1"/>
  <c r="K7" i="18" s="1"/>
  <c r="K8" i="18" s="1"/>
  <c r="K9" i="18" s="1"/>
  <c r="K10" i="18" s="1"/>
  <c r="K11" i="18" s="1"/>
  <c r="K12" i="18" s="1"/>
  <c r="K13" i="18" s="1"/>
  <c r="K14" i="18" s="1"/>
  <c r="K15" i="18" s="1"/>
  <c r="K16" i="18" s="1"/>
  <c r="K17" i="18" s="1"/>
  <c r="K18" i="18" s="1"/>
  <c r="K19" i="18" s="1"/>
  <c r="K20" i="18" s="1"/>
  <c r="K21" i="18" s="1"/>
  <c r="K22" i="18" s="1"/>
  <c r="K23" i="18" s="1"/>
  <c r="K24" i="18" s="1"/>
  <c r="K25" i="18" s="1"/>
  <c r="K26" i="18" s="1"/>
  <c r="K27" i="18" s="1"/>
  <c r="K28" i="18" s="1"/>
  <c r="K29" i="18" s="1"/>
  <c r="K30" i="18" s="1"/>
  <c r="K31" i="18" s="1"/>
  <c r="K32" i="18" s="1"/>
  <c r="K33" i="18" s="1"/>
  <c r="K34" i="18" s="1"/>
  <c r="K35" i="18" s="1"/>
  <c r="K36" i="18" s="1"/>
  <c r="K37" i="18" s="1"/>
  <c r="K38" i="18" s="1"/>
  <c r="K39" i="18" s="1"/>
  <c r="K40" i="18" s="1"/>
  <c r="K41" i="18" s="1"/>
  <c r="K42" i="18" s="1"/>
  <c r="K43" i="18" s="1"/>
  <c r="K44" i="18" s="1"/>
  <c r="K45" i="18" s="1"/>
  <c r="K46" i="18" s="1"/>
  <c r="K47" i="18" s="1"/>
  <c r="K48" i="18" s="1"/>
  <c r="K49" i="18" s="1"/>
  <c r="K50" i="18" s="1"/>
  <c r="K51" i="18" s="1"/>
  <c r="K52" i="18" s="1"/>
  <c r="K53" i="18" s="1"/>
  <c r="K54" i="18" s="1"/>
  <c r="K55" i="18" s="1"/>
  <c r="K56" i="18" s="1"/>
  <c r="K57" i="18" s="1"/>
  <c r="K58" i="18" s="1"/>
  <c r="K59" i="18" s="1"/>
  <c r="K60" i="18" s="1"/>
  <c r="K61" i="18" s="1"/>
  <c r="K62" i="18" s="1"/>
  <c r="K63" i="18" s="1"/>
  <c r="K64" i="18" s="1"/>
  <c r="K65" i="18" s="1"/>
  <c r="K66" i="18" s="1"/>
  <c r="K67" i="18" s="1"/>
  <c r="K68" i="18" s="1"/>
  <c r="K69" i="18" s="1"/>
  <c r="K70" i="18" s="1"/>
  <c r="K71" i="18" s="1"/>
  <c r="K72" i="18" s="1"/>
  <c r="K73" i="18" s="1"/>
  <c r="K74" i="18" s="1"/>
  <c r="K75" i="18" s="1"/>
  <c r="K76" i="18" s="1"/>
  <c r="K77" i="18" s="1"/>
  <c r="K78" i="18" s="1"/>
  <c r="K79" i="18" s="1"/>
  <c r="K80" i="18" s="1"/>
  <c r="K81" i="18" s="1"/>
  <c r="K82" i="18" s="1"/>
  <c r="K83" i="18" s="1"/>
  <c r="K84" i="18" s="1"/>
  <c r="K85" i="18" s="1"/>
  <c r="K86" i="18" s="1"/>
  <c r="K87" i="18" s="1"/>
  <c r="K88" i="18" s="1"/>
  <c r="K89" i="18" s="1"/>
  <c r="K90" i="18" s="1"/>
  <c r="K91" i="18" s="1"/>
  <c r="K92" i="18" s="1"/>
  <c r="K93" i="18" s="1"/>
  <c r="K94" i="18" s="1"/>
  <c r="K95" i="18" s="1"/>
  <c r="K96" i="18" s="1"/>
  <c r="K97" i="18" s="1"/>
  <c r="L5" i="18"/>
  <c r="L6" i="18" s="1"/>
  <c r="L7" i="18" s="1"/>
  <c r="L8" i="18" s="1"/>
  <c r="L9" i="18" s="1"/>
  <c r="L10" i="18" s="1"/>
  <c r="L11" i="18" s="1"/>
  <c r="L12" i="18" s="1"/>
  <c r="L13" i="18" s="1"/>
  <c r="L14" i="18" s="1"/>
  <c r="L15" i="18" s="1"/>
  <c r="L16" i="18" s="1"/>
  <c r="L17" i="18" s="1"/>
  <c r="L18" i="18" s="1"/>
  <c r="L19" i="18" s="1"/>
  <c r="L20" i="18" s="1"/>
  <c r="L21" i="18" s="1"/>
  <c r="L22" i="18" s="1"/>
  <c r="L23" i="18" s="1"/>
  <c r="L24" i="18" s="1"/>
  <c r="L25" i="18" s="1"/>
  <c r="L26" i="18" s="1"/>
  <c r="L27" i="18" s="1"/>
  <c r="L28" i="18" s="1"/>
  <c r="L29" i="18" s="1"/>
  <c r="L30" i="18" s="1"/>
  <c r="L31" i="18" s="1"/>
  <c r="L32" i="18" s="1"/>
  <c r="L33" i="18" s="1"/>
  <c r="L34" i="18" s="1"/>
  <c r="L35" i="18" s="1"/>
  <c r="L36" i="18" s="1"/>
  <c r="L37" i="18" s="1"/>
  <c r="L38" i="18" s="1"/>
  <c r="L39" i="18" s="1"/>
  <c r="L40" i="18" s="1"/>
  <c r="L41" i="18" s="1"/>
  <c r="L42" i="18" s="1"/>
  <c r="L43" i="18" s="1"/>
  <c r="L44" i="18" s="1"/>
  <c r="L45" i="18" s="1"/>
  <c r="L46" i="18" s="1"/>
  <c r="L47" i="18" s="1"/>
  <c r="L48" i="18" s="1"/>
  <c r="L49" i="18" s="1"/>
  <c r="L50" i="18" s="1"/>
  <c r="L51" i="18" s="1"/>
  <c r="L52" i="18" s="1"/>
  <c r="L53" i="18" s="1"/>
  <c r="L54" i="18" s="1"/>
  <c r="L55" i="18" s="1"/>
  <c r="L56" i="18" s="1"/>
  <c r="L57" i="18" s="1"/>
  <c r="L58" i="18" s="1"/>
  <c r="L59" i="18" s="1"/>
  <c r="L60" i="18" s="1"/>
  <c r="L61" i="18" s="1"/>
  <c r="L62" i="18" s="1"/>
  <c r="L63" i="18" s="1"/>
  <c r="L64" i="18" s="1"/>
  <c r="L65" i="18" s="1"/>
  <c r="L66" i="18" s="1"/>
  <c r="L67" i="18" s="1"/>
  <c r="L68" i="18" s="1"/>
  <c r="L69" i="18" s="1"/>
  <c r="L70" i="18" s="1"/>
  <c r="L71" i="18" s="1"/>
  <c r="L72" i="18" s="1"/>
  <c r="L73" i="18" s="1"/>
  <c r="L74" i="18" s="1"/>
  <c r="L75" i="18" s="1"/>
  <c r="L76" i="18" s="1"/>
  <c r="L77" i="18" s="1"/>
  <c r="L78" i="18" s="1"/>
  <c r="L79" i="18" s="1"/>
  <c r="L80" i="18" s="1"/>
  <c r="L81" i="18" s="1"/>
  <c r="L82" i="18" s="1"/>
  <c r="L83" i="18" s="1"/>
  <c r="L84" i="18" s="1"/>
  <c r="L85" i="18" s="1"/>
  <c r="L86" i="18" s="1"/>
  <c r="L87" i="18" s="1"/>
  <c r="L88" i="18" s="1"/>
  <c r="L89" i="18" s="1"/>
  <c r="L90" i="18" s="1"/>
  <c r="L91" i="18" s="1"/>
  <c r="L92" i="18" s="1"/>
  <c r="L93" i="18" s="1"/>
  <c r="L94" i="18" s="1"/>
  <c r="L95" i="18" s="1"/>
  <c r="L96" i="18" s="1"/>
  <c r="L97" i="18" s="1"/>
  <c r="L98" i="18" s="1"/>
  <c r="L99" i="18" s="1"/>
  <c r="L100" i="18" s="1"/>
  <c r="L101" i="18" s="1"/>
  <c r="L102" i="18" s="1"/>
  <c r="L103" i="18" s="1"/>
  <c r="L104" i="18" s="1"/>
  <c r="L105" i="18" s="1"/>
  <c r="L106" i="18" s="1"/>
  <c r="L107" i="18" s="1"/>
  <c r="L108" i="18" s="1"/>
  <c r="L109" i="18" s="1"/>
  <c r="L110" i="18" s="1"/>
  <c r="L111" i="18" s="1"/>
  <c r="L112" i="18" s="1"/>
  <c r="L113" i="18" s="1"/>
  <c r="L114" i="18" s="1"/>
  <c r="L115" i="18" s="1"/>
  <c r="L116" i="18" s="1"/>
  <c r="L117" i="18" s="1"/>
  <c r="L118" i="18" s="1"/>
  <c r="L119" i="18" s="1"/>
  <c r="L120" i="18" s="1"/>
  <c r="L121" i="18" s="1"/>
  <c r="L122" i="18" s="1"/>
  <c r="L123" i="18" s="1"/>
  <c r="L124" i="18" s="1"/>
  <c r="L125" i="18" s="1"/>
  <c r="P40" i="12"/>
  <c r="W40" i="20" s="1"/>
  <c r="O50" i="12"/>
  <c r="V50" i="20" s="1"/>
  <c r="Q51" i="12"/>
  <c r="O24" i="12"/>
  <c r="V24" i="20" s="1"/>
  <c r="L5" i="12"/>
  <c r="L6" i="12" s="1"/>
  <c r="L7" i="12" s="1"/>
  <c r="L8" i="12" s="1"/>
  <c r="L9" i="12" s="1"/>
  <c r="L10" i="12" s="1"/>
  <c r="L11" i="12" s="1"/>
  <c r="L12" i="12" s="1"/>
  <c r="L13" i="12" s="1"/>
  <c r="L14" i="12" s="1"/>
  <c r="L15" i="12" s="1"/>
  <c r="L16" i="12" s="1"/>
  <c r="L17" i="12" s="1"/>
  <c r="L18" i="12" s="1"/>
  <c r="L19" i="12" s="1"/>
  <c r="L20" i="12" s="1"/>
  <c r="L21" i="12" s="1"/>
  <c r="L22" i="12" s="1"/>
  <c r="L23" i="12" s="1"/>
  <c r="L24" i="12" s="1"/>
  <c r="L25" i="12" s="1"/>
  <c r="L26" i="12" s="1"/>
  <c r="L27" i="12" s="1"/>
  <c r="L28" i="12" s="1"/>
  <c r="L29" i="12" s="1"/>
  <c r="L30" i="12" s="1"/>
  <c r="L31" i="12" s="1"/>
  <c r="L32" i="12" s="1"/>
  <c r="L33" i="12" s="1"/>
  <c r="L34" i="12" s="1"/>
  <c r="L35" i="12" s="1"/>
  <c r="L36" i="12" s="1"/>
  <c r="L37" i="12" s="1"/>
  <c r="L38" i="12" s="1"/>
  <c r="L39" i="12" s="1"/>
  <c r="L40" i="12" s="1"/>
  <c r="L41" i="12" s="1"/>
  <c r="L42" i="12" s="1"/>
  <c r="L43" i="12" s="1"/>
  <c r="L44" i="12" s="1"/>
  <c r="L45" i="12" s="1"/>
  <c r="L46" i="12" s="1"/>
  <c r="L47" i="12" s="1"/>
  <c r="L48" i="12" s="1"/>
  <c r="L49" i="12" s="1"/>
  <c r="L50" i="12" s="1"/>
  <c r="L51" i="12" s="1"/>
  <c r="L52" i="12" s="1"/>
  <c r="L53" i="12" s="1"/>
  <c r="L54" i="12" s="1"/>
  <c r="L55" i="12" s="1"/>
  <c r="L56" i="12" s="1"/>
  <c r="L57" i="12" s="1"/>
  <c r="L58" i="12" s="1"/>
  <c r="L59" i="12" s="1"/>
  <c r="L60" i="12" s="1"/>
  <c r="L61" i="12" s="1"/>
  <c r="L62" i="12" s="1"/>
  <c r="L63" i="12" s="1"/>
  <c r="L64" i="12" s="1"/>
  <c r="L65" i="12" s="1"/>
  <c r="L66" i="12" s="1"/>
  <c r="L67" i="12" s="1"/>
  <c r="L68" i="12" s="1"/>
  <c r="L69" i="12" s="1"/>
  <c r="L70" i="12" s="1"/>
  <c r="L71" i="12" s="1"/>
  <c r="L72" i="12" s="1"/>
  <c r="L73" i="12" s="1"/>
  <c r="L74" i="12" s="1"/>
  <c r="L75" i="12" s="1"/>
  <c r="L76" i="12" s="1"/>
  <c r="L77" i="12" s="1"/>
  <c r="L78" i="12" s="1"/>
  <c r="L79" i="12" s="1"/>
  <c r="L80" i="12" s="1"/>
  <c r="L81" i="12" s="1"/>
  <c r="L82" i="12" s="1"/>
  <c r="L83" i="12" s="1"/>
  <c r="L84" i="12" s="1"/>
  <c r="L85" i="12" s="1"/>
  <c r="L86" i="12" s="1"/>
  <c r="L87" i="12" s="1"/>
  <c r="L88" i="12" s="1"/>
  <c r="L89" i="12" s="1"/>
  <c r="L90" i="12" s="1"/>
  <c r="L91" i="12" s="1"/>
  <c r="L92" i="12" s="1"/>
  <c r="L93" i="12" s="1"/>
  <c r="L94" i="12" s="1"/>
  <c r="L95" i="12" s="1"/>
  <c r="L96" i="12" s="1"/>
  <c r="L97" i="12" s="1"/>
  <c r="L98" i="12" s="1"/>
  <c r="L99" i="12" s="1"/>
  <c r="L100" i="12" s="1"/>
  <c r="L101" i="12" s="1"/>
  <c r="L102" i="12" s="1"/>
  <c r="L103" i="12" s="1"/>
  <c r="L104" i="12" s="1"/>
  <c r="L105" i="12" s="1"/>
  <c r="L106" i="12" s="1"/>
  <c r="L107" i="12" s="1"/>
  <c r="L108" i="12" s="1"/>
  <c r="L109" i="12" s="1"/>
  <c r="L110" i="12" s="1"/>
  <c r="L111" i="12" s="1"/>
  <c r="L112" i="12" s="1"/>
  <c r="L113" i="12" s="1"/>
  <c r="L114" i="12" s="1"/>
  <c r="L115" i="12" s="1"/>
  <c r="L116" i="12" s="1"/>
  <c r="L117" i="12" s="1"/>
  <c r="L118" i="12" s="1"/>
  <c r="L119" i="12" s="1"/>
  <c r="L120" i="12" s="1"/>
  <c r="L121" i="12" s="1"/>
  <c r="L122" i="12" s="1"/>
  <c r="L123" i="12" s="1"/>
  <c r="L124" i="12" s="1"/>
  <c r="L125" i="12" s="1"/>
  <c r="P38" i="12"/>
  <c r="W38" i="20" s="1"/>
  <c r="O49" i="12"/>
  <c r="V49" i="20" s="1"/>
  <c r="Q31" i="12"/>
  <c r="K5" i="12"/>
  <c r="K6" i="12" s="1"/>
  <c r="K7" i="12" s="1"/>
  <c r="K8" i="12" s="1"/>
  <c r="K9" i="12" s="1"/>
  <c r="K10" i="12" s="1"/>
  <c r="K11" i="12" s="1"/>
  <c r="K12" i="12" s="1"/>
  <c r="K13" i="12" s="1"/>
  <c r="K14" i="12" s="1"/>
  <c r="K15" i="12" s="1"/>
  <c r="K16" i="12" s="1"/>
  <c r="K17" i="12" s="1"/>
  <c r="K18" i="12" s="1"/>
  <c r="K19" i="12" s="1"/>
  <c r="K20" i="12" s="1"/>
  <c r="K21" i="12" s="1"/>
  <c r="K22" i="12" s="1"/>
  <c r="K23" i="12" s="1"/>
  <c r="K24" i="12" s="1"/>
  <c r="K25" i="12" s="1"/>
  <c r="K26" i="12" s="1"/>
  <c r="O45" i="12"/>
  <c r="V45" i="20" s="1"/>
  <c r="O31" i="12"/>
  <c r="V31" i="20" s="1"/>
  <c r="Q54" i="12"/>
  <c r="M5" i="18"/>
  <c r="M6" i="18" s="1"/>
  <c r="M7" i="18" s="1"/>
  <c r="M8" i="18" s="1"/>
  <c r="M9" i="18" s="1"/>
  <c r="M10" i="18" s="1"/>
  <c r="M11" i="18" s="1"/>
  <c r="M12" i="18" s="1"/>
  <c r="M13" i="18" s="1"/>
  <c r="M14" i="18" s="1"/>
  <c r="M15" i="18" s="1"/>
  <c r="M16" i="18" s="1"/>
  <c r="M17" i="18" s="1"/>
  <c r="M18" i="18" s="1"/>
  <c r="M19" i="18" s="1"/>
  <c r="M20" i="18" s="1"/>
  <c r="M21" i="18" s="1"/>
  <c r="M22" i="18" s="1"/>
  <c r="M23" i="18" s="1"/>
  <c r="M24" i="18" s="1"/>
  <c r="M25" i="18" s="1"/>
  <c r="M26" i="18" s="1"/>
  <c r="M27" i="18" s="1"/>
  <c r="M28" i="18" s="1"/>
  <c r="M29" i="18" s="1"/>
  <c r="M30" i="18" s="1"/>
  <c r="M31" i="18" s="1"/>
  <c r="M32" i="18" s="1"/>
  <c r="M33" i="18" s="1"/>
  <c r="M34" i="18" s="1"/>
  <c r="M35" i="18" s="1"/>
  <c r="M36" i="18" s="1"/>
  <c r="M37" i="18" s="1"/>
  <c r="M38" i="18" s="1"/>
  <c r="M39" i="18" s="1"/>
  <c r="M40" i="18" s="1"/>
  <c r="M41" i="18" s="1"/>
  <c r="M42" i="18" s="1"/>
  <c r="M43" i="18" s="1"/>
  <c r="M44" i="18" s="1"/>
  <c r="M45" i="18" s="1"/>
  <c r="M46" i="18" s="1"/>
  <c r="M47" i="18" s="1"/>
  <c r="M48" i="18" s="1"/>
  <c r="M49" i="18" s="1"/>
  <c r="M50" i="18" s="1"/>
  <c r="M51" i="18" s="1"/>
  <c r="M52" i="18" s="1"/>
  <c r="M53" i="18" s="1"/>
  <c r="M54" i="18" s="1"/>
  <c r="M55" i="18" s="1"/>
  <c r="M56" i="18" s="1"/>
  <c r="M57" i="18" s="1"/>
  <c r="M58" i="18" s="1"/>
  <c r="M59" i="18" s="1"/>
  <c r="M60" i="18" s="1"/>
  <c r="M61" i="18" s="1"/>
  <c r="M62" i="18" s="1"/>
  <c r="M63" i="18" s="1"/>
  <c r="M64" i="18" s="1"/>
  <c r="M65" i="18" s="1"/>
  <c r="M66" i="18" s="1"/>
  <c r="M67" i="18" s="1"/>
  <c r="M68" i="18" s="1"/>
  <c r="M69" i="18" s="1"/>
  <c r="M70" i="18" s="1"/>
  <c r="M71" i="18" s="1"/>
  <c r="M72" i="18" s="1"/>
  <c r="M73" i="18" s="1"/>
  <c r="M74" i="18" s="1"/>
  <c r="M75" i="18" s="1"/>
  <c r="M76" i="18" s="1"/>
  <c r="M77" i="18" s="1"/>
  <c r="M78" i="18" s="1"/>
  <c r="M79" i="18" s="1"/>
  <c r="M80" i="18" s="1"/>
  <c r="M81" i="18" s="1"/>
  <c r="M82" i="18" s="1"/>
  <c r="M83" i="18" s="1"/>
  <c r="M84" i="18" s="1"/>
  <c r="M85" i="18" s="1"/>
  <c r="M86" i="18" s="1"/>
  <c r="M87" i="18" s="1"/>
  <c r="M88" i="18" s="1"/>
  <c r="M89" i="18" s="1"/>
  <c r="M90" i="18" s="1"/>
  <c r="M91" i="18" s="1"/>
  <c r="M92" i="18" s="1"/>
  <c r="M93" i="18" s="1"/>
  <c r="M94" i="18" s="1"/>
  <c r="M95" i="18" s="1"/>
  <c r="M96" i="18" s="1"/>
  <c r="M97" i="18" s="1"/>
  <c r="M98" i="18" s="1"/>
  <c r="M99" i="18" s="1"/>
  <c r="M100" i="18" s="1"/>
  <c r="M101" i="18" s="1"/>
  <c r="M102" i="18" s="1"/>
  <c r="M103" i="18" s="1"/>
  <c r="M104" i="18" s="1"/>
  <c r="M105" i="18" s="1"/>
  <c r="M106" i="18" s="1"/>
  <c r="M107" i="18" s="1"/>
  <c r="M108" i="18" s="1"/>
  <c r="M109" i="18" s="1"/>
  <c r="M110" i="18" s="1"/>
  <c r="M111" i="18" s="1"/>
  <c r="M112" i="18" s="1"/>
  <c r="M113" i="18" s="1"/>
  <c r="M114" i="18" s="1"/>
  <c r="M115" i="18" s="1"/>
  <c r="M116" i="18" s="1"/>
  <c r="M117" i="18" s="1"/>
  <c r="M118" i="18" s="1"/>
  <c r="M119" i="18" s="1"/>
  <c r="M120" i="18" s="1"/>
  <c r="M121" i="18" s="1"/>
  <c r="M122" i="18" s="1"/>
  <c r="M123" i="18" s="1"/>
  <c r="M124" i="18" s="1"/>
  <c r="M125" i="18" s="1"/>
  <c r="P62" i="12"/>
  <c r="W62" i="20" s="1"/>
  <c r="P31" i="12"/>
  <c r="W31" i="20" s="1"/>
  <c r="P45" i="12"/>
  <c r="W45" i="20" s="1"/>
  <c r="Q26" i="12"/>
  <c r="P54" i="12"/>
  <c r="W54" i="20" s="1"/>
  <c r="Q38" i="12"/>
  <c r="O61" i="12"/>
  <c r="V61" i="20" s="1"/>
  <c r="Q45" i="12"/>
  <c r="Q49" i="12"/>
  <c r="P68" i="12"/>
  <c r="W68" i="20" s="1"/>
  <c r="P18" i="12"/>
  <c r="W18" i="20" s="1"/>
  <c r="O26" i="12"/>
  <c r="V26" i="20" s="1"/>
  <c r="O62" i="12"/>
  <c r="V62" i="20" s="1"/>
  <c r="P42" i="12"/>
  <c r="W42" i="20" s="1"/>
  <c r="Q72" i="12"/>
  <c r="M5" i="12"/>
  <c r="M6" i="12" s="1"/>
  <c r="M7" i="12" s="1"/>
  <c r="M8" i="12" s="1"/>
  <c r="M9" i="12" s="1"/>
  <c r="M10" i="12" s="1"/>
  <c r="M11" i="12" s="1"/>
  <c r="M12" i="12" s="1"/>
  <c r="M13" i="12" s="1"/>
  <c r="M14" i="12" s="1"/>
  <c r="M15" i="12" s="1"/>
  <c r="M16" i="12" s="1"/>
  <c r="M17" i="12" s="1"/>
  <c r="M18" i="12" s="1"/>
  <c r="M19" i="12" s="1"/>
  <c r="M20" i="12" s="1"/>
  <c r="M21" i="12" s="1"/>
  <c r="M22" i="12" s="1"/>
  <c r="M23" i="12" s="1"/>
  <c r="M24" i="12" s="1"/>
  <c r="M25" i="12" s="1"/>
  <c r="M26" i="12" s="1"/>
  <c r="M27" i="12" s="1"/>
  <c r="M28" i="12" s="1"/>
  <c r="M29" i="12" s="1"/>
  <c r="M30" i="12" s="1"/>
  <c r="M31" i="12" s="1"/>
  <c r="M32" i="12" s="1"/>
  <c r="M33" i="12" s="1"/>
  <c r="M34" i="12" s="1"/>
  <c r="M35" i="12" s="1"/>
  <c r="M36" i="12" s="1"/>
  <c r="M37" i="12" s="1"/>
  <c r="M38" i="12" s="1"/>
  <c r="M39" i="12" s="1"/>
  <c r="M40" i="12" s="1"/>
  <c r="M41" i="12" s="1"/>
  <c r="M42" i="12" s="1"/>
  <c r="M43" i="12" s="1"/>
  <c r="M44" i="12" s="1"/>
  <c r="M45" i="12" s="1"/>
  <c r="M46" i="12" s="1"/>
  <c r="M47" i="12" s="1"/>
  <c r="M48" i="12" s="1"/>
  <c r="M49" i="12" s="1"/>
  <c r="M50" i="12" s="1"/>
  <c r="M51" i="12" s="1"/>
  <c r="M52" i="12" s="1"/>
  <c r="M53" i="12" s="1"/>
  <c r="M54" i="12" s="1"/>
  <c r="M55" i="12" s="1"/>
  <c r="M56" i="12" s="1"/>
  <c r="M57" i="12" s="1"/>
  <c r="M58" i="12" s="1"/>
  <c r="M59" i="12" s="1"/>
  <c r="M60" i="12" s="1"/>
  <c r="M61" i="12" s="1"/>
  <c r="M62" i="12" s="1"/>
  <c r="M63" i="12" s="1"/>
  <c r="M64" i="12" s="1"/>
  <c r="M65" i="12" s="1"/>
  <c r="M66" i="12" s="1"/>
  <c r="M67" i="12" s="1"/>
  <c r="M68" i="12" s="1"/>
  <c r="M69" i="12" s="1"/>
  <c r="M70" i="12" s="1"/>
  <c r="M71" i="12" s="1"/>
  <c r="M72" i="12" s="1"/>
  <c r="M73" i="12" s="1"/>
  <c r="M74" i="12" s="1"/>
  <c r="M75" i="12" s="1"/>
  <c r="M76" i="12" s="1"/>
  <c r="M77" i="12" s="1"/>
  <c r="M78" i="12" s="1"/>
  <c r="M79" i="12" s="1"/>
  <c r="M80" i="12" s="1"/>
  <c r="M81" i="12" s="1"/>
  <c r="M82" i="12" s="1"/>
  <c r="M83" i="12" s="1"/>
  <c r="M84" i="12" s="1"/>
  <c r="M85" i="12" s="1"/>
  <c r="M86" i="12" s="1"/>
  <c r="M87" i="12" s="1"/>
  <c r="M88" i="12" s="1"/>
  <c r="M89" i="12" s="1"/>
  <c r="M90" i="12" s="1"/>
  <c r="M91" i="12" s="1"/>
  <c r="M92" i="12" s="1"/>
  <c r="M93" i="12" s="1"/>
  <c r="M94" i="12" s="1"/>
  <c r="M95" i="12" s="1"/>
  <c r="M96" i="12" s="1"/>
  <c r="M97" i="12" s="1"/>
  <c r="M98" i="12" s="1"/>
  <c r="M99" i="12" s="1"/>
  <c r="M100" i="12" s="1"/>
  <c r="M101" i="12" s="1"/>
  <c r="M102" i="12" s="1"/>
  <c r="M103" i="12" s="1"/>
  <c r="M104" i="12" s="1"/>
  <c r="M105" i="12" s="1"/>
  <c r="M106" i="12" s="1"/>
  <c r="M107" i="12" s="1"/>
  <c r="M108" i="12" s="1"/>
  <c r="M109" i="12" s="1"/>
  <c r="M110" i="12" s="1"/>
  <c r="M111" i="12" s="1"/>
  <c r="M112" i="12" s="1"/>
  <c r="M113" i="12" s="1"/>
  <c r="M114" i="12" s="1"/>
  <c r="M115" i="12" s="1"/>
  <c r="M116" i="12" s="1"/>
  <c r="M117" i="12" s="1"/>
  <c r="M118" i="12" s="1"/>
  <c r="M119" i="12" s="1"/>
  <c r="M120" i="12" s="1"/>
  <c r="M121" i="12" s="1"/>
  <c r="M122" i="12" s="1"/>
  <c r="M123" i="12" s="1"/>
  <c r="M124" i="12" s="1"/>
  <c r="M125" i="12" s="1"/>
  <c r="O57" i="12"/>
  <c r="V57" i="20" s="1"/>
  <c r="AM97" i="24"/>
  <c r="AU96" i="24"/>
  <c r="AW97" i="24"/>
  <c r="AO98" i="24"/>
  <c r="AP98" i="24"/>
  <c r="AX97" i="24"/>
  <c r="AY97" i="24"/>
  <c r="AQ98" i="24"/>
  <c r="AT97" i="24"/>
  <c r="AL98" i="24"/>
  <c r="AK98" i="24"/>
  <c r="AS97" i="24"/>
  <c r="Q6" i="12"/>
  <c r="U6" i="12" s="1"/>
  <c r="I6" i="12"/>
  <c r="I7" i="12" s="1"/>
  <c r="I8" i="12" s="1"/>
  <c r="I9" i="12" s="1"/>
  <c r="I10" i="12" s="1"/>
  <c r="I11" i="12" s="1"/>
  <c r="I12" i="12" s="1"/>
  <c r="I13" i="12" s="1"/>
  <c r="I14" i="12" s="1"/>
  <c r="I15" i="12" s="1"/>
  <c r="I16" i="12" s="1"/>
  <c r="I17" i="12" s="1"/>
  <c r="I18" i="12" s="1"/>
  <c r="I19" i="12" s="1"/>
  <c r="I20" i="12" s="1"/>
  <c r="I21" i="12" s="1"/>
  <c r="I22" i="12" s="1"/>
  <c r="I23" i="12" s="1"/>
  <c r="I24" i="12" s="1"/>
  <c r="I25" i="12" s="1"/>
  <c r="I26" i="12" s="1"/>
  <c r="I27" i="12" s="1"/>
  <c r="I28" i="12" s="1"/>
  <c r="I29" i="12" s="1"/>
  <c r="I30" i="12" s="1"/>
  <c r="I31" i="12" s="1"/>
  <c r="I32" i="12" s="1"/>
  <c r="I33" i="12" s="1"/>
  <c r="I34" i="12" s="1"/>
  <c r="I35" i="12" s="1"/>
  <c r="I36" i="12" s="1"/>
  <c r="I37" i="12" s="1"/>
  <c r="I38" i="12" s="1"/>
  <c r="I39" i="12" s="1"/>
  <c r="I40" i="12" s="1"/>
  <c r="I41" i="12" s="1"/>
  <c r="I42" i="12" s="1"/>
  <c r="I43" i="12" s="1"/>
  <c r="I44" i="12" s="1"/>
  <c r="I45" i="12" s="1"/>
  <c r="I46" i="12" s="1"/>
  <c r="I47" i="12" s="1"/>
  <c r="I48" i="12" s="1"/>
  <c r="I49" i="12" s="1"/>
  <c r="I50" i="12" s="1"/>
  <c r="I51" i="12" s="1"/>
  <c r="I52" i="12" s="1"/>
  <c r="I53" i="12" s="1"/>
  <c r="I54" i="12" s="1"/>
  <c r="I55" i="12" s="1"/>
  <c r="I56" i="12" s="1"/>
  <c r="I57" i="12" s="1"/>
  <c r="I58" i="12" s="1"/>
  <c r="I59" i="12" s="1"/>
  <c r="I60" i="12" s="1"/>
  <c r="I61" i="12" s="1"/>
  <c r="I62" i="12" s="1"/>
  <c r="I63" i="12" s="1"/>
  <c r="I64" i="12" s="1"/>
  <c r="I65" i="12" s="1"/>
  <c r="I66" i="12" s="1"/>
  <c r="I67" i="12" s="1"/>
  <c r="I68" i="12" s="1"/>
  <c r="I69" i="12" s="1"/>
  <c r="I70" i="12" s="1"/>
  <c r="I71" i="12" s="1"/>
  <c r="I72" i="12" s="1"/>
  <c r="I73" i="12" s="1"/>
  <c r="I74" i="12" s="1"/>
  <c r="I75" i="12" s="1"/>
  <c r="I76" i="12" s="1"/>
  <c r="I77" i="12" s="1"/>
  <c r="I78" i="12" s="1"/>
  <c r="I79" i="12" s="1"/>
  <c r="I80" i="12" s="1"/>
  <c r="I81" i="12" s="1"/>
  <c r="I82" i="12" s="1"/>
  <c r="I83" i="12" s="1"/>
  <c r="I84" i="12" s="1"/>
  <c r="I85" i="12" s="1"/>
  <c r="I86" i="12" s="1"/>
  <c r="I87" i="12" s="1"/>
  <c r="I88" i="12" s="1"/>
  <c r="I89" i="12" s="1"/>
  <c r="I90" i="12" s="1"/>
  <c r="I91" i="12" s="1"/>
  <c r="I92" i="12" s="1"/>
  <c r="I93" i="12" s="1"/>
  <c r="I94" i="12" s="1"/>
  <c r="I95" i="12" s="1"/>
  <c r="I96" i="12" s="1"/>
  <c r="I97" i="12" s="1"/>
  <c r="I98" i="12" s="1"/>
  <c r="I99" i="12" s="1"/>
  <c r="I100" i="12" s="1"/>
  <c r="I101" i="12" s="1"/>
  <c r="I102" i="12" s="1"/>
  <c r="I103" i="12" s="1"/>
  <c r="I104" i="12" s="1"/>
  <c r="I105" i="12" s="1"/>
  <c r="I106" i="12" s="1"/>
  <c r="I107" i="12" s="1"/>
  <c r="I108" i="12" s="1"/>
  <c r="I109" i="12" s="1"/>
  <c r="I110" i="12" s="1"/>
  <c r="I111" i="12" s="1"/>
  <c r="I112" i="12" s="1"/>
  <c r="I113" i="12" s="1"/>
  <c r="I114" i="12" s="1"/>
  <c r="I115" i="12" s="1"/>
  <c r="I116" i="12" s="1"/>
  <c r="I117" i="12" s="1"/>
  <c r="I118" i="12" s="1"/>
  <c r="I119" i="12" s="1"/>
  <c r="I120" i="12" s="1"/>
  <c r="I121" i="12" s="1"/>
  <c r="I122" i="12" s="1"/>
  <c r="I123" i="12" s="1"/>
  <c r="I124" i="12" s="1"/>
  <c r="I125" i="12" s="1"/>
  <c r="P66" i="12"/>
  <c r="W66" i="20" s="1"/>
  <c r="P33" i="12"/>
  <c r="W33" i="20" s="1"/>
  <c r="Q66" i="12"/>
  <c r="Q10" i="12"/>
  <c r="Q33" i="12"/>
  <c r="O66" i="12"/>
  <c r="V66" i="20" s="1"/>
  <c r="O33" i="12"/>
  <c r="V33" i="20" s="1"/>
  <c r="P80" i="12"/>
  <c r="W80" i="20" s="1"/>
  <c r="Q80" i="12"/>
  <c r="O80" i="12"/>
  <c r="V80" i="20" s="1"/>
  <c r="O52" i="12"/>
  <c r="V52" i="20" s="1"/>
  <c r="Q73" i="12"/>
  <c r="O10" i="12"/>
  <c r="V10" i="20" s="1"/>
  <c r="O6" i="12"/>
  <c r="O46" i="12"/>
  <c r="V46" i="20" s="1"/>
  <c r="O48" i="12"/>
  <c r="V48" i="20" s="1"/>
  <c r="O36" i="12"/>
  <c r="V36" i="20" s="1"/>
  <c r="O14" i="12"/>
  <c r="V14" i="20" s="1"/>
  <c r="O15" i="12"/>
  <c r="V15" i="20" s="1"/>
  <c r="O13" i="12"/>
  <c r="V13" i="20" s="1"/>
  <c r="O29" i="12"/>
  <c r="V29" i="20" s="1"/>
  <c r="P35" i="12"/>
  <c r="W35" i="20" s="1"/>
  <c r="Q22" i="12"/>
  <c r="Q9" i="12"/>
  <c r="P39" i="12"/>
  <c r="W39" i="20" s="1"/>
  <c r="Q21" i="12"/>
  <c r="O12" i="12"/>
  <c r="V12" i="20" s="1"/>
  <c r="O67" i="12"/>
  <c r="V67" i="20" s="1"/>
  <c r="Q63" i="12"/>
  <c r="Q47" i="12"/>
  <c r="O25" i="12"/>
  <c r="V25" i="20" s="1"/>
  <c r="P77" i="12"/>
  <c r="W77" i="20" s="1"/>
  <c r="Q77" i="12"/>
  <c r="O77" i="12"/>
  <c r="V77" i="20" s="1"/>
  <c r="P60" i="12"/>
  <c r="W60" i="20" s="1"/>
  <c r="P44" i="12"/>
  <c r="W44" i="20" s="1"/>
  <c r="Q8" i="12"/>
  <c r="P11" i="12"/>
  <c r="W11" i="20" s="1"/>
  <c r="P59" i="12"/>
  <c r="W59" i="20" s="1"/>
  <c r="Q27" i="12"/>
  <c r="O74" i="12"/>
  <c r="V74" i="20" s="1"/>
  <c r="P16" i="12"/>
  <c r="W16" i="20" s="1"/>
  <c r="O76" i="12"/>
  <c r="V76" i="20" s="1"/>
  <c r="P76" i="12"/>
  <c r="W76" i="20" s="1"/>
  <c r="Q76" i="12"/>
  <c r="Q7" i="12"/>
  <c r="O78" i="12"/>
  <c r="V78" i="20" s="1"/>
  <c r="P78" i="12"/>
  <c r="W78" i="20" s="1"/>
  <c r="Q78" i="12"/>
  <c r="Q69" i="12"/>
  <c r="P37" i="12"/>
  <c r="W37" i="20" s="1"/>
  <c r="O43" i="12"/>
  <c r="V43" i="20" s="1"/>
  <c r="Q65" i="12"/>
  <c r="P57" i="12"/>
  <c r="W57" i="20" s="1"/>
  <c r="P64" i="12"/>
  <c r="W64" i="20" s="1"/>
  <c r="P22" i="12"/>
  <c r="W22" i="20" s="1"/>
  <c r="P9" i="12"/>
  <c r="W9" i="20" s="1"/>
  <c r="O35" i="12"/>
  <c r="V35" i="20" s="1"/>
  <c r="O22" i="12"/>
  <c r="V22" i="20" s="1"/>
  <c r="Q35" i="12"/>
  <c r="P43" i="12"/>
  <c r="W43" i="20" s="1"/>
  <c r="P8" i="12"/>
  <c r="W8" i="20" s="1"/>
  <c r="Q15" i="12"/>
  <c r="P36" i="12"/>
  <c r="W36" i="20" s="1"/>
  <c r="P14" i="12"/>
  <c r="W14" i="20" s="1"/>
  <c r="P13" i="12"/>
  <c r="W13" i="20" s="1"/>
  <c r="P29" i="12"/>
  <c r="W29" i="20" s="1"/>
  <c r="P52" i="12"/>
  <c r="W52" i="20" s="1"/>
  <c r="P73" i="12"/>
  <c r="W73" i="20" s="1"/>
  <c r="Q52" i="12"/>
  <c r="Q29" i="12"/>
  <c r="P48" i="12"/>
  <c r="W48" i="20" s="1"/>
  <c r="Q48" i="12"/>
  <c r="O21" i="12"/>
  <c r="V21" i="20" s="1"/>
  <c r="Q37" i="12"/>
  <c r="P69" i="12"/>
  <c r="W69" i="20" s="1"/>
  <c r="Q46" i="12"/>
  <c r="P46" i="12"/>
  <c r="W46" i="20" s="1"/>
  <c r="Q25" i="12"/>
  <c r="O60" i="12"/>
  <c r="V60" i="20" s="1"/>
  <c r="P25" i="12"/>
  <c r="W25" i="20" s="1"/>
  <c r="Q60" i="12"/>
  <c r="Q44" i="12"/>
  <c r="Q11" i="12"/>
  <c r="O11" i="12"/>
  <c r="V11" i="20" s="1"/>
  <c r="Q39" i="12"/>
  <c r="P21" i="12"/>
  <c r="W21" i="20" s="1"/>
  <c r="O44" i="12"/>
  <c r="V44" i="20" s="1"/>
  <c r="O47" i="12"/>
  <c r="V47" i="20" s="1"/>
  <c r="P12" i="12"/>
  <c r="W12" i="20" s="1"/>
  <c r="P47" i="12"/>
  <c r="W47" i="20" s="1"/>
  <c r="P65" i="12"/>
  <c r="W65" i="20" s="1"/>
  <c r="O39" i="12"/>
  <c r="V39" i="20" s="1"/>
  <c r="O63" i="12"/>
  <c r="V63" i="20" s="1"/>
  <c r="Q74" i="12"/>
  <c r="Q59" i="12"/>
  <c r="O59" i="12"/>
  <c r="V59" i="20" s="1"/>
  <c r="P63" i="12"/>
  <c r="W63" i="20" s="1"/>
  <c r="P74" i="12"/>
  <c r="W74" i="20" s="1"/>
  <c r="O37" i="12"/>
  <c r="V37" i="20" s="1"/>
  <c r="P67" i="12"/>
  <c r="W67" i="20" s="1"/>
  <c r="P27" i="12"/>
  <c r="W27" i="20" s="1"/>
  <c r="Q67" i="12"/>
  <c r="O64" i="12"/>
  <c r="V64" i="20" s="1"/>
  <c r="O16" i="12"/>
  <c r="V16" i="20" s="1"/>
  <c r="O69" i="12"/>
  <c r="V69" i="20" s="1"/>
  <c r="O27" i="12"/>
  <c r="V27" i="20" s="1"/>
  <c r="O73" i="12"/>
  <c r="V73" i="20" s="1"/>
  <c r="Q16" i="12"/>
  <c r="P7" i="12"/>
  <c r="W7" i="20" s="1"/>
  <c r="O7" i="12"/>
  <c r="V7" i="20" s="1"/>
  <c r="O65" i="12"/>
  <c r="V65" i="20" s="1"/>
  <c r="Q43" i="12"/>
  <c r="S6" i="12" l="1"/>
  <c r="S7" i="12" s="1"/>
  <c r="S8" i="12" s="1"/>
  <c r="S9" i="12" s="1"/>
  <c r="S10" i="12" s="1"/>
  <c r="S11" i="12" s="1"/>
  <c r="S12" i="12" s="1"/>
  <c r="S13" i="12" s="1"/>
  <c r="S14" i="12" s="1"/>
  <c r="S15" i="12" s="1"/>
  <c r="S16" i="12" s="1"/>
  <c r="S17" i="12" s="1"/>
  <c r="S18" i="12" s="1"/>
  <c r="S19" i="12" s="1"/>
  <c r="S20" i="12" s="1"/>
  <c r="S21" i="12" s="1"/>
  <c r="S22" i="12" s="1"/>
  <c r="S23" i="12" s="1"/>
  <c r="S24" i="12" s="1"/>
  <c r="S25" i="12" s="1"/>
  <c r="S26" i="12" s="1"/>
  <c r="S27" i="12" s="1"/>
  <c r="S28" i="12" s="1"/>
  <c r="S29" i="12" s="1"/>
  <c r="S30" i="12" s="1"/>
  <c r="S31" i="12" s="1"/>
  <c r="S32" i="12" s="1"/>
  <c r="S33" i="12" s="1"/>
  <c r="S34" i="12" s="1"/>
  <c r="S35" i="12" s="1"/>
  <c r="S36" i="12" s="1"/>
  <c r="S37" i="12" s="1"/>
  <c r="S38" i="12" s="1"/>
  <c r="S39" i="12" s="1"/>
  <c r="S40" i="12" s="1"/>
  <c r="S41" i="12" s="1"/>
  <c r="S42" i="12" s="1"/>
  <c r="S43" i="12" s="1"/>
  <c r="S44" i="12" s="1"/>
  <c r="S45" i="12" s="1"/>
  <c r="S46" i="12" s="1"/>
  <c r="S47" i="12" s="1"/>
  <c r="S48" i="12" s="1"/>
  <c r="S49" i="12" s="1"/>
  <c r="S50" i="12" s="1"/>
  <c r="S51" i="12" s="1"/>
  <c r="S52" i="12" s="1"/>
  <c r="S53" i="12" s="1"/>
  <c r="S54" i="12" s="1"/>
  <c r="S55" i="12" s="1"/>
  <c r="S56" i="12" s="1"/>
  <c r="S57" i="12" s="1"/>
  <c r="S58" i="12" s="1"/>
  <c r="S59" i="12" s="1"/>
  <c r="S60" i="12" s="1"/>
  <c r="S61" i="12" s="1"/>
  <c r="S62" i="12" s="1"/>
  <c r="S63" i="12" s="1"/>
  <c r="S64" i="12" s="1"/>
  <c r="S65" i="12" s="1"/>
  <c r="S66" i="12" s="1"/>
  <c r="S67" i="12" s="1"/>
  <c r="S68" i="12" s="1"/>
  <c r="S69" i="12" s="1"/>
  <c r="S70" i="12" s="1"/>
  <c r="S71" i="12" s="1"/>
  <c r="S72" i="12" s="1"/>
  <c r="S73" i="12" s="1"/>
  <c r="S74" i="12" s="1"/>
  <c r="S75" i="12" s="1"/>
  <c r="S76" i="12" s="1"/>
  <c r="S77" i="12" s="1"/>
  <c r="S78" i="12" s="1"/>
  <c r="S79" i="12" s="1"/>
  <c r="S80" i="12" s="1"/>
  <c r="V6" i="20"/>
  <c r="M88" i="25"/>
  <c r="X88" i="25" s="1"/>
  <c r="N88" i="25"/>
  <c r="Y88" i="25" s="1"/>
  <c r="O88" i="25"/>
  <c r="Z88" i="25" s="1"/>
  <c r="P88" i="25"/>
  <c r="AA88" i="25" s="1"/>
  <c r="Q88" i="25"/>
  <c r="AB88" i="25" s="1"/>
  <c r="R88" i="25"/>
  <c r="AC88" i="25" s="1"/>
  <c r="C94" i="19"/>
  <c r="P93" i="19"/>
  <c r="Q93" i="19"/>
  <c r="R93" i="19"/>
  <c r="M93" i="19"/>
  <c r="N93" i="19"/>
  <c r="O93" i="19"/>
  <c r="J83" i="18"/>
  <c r="K88" i="25"/>
  <c r="V88" i="25" s="1"/>
  <c r="J88" i="25"/>
  <c r="U88" i="25" s="1"/>
  <c r="I88" i="25"/>
  <c r="T88" i="25" s="1"/>
  <c r="C89" i="25"/>
  <c r="U7" i="12"/>
  <c r="U8" i="12" s="1"/>
  <c r="U9" i="12" s="1"/>
  <c r="U10" i="12" s="1"/>
  <c r="U11" i="12" s="1"/>
  <c r="U12" i="12" s="1"/>
  <c r="U13" i="12" s="1"/>
  <c r="U14" i="12" s="1"/>
  <c r="U15" i="12" s="1"/>
  <c r="U16" i="12" s="1"/>
  <c r="U17" i="12" s="1"/>
  <c r="U18" i="12" s="1"/>
  <c r="U19" i="12" s="1"/>
  <c r="U20" i="12" s="1"/>
  <c r="U21" i="12" s="1"/>
  <c r="U22" i="12" s="1"/>
  <c r="U23" i="12" s="1"/>
  <c r="U24" i="12" s="1"/>
  <c r="U25" i="12" s="1"/>
  <c r="U26" i="12" s="1"/>
  <c r="U27" i="12" s="1"/>
  <c r="U28" i="12" s="1"/>
  <c r="U29" i="12" s="1"/>
  <c r="U30" i="12" s="1"/>
  <c r="U31" i="12" s="1"/>
  <c r="U32" i="12" s="1"/>
  <c r="U33" i="12" s="1"/>
  <c r="U34" i="12" s="1"/>
  <c r="U35" i="12" s="1"/>
  <c r="U36" i="12" s="1"/>
  <c r="U37" i="12" s="1"/>
  <c r="U38" i="12" s="1"/>
  <c r="U39" i="12" s="1"/>
  <c r="U40" i="12" s="1"/>
  <c r="U41" i="12" s="1"/>
  <c r="U42" i="12" s="1"/>
  <c r="U43" i="12" s="1"/>
  <c r="U44" i="12" s="1"/>
  <c r="U45" i="12" s="1"/>
  <c r="U46" i="12" s="1"/>
  <c r="U47" i="12" s="1"/>
  <c r="U48" i="12" s="1"/>
  <c r="U49" i="12" s="1"/>
  <c r="U50" i="12" s="1"/>
  <c r="U51" i="12" s="1"/>
  <c r="U52" i="12" s="1"/>
  <c r="U53" i="12" s="1"/>
  <c r="U54" i="12" s="1"/>
  <c r="U55" i="12" s="1"/>
  <c r="U56" i="12" s="1"/>
  <c r="U57" i="12" s="1"/>
  <c r="U58" i="12" s="1"/>
  <c r="U59" i="12" s="1"/>
  <c r="U60" i="12" s="1"/>
  <c r="U61" i="12" s="1"/>
  <c r="U62" i="12" s="1"/>
  <c r="U63" i="12" s="1"/>
  <c r="U64" i="12" s="1"/>
  <c r="U65" i="12" s="1"/>
  <c r="U66" i="12" s="1"/>
  <c r="U67" i="12" s="1"/>
  <c r="U68" i="12" s="1"/>
  <c r="U69" i="12" s="1"/>
  <c r="U70" i="12" s="1"/>
  <c r="U71" i="12" s="1"/>
  <c r="U72" i="12" s="1"/>
  <c r="U73" i="12" s="1"/>
  <c r="U74" i="12" s="1"/>
  <c r="U75" i="12" s="1"/>
  <c r="U76" i="12" s="1"/>
  <c r="U77" i="12" s="1"/>
  <c r="U78" i="12" s="1"/>
  <c r="U79" i="12" s="1"/>
  <c r="U80" i="12" s="1"/>
  <c r="AQ99" i="24"/>
  <c r="AY98" i="24"/>
  <c r="AX98" i="24"/>
  <c r="AP99" i="24"/>
  <c r="AO99" i="24"/>
  <c r="AW98" i="24"/>
  <c r="AK99" i="24"/>
  <c r="AS98" i="24"/>
  <c r="AT98" i="24"/>
  <c r="AL99" i="24"/>
  <c r="AU97" i="24"/>
  <c r="AM98" i="24"/>
  <c r="T7" i="12"/>
  <c r="T8" i="12" s="1"/>
  <c r="T9" i="12" s="1"/>
  <c r="T10" i="12" s="1"/>
  <c r="T11" i="12" s="1"/>
  <c r="T12" i="12" s="1"/>
  <c r="T13" i="12" s="1"/>
  <c r="T14" i="12" s="1"/>
  <c r="T15" i="12" s="1"/>
  <c r="T16" i="12" s="1"/>
  <c r="T17" i="12" s="1"/>
  <c r="T18" i="12" s="1"/>
  <c r="T19" i="12" s="1"/>
  <c r="T20" i="12" s="1"/>
  <c r="T21" i="12" s="1"/>
  <c r="T22" i="12" s="1"/>
  <c r="T23" i="12" s="1"/>
  <c r="T24" i="12" s="1"/>
  <c r="T25" i="12" s="1"/>
  <c r="T26" i="12" s="1"/>
  <c r="T27" i="12" s="1"/>
  <c r="T28" i="12" s="1"/>
  <c r="T29" i="12" s="1"/>
  <c r="T30" i="12" s="1"/>
  <c r="T31" i="12" s="1"/>
  <c r="T32" i="12" s="1"/>
  <c r="T33" i="12" s="1"/>
  <c r="T34" i="12" s="1"/>
  <c r="T35" i="12" s="1"/>
  <c r="T36" i="12" s="1"/>
  <c r="T37" i="12" s="1"/>
  <c r="T38" i="12" s="1"/>
  <c r="T39" i="12" s="1"/>
  <c r="T40" i="12" s="1"/>
  <c r="T41" i="12" s="1"/>
  <c r="T42" i="12" s="1"/>
  <c r="T43" i="12" s="1"/>
  <c r="T44" i="12" s="1"/>
  <c r="T45" i="12" s="1"/>
  <c r="T46" i="12" s="1"/>
  <c r="T47" i="12" s="1"/>
  <c r="T48" i="12" s="1"/>
  <c r="T49" i="12" s="1"/>
  <c r="T50" i="12" s="1"/>
  <c r="T51" i="12" s="1"/>
  <c r="T52" i="12" s="1"/>
  <c r="T53" i="12" s="1"/>
  <c r="T54" i="12" s="1"/>
  <c r="T55" i="12" s="1"/>
  <c r="T56" i="12" s="1"/>
  <c r="T57" i="12" s="1"/>
  <c r="T58" i="12" s="1"/>
  <c r="T59" i="12" s="1"/>
  <c r="T60" i="12" s="1"/>
  <c r="T61" i="12" s="1"/>
  <c r="T62" i="12" s="1"/>
  <c r="T63" i="12" s="1"/>
  <c r="T64" i="12" s="1"/>
  <c r="T65" i="12" s="1"/>
  <c r="T66" i="12" s="1"/>
  <c r="T67" i="12" s="1"/>
  <c r="T68" i="12" s="1"/>
  <c r="T69" i="12" s="1"/>
  <c r="T70" i="12" s="1"/>
  <c r="T71" i="12" s="1"/>
  <c r="T72" i="12" s="1"/>
  <c r="T73" i="12" s="1"/>
  <c r="T74" i="12" s="1"/>
  <c r="T75" i="12" s="1"/>
  <c r="T76" i="12" s="1"/>
  <c r="T77" i="12" s="1"/>
  <c r="T78" i="12" s="1"/>
  <c r="T79" i="12" s="1"/>
  <c r="T80" i="12" s="1"/>
  <c r="I5" i="18"/>
  <c r="I6" i="18" s="1"/>
  <c r="I7" i="18" s="1"/>
  <c r="I8" i="18" s="1"/>
  <c r="I9" i="18" s="1"/>
  <c r="I10" i="18" s="1"/>
  <c r="I11" i="18" s="1"/>
  <c r="I12" i="18" s="1"/>
  <c r="I13" i="18" s="1"/>
  <c r="I14" i="18" s="1"/>
  <c r="I15" i="18" s="1"/>
  <c r="I16" i="18" s="1"/>
  <c r="I17" i="18" s="1"/>
  <c r="I18" i="18" s="1"/>
  <c r="I19" i="18" s="1"/>
  <c r="I20" i="18" s="1"/>
  <c r="I21" i="18" s="1"/>
  <c r="I22" i="18" s="1"/>
  <c r="I23" i="18" s="1"/>
  <c r="I24" i="18" s="1"/>
  <c r="I25" i="18" s="1"/>
  <c r="I26" i="18" s="1"/>
  <c r="I27" i="18" s="1"/>
  <c r="I28" i="18" s="1"/>
  <c r="I29" i="18" s="1"/>
  <c r="I30" i="18" s="1"/>
  <c r="I31" i="18" s="1"/>
  <c r="I32" i="18" s="1"/>
  <c r="I33" i="18" s="1"/>
  <c r="I34" i="18" s="1"/>
  <c r="I35" i="18" s="1"/>
  <c r="I36" i="18" s="1"/>
  <c r="I37" i="18" s="1"/>
  <c r="I38" i="18" s="1"/>
  <c r="I39" i="18" s="1"/>
  <c r="I40" i="18" s="1"/>
  <c r="I41" i="18" s="1"/>
  <c r="I42" i="18" s="1"/>
  <c r="I43" i="18" s="1"/>
  <c r="I44" i="18" s="1"/>
  <c r="I45" i="18" s="1"/>
  <c r="I46" i="18" s="1"/>
  <c r="I47" i="18" s="1"/>
  <c r="I48" i="18" s="1"/>
  <c r="I49" i="18" s="1"/>
  <c r="I50" i="18" s="1"/>
  <c r="I51" i="18" s="1"/>
  <c r="I52" i="18" s="1"/>
  <c r="I53" i="18" s="1"/>
  <c r="I54" i="18" s="1"/>
  <c r="I55" i="18" s="1"/>
  <c r="I56" i="18" s="1"/>
  <c r="I57" i="18" s="1"/>
  <c r="I58" i="18" s="1"/>
  <c r="I59" i="18" s="1"/>
  <c r="I60" i="18" s="1"/>
  <c r="I61" i="18" s="1"/>
  <c r="I62" i="18" s="1"/>
  <c r="I63" i="18" s="1"/>
  <c r="I64" i="18" s="1"/>
  <c r="I65" i="18" s="1"/>
  <c r="I66" i="18" s="1"/>
  <c r="I67" i="18" s="1"/>
  <c r="I68" i="18" s="1"/>
  <c r="I69" i="18" s="1"/>
  <c r="I70" i="18" s="1"/>
  <c r="I71" i="18" s="1"/>
  <c r="I72" i="18" s="1"/>
  <c r="I73" i="18" s="1"/>
  <c r="I74" i="18" s="1"/>
  <c r="I75" i="18" s="1"/>
  <c r="I76" i="18" s="1"/>
  <c r="I77" i="18" s="1"/>
  <c r="I78" i="18" s="1"/>
  <c r="I79" i="18" s="1"/>
  <c r="I80" i="18" s="1"/>
  <c r="I81" i="18" s="1"/>
  <c r="I82" i="18" s="1"/>
  <c r="I83" i="18" s="1"/>
  <c r="I84" i="18" s="1"/>
  <c r="I85" i="18" s="1"/>
  <c r="I86" i="18" s="1"/>
  <c r="I87" i="18" s="1"/>
  <c r="I88" i="18" s="1"/>
  <c r="I89" i="18" s="1"/>
  <c r="I90" i="18" s="1"/>
  <c r="I91" i="18" s="1"/>
  <c r="I92" i="18" s="1"/>
  <c r="I93" i="18" s="1"/>
  <c r="I94" i="18" s="1"/>
  <c r="I95" i="18" s="1"/>
  <c r="I96" i="18" s="1"/>
  <c r="I97" i="18" s="1"/>
  <c r="I98" i="18" s="1"/>
  <c r="I99" i="18" s="1"/>
  <c r="I100" i="18" s="1"/>
  <c r="I101" i="18" s="1"/>
  <c r="I102" i="18" s="1"/>
  <c r="I103" i="18" s="1"/>
  <c r="I104" i="18" s="1"/>
  <c r="I105" i="18" s="1"/>
  <c r="I106" i="18" s="1"/>
  <c r="I107" i="18" s="1"/>
  <c r="I108" i="18" s="1"/>
  <c r="I109" i="18" s="1"/>
  <c r="I110" i="18" s="1"/>
  <c r="I111" i="18" s="1"/>
  <c r="I112" i="18" s="1"/>
  <c r="I113" i="18" s="1"/>
  <c r="I114" i="18" s="1"/>
  <c r="I115" i="18" s="1"/>
  <c r="I116" i="18" s="1"/>
  <c r="I117" i="18" s="1"/>
  <c r="I118" i="18" s="1"/>
  <c r="I119" i="18" s="1"/>
  <c r="I120" i="18" s="1"/>
  <c r="I121" i="18" s="1"/>
  <c r="I122" i="18" s="1"/>
  <c r="I123" i="18" s="1"/>
  <c r="I124" i="18" s="1"/>
  <c r="I125" i="18" s="1"/>
  <c r="K98" i="18"/>
  <c r="K27" i="12"/>
  <c r="AK80" i="12" l="1"/>
  <c r="AJ80" i="12"/>
  <c r="AJ81" i="12" s="1"/>
  <c r="AJ82" i="12" s="1"/>
  <c r="AJ83" i="12" s="1"/>
  <c r="AJ84" i="12" s="1"/>
  <c r="AJ85" i="12" s="1"/>
  <c r="AJ86" i="12" s="1"/>
  <c r="AJ87" i="12" s="1"/>
  <c r="AJ88" i="12" s="1"/>
  <c r="AJ89" i="12" s="1"/>
  <c r="AJ90" i="12" s="1"/>
  <c r="AJ91" i="12" s="1"/>
  <c r="AJ92" i="12" s="1"/>
  <c r="AJ93" i="12" s="1"/>
  <c r="AJ94" i="12" s="1"/>
  <c r="AJ95" i="12" s="1"/>
  <c r="AJ96" i="12" s="1"/>
  <c r="AJ97" i="12" s="1"/>
  <c r="AJ98" i="12" s="1"/>
  <c r="AJ99" i="12" s="1"/>
  <c r="AJ100" i="12" s="1"/>
  <c r="AJ101" i="12" s="1"/>
  <c r="AJ102" i="12" s="1"/>
  <c r="AJ103" i="12" s="1"/>
  <c r="AJ104" i="12" s="1"/>
  <c r="AJ105" i="12" s="1"/>
  <c r="AJ106" i="12" s="1"/>
  <c r="AJ107" i="12" s="1"/>
  <c r="AJ108" i="12" s="1"/>
  <c r="AJ109" i="12" s="1"/>
  <c r="AJ110" i="12" s="1"/>
  <c r="AJ111" i="12" s="1"/>
  <c r="AJ112" i="12" s="1"/>
  <c r="AJ113" i="12" s="1"/>
  <c r="AJ114" i="12" s="1"/>
  <c r="AJ115" i="12" s="1"/>
  <c r="AJ116" i="12" s="1"/>
  <c r="AJ117" i="12" s="1"/>
  <c r="AJ118" i="12" s="1"/>
  <c r="AJ119" i="12" s="1"/>
  <c r="AJ120" i="12" s="1"/>
  <c r="AJ121" i="12" s="1"/>
  <c r="AJ122" i="12" s="1"/>
  <c r="AJ123" i="12" s="1"/>
  <c r="AJ124" i="12" s="1"/>
  <c r="AJ125" i="12" s="1"/>
  <c r="AI80" i="12"/>
  <c r="AI81" i="12" s="1"/>
  <c r="AI82" i="12" s="1"/>
  <c r="AI83" i="12" s="1"/>
  <c r="AI84" i="12" s="1"/>
  <c r="AI85" i="12" s="1"/>
  <c r="AI86" i="12" s="1"/>
  <c r="AI87" i="12" s="1"/>
  <c r="AI88" i="12" s="1"/>
  <c r="AI89" i="12" s="1"/>
  <c r="AI90" i="12" s="1"/>
  <c r="AI91" i="12" s="1"/>
  <c r="AI92" i="12" s="1"/>
  <c r="AI93" i="12" s="1"/>
  <c r="AI94" i="12" s="1"/>
  <c r="AI95" i="12" s="1"/>
  <c r="AI96" i="12" s="1"/>
  <c r="AI97" i="12" s="1"/>
  <c r="AI98" i="12" s="1"/>
  <c r="AI99" i="12" s="1"/>
  <c r="AI100" i="12" s="1"/>
  <c r="AI101" i="12" s="1"/>
  <c r="AI102" i="12" s="1"/>
  <c r="AI103" i="12" s="1"/>
  <c r="AI104" i="12" s="1"/>
  <c r="AI105" i="12" s="1"/>
  <c r="AI106" i="12" s="1"/>
  <c r="AI107" i="12" s="1"/>
  <c r="AI108" i="12" s="1"/>
  <c r="AI109" i="12" s="1"/>
  <c r="AI110" i="12" s="1"/>
  <c r="AI111" i="12" s="1"/>
  <c r="AI112" i="12" s="1"/>
  <c r="AI113" i="12" s="1"/>
  <c r="AI114" i="12" s="1"/>
  <c r="AI115" i="12" s="1"/>
  <c r="AI116" i="12" s="1"/>
  <c r="AI117" i="12" s="1"/>
  <c r="AI118" i="12" s="1"/>
  <c r="AI119" i="12" s="1"/>
  <c r="AI120" i="12" s="1"/>
  <c r="AI121" i="12" s="1"/>
  <c r="AI122" i="12" s="1"/>
  <c r="AI123" i="12" s="1"/>
  <c r="AI124" i="12" s="1"/>
  <c r="AI125" i="12" s="1"/>
  <c r="N89" i="25"/>
  <c r="Y89" i="25" s="1"/>
  <c r="O89" i="25"/>
  <c r="Z89" i="25" s="1"/>
  <c r="P89" i="25"/>
  <c r="AA89" i="25" s="1"/>
  <c r="Q89" i="25"/>
  <c r="AB89" i="25" s="1"/>
  <c r="R89" i="25"/>
  <c r="AC89" i="25" s="1"/>
  <c r="M89" i="25"/>
  <c r="X89" i="25" s="1"/>
  <c r="AQ80" i="12"/>
  <c r="AQ81" i="12" s="1"/>
  <c r="AQ82" i="12" s="1"/>
  <c r="AQ83" i="12" s="1"/>
  <c r="AQ84" i="12" s="1"/>
  <c r="AQ85" i="12" s="1"/>
  <c r="AQ86" i="12" s="1"/>
  <c r="AQ87" i="12" s="1"/>
  <c r="AQ88" i="12" s="1"/>
  <c r="AQ89" i="12" s="1"/>
  <c r="AQ90" i="12" s="1"/>
  <c r="AQ91" i="12" s="1"/>
  <c r="AQ92" i="12" s="1"/>
  <c r="AQ93" i="12" s="1"/>
  <c r="AQ94" i="12" s="1"/>
  <c r="AQ95" i="12" s="1"/>
  <c r="AQ96" i="12" s="1"/>
  <c r="AQ97" i="12" s="1"/>
  <c r="AQ98" i="12" s="1"/>
  <c r="AQ99" i="12" s="1"/>
  <c r="AQ100" i="12" s="1"/>
  <c r="AQ101" i="12" s="1"/>
  <c r="AQ102" i="12" s="1"/>
  <c r="AQ103" i="12" s="1"/>
  <c r="AQ104" i="12" s="1"/>
  <c r="AQ105" i="12" s="1"/>
  <c r="AQ106" i="12" s="1"/>
  <c r="AQ107" i="12" s="1"/>
  <c r="AQ108" i="12" s="1"/>
  <c r="AQ109" i="12" s="1"/>
  <c r="AQ110" i="12" s="1"/>
  <c r="AQ111" i="12" s="1"/>
  <c r="AQ112" i="12" s="1"/>
  <c r="AQ113" i="12" s="1"/>
  <c r="AQ114" i="12" s="1"/>
  <c r="AQ115" i="12" s="1"/>
  <c r="AQ116" i="12" s="1"/>
  <c r="AQ117" i="12" s="1"/>
  <c r="AQ118" i="12" s="1"/>
  <c r="AQ119" i="12" s="1"/>
  <c r="AQ120" i="12" s="1"/>
  <c r="AQ121" i="12" s="1"/>
  <c r="AQ122" i="12" s="1"/>
  <c r="AQ123" i="12" s="1"/>
  <c r="AQ124" i="12" s="1"/>
  <c r="AQ125" i="12" s="1"/>
  <c r="AR80" i="12"/>
  <c r="AR81" i="12" s="1"/>
  <c r="AR82" i="12" s="1"/>
  <c r="AR83" i="12" s="1"/>
  <c r="AR84" i="12" s="1"/>
  <c r="AR85" i="12" s="1"/>
  <c r="AR86" i="12" s="1"/>
  <c r="AR87" i="12" s="1"/>
  <c r="AR88" i="12" s="1"/>
  <c r="AR89" i="12" s="1"/>
  <c r="AR90" i="12" s="1"/>
  <c r="AR91" i="12" s="1"/>
  <c r="AR92" i="12" s="1"/>
  <c r="AR93" i="12" s="1"/>
  <c r="AR94" i="12" s="1"/>
  <c r="AR95" i="12" s="1"/>
  <c r="AR96" i="12" s="1"/>
  <c r="AR97" i="12" s="1"/>
  <c r="AR98" i="12" s="1"/>
  <c r="AR99" i="12" s="1"/>
  <c r="AR100" i="12" s="1"/>
  <c r="AR101" i="12" s="1"/>
  <c r="AR102" i="12" s="1"/>
  <c r="AR103" i="12" s="1"/>
  <c r="AR104" i="12" s="1"/>
  <c r="AR105" i="12" s="1"/>
  <c r="AR106" i="12" s="1"/>
  <c r="AR107" i="12" s="1"/>
  <c r="AR108" i="12" s="1"/>
  <c r="AR109" i="12" s="1"/>
  <c r="AR110" i="12" s="1"/>
  <c r="AR111" i="12" s="1"/>
  <c r="AR112" i="12" s="1"/>
  <c r="AR113" i="12" s="1"/>
  <c r="AR114" i="12" s="1"/>
  <c r="AR115" i="12" s="1"/>
  <c r="AR116" i="12" s="1"/>
  <c r="AR117" i="12" s="1"/>
  <c r="AR118" i="12" s="1"/>
  <c r="AR119" i="12" s="1"/>
  <c r="AR120" i="12" s="1"/>
  <c r="AR121" i="12" s="1"/>
  <c r="AR122" i="12" s="1"/>
  <c r="AR123" i="12" s="1"/>
  <c r="AR124" i="12" s="1"/>
  <c r="AR125" i="12" s="1"/>
  <c r="AS80" i="12"/>
  <c r="AS81" i="12" s="1"/>
  <c r="AS82" i="12" s="1"/>
  <c r="AS83" i="12" s="1"/>
  <c r="AS84" i="12" s="1"/>
  <c r="AS85" i="12" s="1"/>
  <c r="AS86" i="12" s="1"/>
  <c r="AS87" i="12" s="1"/>
  <c r="AS88" i="12" s="1"/>
  <c r="AS89" i="12" s="1"/>
  <c r="AS90" i="12" s="1"/>
  <c r="AS91" i="12" s="1"/>
  <c r="AS92" i="12" s="1"/>
  <c r="AS93" i="12" s="1"/>
  <c r="AS94" i="12" s="1"/>
  <c r="AS95" i="12" s="1"/>
  <c r="AS96" i="12" s="1"/>
  <c r="AS97" i="12" s="1"/>
  <c r="AS98" i="12" s="1"/>
  <c r="AS99" i="12" s="1"/>
  <c r="AS100" i="12" s="1"/>
  <c r="AS101" i="12" s="1"/>
  <c r="AS102" i="12" s="1"/>
  <c r="AS103" i="12" s="1"/>
  <c r="AS104" i="12" s="1"/>
  <c r="AS105" i="12" s="1"/>
  <c r="AS106" i="12" s="1"/>
  <c r="AS107" i="12" s="1"/>
  <c r="AS108" i="12" s="1"/>
  <c r="AS109" i="12" s="1"/>
  <c r="AS110" i="12" s="1"/>
  <c r="AS111" i="12" s="1"/>
  <c r="AS112" i="12" s="1"/>
  <c r="AS113" i="12" s="1"/>
  <c r="AS114" i="12" s="1"/>
  <c r="AS115" i="12" s="1"/>
  <c r="AS116" i="12" s="1"/>
  <c r="AS117" i="12" s="1"/>
  <c r="AS118" i="12" s="1"/>
  <c r="AS119" i="12" s="1"/>
  <c r="AS120" i="12" s="1"/>
  <c r="AS121" i="12" s="1"/>
  <c r="AS122" i="12" s="1"/>
  <c r="AS123" i="12" s="1"/>
  <c r="AS124" i="12" s="1"/>
  <c r="AS125" i="12" s="1"/>
  <c r="J84" i="18"/>
  <c r="C95" i="19"/>
  <c r="R94" i="19"/>
  <c r="M94" i="19"/>
  <c r="N94" i="19"/>
  <c r="O94" i="19"/>
  <c r="P94" i="19"/>
  <c r="Q94" i="19"/>
  <c r="C90" i="25"/>
  <c r="J89" i="25"/>
  <c r="U89" i="25" s="1"/>
  <c r="K89" i="25"/>
  <c r="V89" i="25" s="1"/>
  <c r="I89" i="25"/>
  <c r="T89" i="25" s="1"/>
  <c r="AO100" i="24"/>
  <c r="AW99" i="24"/>
  <c r="AM99" i="24"/>
  <c r="AU98" i="24"/>
  <c r="AP100" i="24"/>
  <c r="AX99" i="24"/>
  <c r="AT99" i="24"/>
  <c r="AL100" i="24"/>
  <c r="AQ100" i="24"/>
  <c r="AY99" i="24"/>
  <c r="AS99" i="24"/>
  <c r="AK100" i="24"/>
  <c r="AK81" i="12"/>
  <c r="AK82" i="12" s="1"/>
  <c r="AK83" i="12" s="1"/>
  <c r="AK84" i="12" s="1"/>
  <c r="AK85" i="12" s="1"/>
  <c r="AK86" i="12" s="1"/>
  <c r="AK87" i="12" s="1"/>
  <c r="AK88" i="12" s="1"/>
  <c r="AK89" i="12" s="1"/>
  <c r="AK90" i="12" s="1"/>
  <c r="AK91" i="12" s="1"/>
  <c r="AK92" i="12" s="1"/>
  <c r="AK93" i="12" s="1"/>
  <c r="AK94" i="12" s="1"/>
  <c r="AK95" i="12" s="1"/>
  <c r="AK96" i="12" s="1"/>
  <c r="AK97" i="12" s="1"/>
  <c r="AK98" i="12" s="1"/>
  <c r="AK99" i="12" s="1"/>
  <c r="AK100" i="12" s="1"/>
  <c r="AK101" i="12" s="1"/>
  <c r="AK102" i="12" s="1"/>
  <c r="AK103" i="12" s="1"/>
  <c r="AK104" i="12" s="1"/>
  <c r="AK105" i="12" s="1"/>
  <c r="AK106" i="12" s="1"/>
  <c r="AK107" i="12" s="1"/>
  <c r="AK108" i="12" s="1"/>
  <c r="AK109" i="12" s="1"/>
  <c r="AK110" i="12" s="1"/>
  <c r="AK111" i="12" s="1"/>
  <c r="AK112" i="12" s="1"/>
  <c r="AK113" i="12" s="1"/>
  <c r="AK114" i="12" s="1"/>
  <c r="AK115" i="12" s="1"/>
  <c r="AK116" i="12" s="1"/>
  <c r="AK117" i="12" s="1"/>
  <c r="AK118" i="12" s="1"/>
  <c r="AK119" i="12" s="1"/>
  <c r="AK120" i="12" s="1"/>
  <c r="AK121" i="12" s="1"/>
  <c r="AK122" i="12" s="1"/>
  <c r="AK123" i="12" s="1"/>
  <c r="AK124" i="12" s="1"/>
  <c r="AK125" i="12" s="1"/>
  <c r="AN80" i="12"/>
  <c r="AN81" i="12" s="1"/>
  <c r="AN82" i="12" s="1"/>
  <c r="AN83" i="12" s="1"/>
  <c r="AN84" i="12" s="1"/>
  <c r="AN85" i="12" s="1"/>
  <c r="AN86" i="12" s="1"/>
  <c r="AN87" i="12" s="1"/>
  <c r="AN88" i="12" s="1"/>
  <c r="AN89" i="12" s="1"/>
  <c r="AN90" i="12" s="1"/>
  <c r="AN91" i="12" s="1"/>
  <c r="AN92" i="12" s="1"/>
  <c r="AN93" i="12" s="1"/>
  <c r="AN94" i="12" s="1"/>
  <c r="AN95" i="12" s="1"/>
  <c r="AN96" i="12" s="1"/>
  <c r="AN97" i="12" s="1"/>
  <c r="AN98" i="12" s="1"/>
  <c r="AN99" i="12" s="1"/>
  <c r="AN100" i="12" s="1"/>
  <c r="AN101" i="12" s="1"/>
  <c r="AN102" i="12" s="1"/>
  <c r="AN103" i="12" s="1"/>
  <c r="AN104" i="12" s="1"/>
  <c r="AN105" i="12" s="1"/>
  <c r="AN106" i="12" s="1"/>
  <c r="AN107" i="12" s="1"/>
  <c r="AN108" i="12" s="1"/>
  <c r="AN109" i="12" s="1"/>
  <c r="AN110" i="12" s="1"/>
  <c r="AN111" i="12" s="1"/>
  <c r="AN112" i="12" s="1"/>
  <c r="AN113" i="12" s="1"/>
  <c r="AN114" i="12" s="1"/>
  <c r="AN115" i="12" s="1"/>
  <c r="AN116" i="12" s="1"/>
  <c r="AN117" i="12" s="1"/>
  <c r="AN118" i="12" s="1"/>
  <c r="AN119" i="12" s="1"/>
  <c r="AN120" i="12" s="1"/>
  <c r="AN121" i="12" s="1"/>
  <c r="AN122" i="12" s="1"/>
  <c r="AN123" i="12" s="1"/>
  <c r="AN124" i="12" s="1"/>
  <c r="AN125" i="12" s="1"/>
  <c r="AM80" i="12"/>
  <c r="AM81" i="12" s="1"/>
  <c r="AM82" i="12" s="1"/>
  <c r="AM83" i="12" s="1"/>
  <c r="AM84" i="12" s="1"/>
  <c r="AM85" i="12" s="1"/>
  <c r="AM86" i="12" s="1"/>
  <c r="AM87" i="12" s="1"/>
  <c r="AM88" i="12" s="1"/>
  <c r="AM89" i="12" s="1"/>
  <c r="AM90" i="12" s="1"/>
  <c r="AM91" i="12" s="1"/>
  <c r="AM92" i="12" s="1"/>
  <c r="AM93" i="12" s="1"/>
  <c r="AM94" i="12" s="1"/>
  <c r="AM95" i="12" s="1"/>
  <c r="AM96" i="12" s="1"/>
  <c r="AM97" i="12" s="1"/>
  <c r="AM98" i="12" s="1"/>
  <c r="AM99" i="12" s="1"/>
  <c r="AM100" i="12" s="1"/>
  <c r="AM101" i="12" s="1"/>
  <c r="AM102" i="12" s="1"/>
  <c r="AM103" i="12" s="1"/>
  <c r="AM104" i="12" s="1"/>
  <c r="AM105" i="12" s="1"/>
  <c r="AM106" i="12" s="1"/>
  <c r="AM107" i="12" s="1"/>
  <c r="AM108" i="12" s="1"/>
  <c r="AM109" i="12" s="1"/>
  <c r="AM110" i="12" s="1"/>
  <c r="AM111" i="12" s="1"/>
  <c r="AM112" i="12" s="1"/>
  <c r="AM113" i="12" s="1"/>
  <c r="AM114" i="12" s="1"/>
  <c r="AM115" i="12" s="1"/>
  <c r="AM116" i="12" s="1"/>
  <c r="AM117" i="12" s="1"/>
  <c r="AM118" i="12" s="1"/>
  <c r="AM119" i="12" s="1"/>
  <c r="AM120" i="12" s="1"/>
  <c r="AM121" i="12" s="1"/>
  <c r="AM122" i="12" s="1"/>
  <c r="AM123" i="12" s="1"/>
  <c r="AM124" i="12" s="1"/>
  <c r="AM125" i="12" s="1"/>
  <c r="AO80" i="12"/>
  <c r="AO81" i="12" s="1"/>
  <c r="AO82" i="12" s="1"/>
  <c r="AO83" i="12" s="1"/>
  <c r="AO84" i="12" s="1"/>
  <c r="AO85" i="12" s="1"/>
  <c r="AO86" i="12" s="1"/>
  <c r="AO87" i="12" s="1"/>
  <c r="AO88" i="12" s="1"/>
  <c r="AO89" i="12" s="1"/>
  <c r="AO90" i="12" s="1"/>
  <c r="AO91" i="12" s="1"/>
  <c r="AO92" i="12" s="1"/>
  <c r="AO93" i="12" s="1"/>
  <c r="AO94" i="12" s="1"/>
  <c r="AO95" i="12" s="1"/>
  <c r="AO96" i="12" s="1"/>
  <c r="AO97" i="12" s="1"/>
  <c r="AO98" i="12" s="1"/>
  <c r="AO99" i="12" s="1"/>
  <c r="AO100" i="12" s="1"/>
  <c r="AO101" i="12" s="1"/>
  <c r="AO102" i="12" s="1"/>
  <c r="AO103" i="12" s="1"/>
  <c r="AO104" i="12" s="1"/>
  <c r="AO105" i="12" s="1"/>
  <c r="AO106" i="12" s="1"/>
  <c r="AO107" i="12" s="1"/>
  <c r="AO108" i="12" s="1"/>
  <c r="AO109" i="12" s="1"/>
  <c r="AO110" i="12" s="1"/>
  <c r="AO111" i="12" s="1"/>
  <c r="AO112" i="12" s="1"/>
  <c r="AO113" i="12" s="1"/>
  <c r="AO114" i="12" s="1"/>
  <c r="AO115" i="12" s="1"/>
  <c r="AO116" i="12" s="1"/>
  <c r="AO117" i="12" s="1"/>
  <c r="AO118" i="12" s="1"/>
  <c r="AO119" i="12" s="1"/>
  <c r="AO120" i="12" s="1"/>
  <c r="AO121" i="12" s="1"/>
  <c r="AO122" i="12" s="1"/>
  <c r="AO123" i="12" s="1"/>
  <c r="AO124" i="12" s="1"/>
  <c r="AO125" i="12" s="1"/>
  <c r="AM81" i="18"/>
  <c r="AM82" i="18" s="1"/>
  <c r="AM83" i="18" s="1"/>
  <c r="AI81" i="18"/>
  <c r="AI82" i="18" s="1"/>
  <c r="AI83" i="18" s="1"/>
  <c r="AI84" i="18" s="1"/>
  <c r="AI85" i="18" s="1"/>
  <c r="AI86" i="18" s="1"/>
  <c r="AI87" i="18" s="1"/>
  <c r="AI88" i="18" s="1"/>
  <c r="AI89" i="18" s="1"/>
  <c r="AI90" i="18" s="1"/>
  <c r="AI91" i="18" s="1"/>
  <c r="AI92" i="18" s="1"/>
  <c r="AI93" i="18" s="1"/>
  <c r="AI94" i="18" s="1"/>
  <c r="AI95" i="18" s="1"/>
  <c r="AI96" i="18" s="1"/>
  <c r="AI97" i="18" s="1"/>
  <c r="AI98" i="18" s="1"/>
  <c r="AI99" i="18" s="1"/>
  <c r="AI100" i="18" s="1"/>
  <c r="AI101" i="18" s="1"/>
  <c r="AI102" i="18" s="1"/>
  <c r="AI103" i="18" s="1"/>
  <c r="AI104" i="18" s="1"/>
  <c r="AI105" i="18" s="1"/>
  <c r="AI106" i="18" s="1"/>
  <c r="AI107" i="18" s="1"/>
  <c r="AI108" i="18" s="1"/>
  <c r="AI109" i="18" s="1"/>
  <c r="AI110" i="18" s="1"/>
  <c r="AI111" i="18" s="1"/>
  <c r="AI112" i="18" s="1"/>
  <c r="AI113" i="18" s="1"/>
  <c r="AI114" i="18" s="1"/>
  <c r="AI115" i="18" s="1"/>
  <c r="AI116" i="18" s="1"/>
  <c r="AI117" i="18" s="1"/>
  <c r="AI118" i="18" s="1"/>
  <c r="AI119" i="18" s="1"/>
  <c r="AI120" i="18" s="1"/>
  <c r="AI121" i="18" s="1"/>
  <c r="AI122" i="18" s="1"/>
  <c r="AI123" i="18" s="1"/>
  <c r="AI124" i="18" s="1"/>
  <c r="AI125" i="18" s="1"/>
  <c r="AH81" i="18"/>
  <c r="AH82" i="18" s="1"/>
  <c r="AH83" i="18" s="1"/>
  <c r="AH84" i="18" s="1"/>
  <c r="AH85" i="18" s="1"/>
  <c r="AH86" i="18" s="1"/>
  <c r="AH87" i="18" s="1"/>
  <c r="AH88" i="18" s="1"/>
  <c r="AH89" i="18" s="1"/>
  <c r="AH90" i="18" s="1"/>
  <c r="AH91" i="18" s="1"/>
  <c r="AH92" i="18" s="1"/>
  <c r="AH93" i="18" s="1"/>
  <c r="AH94" i="18" s="1"/>
  <c r="AH95" i="18" s="1"/>
  <c r="AH96" i="18" s="1"/>
  <c r="AH97" i="18" s="1"/>
  <c r="AH98" i="18" s="1"/>
  <c r="AH99" i="18" s="1"/>
  <c r="AH100" i="18" s="1"/>
  <c r="AH101" i="18" s="1"/>
  <c r="AH102" i="18" s="1"/>
  <c r="AH103" i="18" s="1"/>
  <c r="AH104" i="18" s="1"/>
  <c r="AH105" i="18" s="1"/>
  <c r="AH106" i="18" s="1"/>
  <c r="AH107" i="18" s="1"/>
  <c r="AH108" i="18" s="1"/>
  <c r="AH109" i="18" s="1"/>
  <c r="AH110" i="18" s="1"/>
  <c r="AH111" i="18" s="1"/>
  <c r="AH112" i="18" s="1"/>
  <c r="AH113" i="18" s="1"/>
  <c r="AH114" i="18" s="1"/>
  <c r="AH115" i="18" s="1"/>
  <c r="AH116" i="18" s="1"/>
  <c r="AH117" i="18" s="1"/>
  <c r="AH118" i="18" s="1"/>
  <c r="AH119" i="18" s="1"/>
  <c r="AH120" i="18" s="1"/>
  <c r="AH121" i="18" s="1"/>
  <c r="AH122" i="18" s="1"/>
  <c r="AH123" i="18" s="1"/>
  <c r="AH124" i="18" s="1"/>
  <c r="AH125" i="18" s="1"/>
  <c r="AK81" i="18"/>
  <c r="AK82" i="18" s="1"/>
  <c r="AK83" i="18" s="1"/>
  <c r="AK84" i="18" s="1"/>
  <c r="AK85" i="18" s="1"/>
  <c r="AK86" i="18" s="1"/>
  <c r="AK87" i="18" s="1"/>
  <c r="AK88" i="18" s="1"/>
  <c r="AK89" i="18" s="1"/>
  <c r="AK90" i="18" s="1"/>
  <c r="AK91" i="18" s="1"/>
  <c r="AK92" i="18" s="1"/>
  <c r="AK93" i="18" s="1"/>
  <c r="AK94" i="18" s="1"/>
  <c r="AK95" i="18" s="1"/>
  <c r="AK96" i="18" s="1"/>
  <c r="AK97" i="18" s="1"/>
  <c r="AK98" i="18" s="1"/>
  <c r="AK99" i="18" s="1"/>
  <c r="AK100" i="18" s="1"/>
  <c r="AK101" i="18" s="1"/>
  <c r="AK102" i="18" s="1"/>
  <c r="AK103" i="18" s="1"/>
  <c r="AK104" i="18" s="1"/>
  <c r="AK105" i="18" s="1"/>
  <c r="AK106" i="18" s="1"/>
  <c r="AK107" i="18" s="1"/>
  <c r="AK108" i="18" s="1"/>
  <c r="AK109" i="18" s="1"/>
  <c r="AK110" i="18" s="1"/>
  <c r="AK111" i="18" s="1"/>
  <c r="AK112" i="18" s="1"/>
  <c r="AK113" i="18" s="1"/>
  <c r="AK114" i="18" s="1"/>
  <c r="AK115" i="18" s="1"/>
  <c r="AK116" i="18" s="1"/>
  <c r="AK117" i="18" s="1"/>
  <c r="AK118" i="18" s="1"/>
  <c r="AK119" i="18" s="1"/>
  <c r="AK120" i="18" s="1"/>
  <c r="AK121" i="18" s="1"/>
  <c r="AK122" i="18" s="1"/>
  <c r="AK123" i="18" s="1"/>
  <c r="AK124" i="18" s="1"/>
  <c r="AK125" i="18" s="1"/>
  <c r="AL81" i="18"/>
  <c r="AL82" i="18" s="1"/>
  <c r="AL83" i="18" s="1"/>
  <c r="AL84" i="18" s="1"/>
  <c r="AJ81" i="18"/>
  <c r="AJ82" i="18" s="1"/>
  <c r="AJ83" i="18" s="1"/>
  <c r="AJ84" i="18" s="1"/>
  <c r="AJ85" i="18" s="1"/>
  <c r="AJ86" i="18" s="1"/>
  <c r="AJ87" i="18" s="1"/>
  <c r="AJ88" i="18" s="1"/>
  <c r="AJ89" i="18" s="1"/>
  <c r="AJ90" i="18" s="1"/>
  <c r="AJ91" i="18" s="1"/>
  <c r="AJ92" i="18" s="1"/>
  <c r="AJ93" i="18" s="1"/>
  <c r="AJ94" i="18" s="1"/>
  <c r="AJ95" i="18" s="1"/>
  <c r="AJ96" i="18" s="1"/>
  <c r="AJ97" i="18" s="1"/>
  <c r="AJ98" i="18" s="1"/>
  <c r="AJ99" i="18" s="1"/>
  <c r="AJ100" i="18" s="1"/>
  <c r="AJ101" i="18" s="1"/>
  <c r="AJ102" i="18" s="1"/>
  <c r="AJ103" i="18" s="1"/>
  <c r="AJ104" i="18" s="1"/>
  <c r="AJ105" i="18" s="1"/>
  <c r="AJ106" i="18" s="1"/>
  <c r="AJ107" i="18" s="1"/>
  <c r="AJ108" i="18" s="1"/>
  <c r="AJ109" i="18" s="1"/>
  <c r="AJ110" i="18" s="1"/>
  <c r="AJ111" i="18" s="1"/>
  <c r="AJ112" i="18" s="1"/>
  <c r="AJ113" i="18" s="1"/>
  <c r="AJ114" i="18" s="1"/>
  <c r="AJ115" i="18" s="1"/>
  <c r="AJ116" i="18" s="1"/>
  <c r="AJ117" i="18" s="1"/>
  <c r="AJ118" i="18" s="1"/>
  <c r="AJ119" i="18" s="1"/>
  <c r="AJ120" i="18" s="1"/>
  <c r="AJ121" i="18" s="1"/>
  <c r="AJ122" i="18" s="1"/>
  <c r="AJ123" i="18" s="1"/>
  <c r="AJ124" i="18" s="1"/>
  <c r="AJ125" i="18" s="1"/>
  <c r="K99" i="18"/>
  <c r="K28" i="12"/>
  <c r="P90" i="25" l="1"/>
  <c r="AA90" i="25" s="1"/>
  <c r="Q90" i="25"/>
  <c r="AB90" i="25" s="1"/>
  <c r="R90" i="25"/>
  <c r="AC90" i="25" s="1"/>
  <c r="M90" i="25"/>
  <c r="X90" i="25" s="1"/>
  <c r="N90" i="25"/>
  <c r="Y90" i="25" s="1"/>
  <c r="O90" i="25"/>
  <c r="Z90" i="25" s="1"/>
  <c r="AR128" i="12"/>
  <c r="C96" i="19"/>
  <c r="M95" i="19"/>
  <c r="N95" i="19"/>
  <c r="O95" i="19"/>
  <c r="P95" i="19"/>
  <c r="Q95" i="19"/>
  <c r="R95" i="19"/>
  <c r="J85" i="18"/>
  <c r="J90" i="25"/>
  <c r="U90" i="25" s="1"/>
  <c r="I90" i="25"/>
  <c r="T90" i="25" s="1"/>
  <c r="C91" i="25"/>
  <c r="K90" i="25"/>
  <c r="V90" i="25" s="1"/>
  <c r="AP101" i="24"/>
  <c r="AX100" i="24"/>
  <c r="AS100" i="24"/>
  <c r="AK101" i="24"/>
  <c r="AM100" i="24"/>
  <c r="AU99" i="24"/>
  <c r="AY100" i="24"/>
  <c r="AQ101" i="24"/>
  <c r="AW100" i="24"/>
  <c r="AO101" i="24"/>
  <c r="AT100" i="24"/>
  <c r="AL101" i="24"/>
  <c r="AL85" i="18"/>
  <c r="AM84" i="18"/>
  <c r="K100" i="18"/>
  <c r="K29" i="12"/>
  <c r="R91" i="25" l="1"/>
  <c r="AC91" i="25" s="1"/>
  <c r="M91" i="25"/>
  <c r="X91" i="25" s="1"/>
  <c r="N91" i="25"/>
  <c r="Y91" i="25" s="1"/>
  <c r="O91" i="25"/>
  <c r="Z91" i="25" s="1"/>
  <c r="P91" i="25"/>
  <c r="AA91" i="25" s="1"/>
  <c r="Q91" i="25"/>
  <c r="AB91" i="25" s="1"/>
  <c r="J86" i="18"/>
  <c r="C97" i="19"/>
  <c r="N96" i="19"/>
  <c r="O96" i="19"/>
  <c r="P96" i="19"/>
  <c r="Q96" i="19"/>
  <c r="R96" i="19"/>
  <c r="M96" i="19"/>
  <c r="K91" i="25"/>
  <c r="V91" i="25" s="1"/>
  <c r="I91" i="25"/>
  <c r="T91" i="25" s="1"/>
  <c r="C92" i="25"/>
  <c r="J91" i="25"/>
  <c r="U91" i="25" s="1"/>
  <c r="AU100" i="24"/>
  <c r="AM101" i="24"/>
  <c r="AS101" i="24"/>
  <c r="AK102" i="24"/>
  <c r="AT101" i="24"/>
  <c r="AL102" i="24"/>
  <c r="AW101" i="24"/>
  <c r="AO102" i="24"/>
  <c r="AQ102" i="24"/>
  <c r="AY101" i="24"/>
  <c r="AX101" i="24"/>
  <c r="AP102" i="24"/>
  <c r="AM85" i="18"/>
  <c r="AL86" i="18"/>
  <c r="K101" i="18"/>
  <c r="K30" i="12"/>
  <c r="M92" i="25" l="1"/>
  <c r="X92" i="25" s="1"/>
  <c r="N92" i="25"/>
  <c r="Y92" i="25" s="1"/>
  <c r="O92" i="25"/>
  <c r="Z92" i="25" s="1"/>
  <c r="P92" i="25"/>
  <c r="AA92" i="25" s="1"/>
  <c r="Q92" i="25"/>
  <c r="AB92" i="25" s="1"/>
  <c r="R92" i="25"/>
  <c r="AC92" i="25" s="1"/>
  <c r="C98" i="19"/>
  <c r="P97" i="19"/>
  <c r="Q97" i="19"/>
  <c r="R97" i="19"/>
  <c r="M97" i="19"/>
  <c r="N97" i="19"/>
  <c r="O97" i="19"/>
  <c r="J87" i="18"/>
  <c r="C93" i="25"/>
  <c r="K92" i="25"/>
  <c r="V92" i="25" s="1"/>
  <c r="J92" i="25"/>
  <c r="U92" i="25" s="1"/>
  <c r="I92" i="25"/>
  <c r="T92" i="25" s="1"/>
  <c r="AS102" i="24"/>
  <c r="AK103" i="24"/>
  <c r="AT102" i="24"/>
  <c r="AL103" i="24"/>
  <c r="AW102" i="24"/>
  <c r="AO103" i="24"/>
  <c r="AM102" i="24"/>
  <c r="AU101" i="24"/>
  <c r="AX102" i="24"/>
  <c r="AP103" i="24"/>
  <c r="AQ103" i="24"/>
  <c r="AY102" i="24"/>
  <c r="AL87" i="18"/>
  <c r="AM86" i="18"/>
  <c r="K102" i="18"/>
  <c r="K31" i="12"/>
  <c r="N93" i="25" l="1"/>
  <c r="Y93" i="25" s="1"/>
  <c r="O93" i="25"/>
  <c r="Z93" i="25" s="1"/>
  <c r="P93" i="25"/>
  <c r="AA93" i="25" s="1"/>
  <c r="Q93" i="25"/>
  <c r="AB93" i="25" s="1"/>
  <c r="R93" i="25"/>
  <c r="AC93" i="25" s="1"/>
  <c r="M93" i="25"/>
  <c r="X93" i="25" s="1"/>
  <c r="J88" i="18"/>
  <c r="C99" i="19"/>
  <c r="R98" i="19"/>
  <c r="M98" i="19"/>
  <c r="N98" i="19"/>
  <c r="O98" i="19"/>
  <c r="P98" i="19"/>
  <c r="Q98" i="19"/>
  <c r="K93" i="25"/>
  <c r="V93" i="25" s="1"/>
  <c r="J93" i="25"/>
  <c r="U93" i="25" s="1"/>
  <c r="I93" i="25"/>
  <c r="T93" i="25" s="1"/>
  <c r="C94" i="25"/>
  <c r="AQ104" i="24"/>
  <c r="AY103" i="24"/>
  <c r="AW103" i="24"/>
  <c r="AO104" i="24"/>
  <c r="AL104" i="24"/>
  <c r="AT103" i="24"/>
  <c r="AS103" i="24"/>
  <c r="AK104" i="24"/>
  <c r="AX103" i="24"/>
  <c r="AP104" i="24"/>
  <c r="AM103" i="24"/>
  <c r="AU102" i="24"/>
  <c r="AU81" i="18"/>
  <c r="AP81" i="18"/>
  <c r="AQ81" i="18"/>
  <c r="AO81" i="18"/>
  <c r="AT81" i="18"/>
  <c r="AS81" i="18"/>
  <c r="AL88" i="18"/>
  <c r="AM87" i="18"/>
  <c r="K103" i="18"/>
  <c r="K32" i="12"/>
  <c r="P94" i="25" l="1"/>
  <c r="AA94" i="25" s="1"/>
  <c r="Q94" i="25"/>
  <c r="AB94" i="25" s="1"/>
  <c r="R94" i="25"/>
  <c r="AC94" i="25" s="1"/>
  <c r="M94" i="25"/>
  <c r="X94" i="25" s="1"/>
  <c r="N94" i="25"/>
  <c r="Y94" i="25" s="1"/>
  <c r="O94" i="25"/>
  <c r="Z94" i="25" s="1"/>
  <c r="C100" i="19"/>
  <c r="M99" i="19"/>
  <c r="N99" i="19"/>
  <c r="O99" i="19"/>
  <c r="P99" i="19"/>
  <c r="Q99" i="19"/>
  <c r="R99" i="19"/>
  <c r="J89" i="18"/>
  <c r="J94" i="25"/>
  <c r="U94" i="25" s="1"/>
  <c r="K94" i="25"/>
  <c r="V94" i="25" s="1"/>
  <c r="C95" i="25"/>
  <c r="I94" i="25"/>
  <c r="T94" i="25" s="1"/>
  <c r="AW104" i="24"/>
  <c r="AO105" i="24"/>
  <c r="AT104" i="24"/>
  <c r="AL105" i="24"/>
  <c r="AQ105" i="24"/>
  <c r="AY104" i="24"/>
  <c r="AS104" i="24"/>
  <c r="AK105" i="24"/>
  <c r="AU103" i="24"/>
  <c r="AM104" i="24"/>
  <c r="AP105" i="24"/>
  <c r="AX104" i="24"/>
  <c r="AT82" i="18"/>
  <c r="BB81" i="18"/>
  <c r="AW81" i="18"/>
  <c r="AO82" i="18"/>
  <c r="AU82" i="18"/>
  <c r="BC81" i="18"/>
  <c r="AQ82" i="18"/>
  <c r="AY81" i="18"/>
  <c r="BA81" i="18"/>
  <c r="AS82" i="18"/>
  <c r="AX81" i="18"/>
  <c r="AP82" i="18"/>
  <c r="AL89" i="18"/>
  <c r="AM88" i="18"/>
  <c r="K104" i="18"/>
  <c r="K33" i="12"/>
  <c r="R95" i="25" l="1"/>
  <c r="AC95" i="25" s="1"/>
  <c r="M95" i="25"/>
  <c r="X95" i="25" s="1"/>
  <c r="N95" i="25"/>
  <c r="Y95" i="25" s="1"/>
  <c r="O95" i="25"/>
  <c r="Z95" i="25" s="1"/>
  <c r="P95" i="25"/>
  <c r="AA95" i="25" s="1"/>
  <c r="Q95" i="25"/>
  <c r="AB95" i="25" s="1"/>
  <c r="J90" i="18"/>
  <c r="C101" i="19"/>
  <c r="N100" i="19"/>
  <c r="O100" i="19"/>
  <c r="P100" i="19"/>
  <c r="Q100" i="19"/>
  <c r="R100" i="19"/>
  <c r="M100" i="19"/>
  <c r="K95" i="25"/>
  <c r="V95" i="25" s="1"/>
  <c r="I95" i="25"/>
  <c r="T95" i="25" s="1"/>
  <c r="J95" i="25"/>
  <c r="U95" i="25" s="1"/>
  <c r="C96" i="25"/>
  <c r="AP106" i="24"/>
  <c r="AX105" i="24"/>
  <c r="AT105" i="24"/>
  <c r="AL106" i="24"/>
  <c r="AM105" i="24"/>
  <c r="AU104" i="24"/>
  <c r="AY105" i="24"/>
  <c r="AQ106" i="24"/>
  <c r="AW105" i="24"/>
  <c r="AO106" i="24"/>
  <c r="AK106" i="24"/>
  <c r="AS105" i="24"/>
  <c r="AQ83" i="18"/>
  <c r="AY82" i="18"/>
  <c r="AT83" i="18"/>
  <c r="BB82" i="18"/>
  <c r="BA82" i="18"/>
  <c r="AS83" i="18"/>
  <c r="AO83" i="18"/>
  <c r="AW82" i="18"/>
  <c r="AX82" i="18"/>
  <c r="AP83" i="18"/>
  <c r="AU83" i="18"/>
  <c r="BC82" i="18"/>
  <c r="AL90" i="18"/>
  <c r="AM89" i="18"/>
  <c r="K105" i="18"/>
  <c r="K34" i="12"/>
  <c r="M96" i="25" l="1"/>
  <c r="X96" i="25" s="1"/>
  <c r="N96" i="25"/>
  <c r="Y96" i="25" s="1"/>
  <c r="O96" i="25"/>
  <c r="Z96" i="25" s="1"/>
  <c r="P96" i="25"/>
  <c r="AA96" i="25" s="1"/>
  <c r="Q96" i="25"/>
  <c r="AB96" i="25" s="1"/>
  <c r="R96" i="25"/>
  <c r="AC96" i="25" s="1"/>
  <c r="C102" i="19"/>
  <c r="P101" i="19"/>
  <c r="Q101" i="19"/>
  <c r="R101" i="19"/>
  <c r="M101" i="19"/>
  <c r="N101" i="19"/>
  <c r="O101" i="19"/>
  <c r="J91" i="18"/>
  <c r="K96" i="25"/>
  <c r="V96" i="25" s="1"/>
  <c r="I96" i="25"/>
  <c r="T96" i="25" s="1"/>
  <c r="J96" i="25"/>
  <c r="U96" i="25" s="1"/>
  <c r="C97" i="25"/>
  <c r="AU105" i="24"/>
  <c r="AM106" i="24"/>
  <c r="AT106" i="24"/>
  <c r="AL107" i="24"/>
  <c r="AY106" i="24"/>
  <c r="AQ107" i="24"/>
  <c r="AO107" i="24"/>
  <c r="AW106" i="24"/>
  <c r="AS106" i="24"/>
  <c r="AK107" i="24"/>
  <c r="AP107" i="24"/>
  <c r="AX106" i="24"/>
  <c r="AQ84" i="18"/>
  <c r="AY83" i="18"/>
  <c r="AP84" i="18"/>
  <c r="AX83" i="18"/>
  <c r="AO84" i="18"/>
  <c r="AW83" i="18"/>
  <c r="AS84" i="18"/>
  <c r="BA83" i="18"/>
  <c r="BC83" i="18"/>
  <c r="AU84" i="18"/>
  <c r="AT84" i="18"/>
  <c r="BB83" i="18"/>
  <c r="AL91" i="18"/>
  <c r="AM90" i="18"/>
  <c r="K106" i="18"/>
  <c r="K35" i="12"/>
  <c r="N97" i="25" l="1"/>
  <c r="Y97" i="25" s="1"/>
  <c r="O97" i="25"/>
  <c r="Z97" i="25" s="1"/>
  <c r="P97" i="25"/>
  <c r="AA97" i="25" s="1"/>
  <c r="Q97" i="25"/>
  <c r="AB97" i="25" s="1"/>
  <c r="R97" i="25"/>
  <c r="AC97" i="25" s="1"/>
  <c r="M97" i="25"/>
  <c r="X97" i="25" s="1"/>
  <c r="J92" i="18"/>
  <c r="C103" i="19"/>
  <c r="R102" i="19"/>
  <c r="M102" i="19"/>
  <c r="N102" i="19"/>
  <c r="O102" i="19"/>
  <c r="P102" i="19"/>
  <c r="Q102" i="19"/>
  <c r="I97" i="25"/>
  <c r="T97" i="25" s="1"/>
  <c r="J97" i="25"/>
  <c r="U97" i="25" s="1"/>
  <c r="C98" i="25"/>
  <c r="K97" i="25"/>
  <c r="V97" i="25" s="1"/>
  <c r="AB80" i="19"/>
  <c r="I80" i="19"/>
  <c r="T80" i="19" s="1"/>
  <c r="K80" i="19"/>
  <c r="V80" i="19" s="1"/>
  <c r="Y80" i="19"/>
  <c r="AA80" i="19"/>
  <c r="AC80" i="19"/>
  <c r="J80" i="19"/>
  <c r="U80" i="19" s="1"/>
  <c r="X80" i="19"/>
  <c r="Z80" i="19"/>
  <c r="AP108" i="24"/>
  <c r="AX107" i="24"/>
  <c r="AT107" i="24"/>
  <c r="AL108" i="24"/>
  <c r="AK108" i="24"/>
  <c r="AS107" i="24"/>
  <c r="AM107" i="24"/>
  <c r="AU106" i="24"/>
  <c r="AY107" i="24"/>
  <c r="AQ108" i="24"/>
  <c r="AO108" i="24"/>
  <c r="AW107" i="24"/>
  <c r="AT85" i="18"/>
  <c r="BB84" i="18"/>
  <c r="AW84" i="18"/>
  <c r="AO85" i="18"/>
  <c r="AX84" i="18"/>
  <c r="AP85" i="18"/>
  <c r="AQ85" i="18"/>
  <c r="AY84" i="18"/>
  <c r="AU85" i="18"/>
  <c r="BC84" i="18"/>
  <c r="AS85" i="18"/>
  <c r="BA84" i="18"/>
  <c r="AM91" i="18"/>
  <c r="AL92" i="18"/>
  <c r="K107" i="18"/>
  <c r="K36" i="12"/>
  <c r="P98" i="25" l="1"/>
  <c r="AA98" i="25" s="1"/>
  <c r="Q98" i="25"/>
  <c r="AB98" i="25" s="1"/>
  <c r="R98" i="25"/>
  <c r="AC98" i="25" s="1"/>
  <c r="M98" i="25"/>
  <c r="X98" i="25" s="1"/>
  <c r="N98" i="25"/>
  <c r="Y98" i="25" s="1"/>
  <c r="O98" i="25"/>
  <c r="Z98" i="25" s="1"/>
  <c r="C104" i="19"/>
  <c r="M103" i="19"/>
  <c r="N103" i="19"/>
  <c r="O103" i="19"/>
  <c r="P103" i="19"/>
  <c r="Q103" i="19"/>
  <c r="R103" i="19"/>
  <c r="J93" i="18"/>
  <c r="K98" i="25"/>
  <c r="V98" i="25" s="1"/>
  <c r="I98" i="25"/>
  <c r="T98" i="25" s="1"/>
  <c r="C99" i="25"/>
  <c r="J98" i="25"/>
  <c r="U98" i="25" s="1"/>
  <c r="AB81" i="19"/>
  <c r="K81" i="19"/>
  <c r="V81" i="19" s="1"/>
  <c r="Z81" i="19"/>
  <c r="X81" i="19"/>
  <c r="Y81" i="19"/>
  <c r="I81" i="19"/>
  <c r="T81" i="19" s="1"/>
  <c r="AA81" i="19"/>
  <c r="AC81" i="19"/>
  <c r="J81" i="19"/>
  <c r="U81" i="19" s="1"/>
  <c r="AW108" i="24"/>
  <c r="AO109" i="24"/>
  <c r="AS108" i="24"/>
  <c r="AK109" i="24"/>
  <c r="AL109" i="24"/>
  <c r="AT108" i="24"/>
  <c r="AQ109" i="24"/>
  <c r="AY108" i="24"/>
  <c r="AU107" i="24"/>
  <c r="AM108" i="24"/>
  <c r="AX108" i="24"/>
  <c r="AP109" i="24"/>
  <c r="AS86" i="18"/>
  <c r="BA85" i="18"/>
  <c r="AP86" i="18"/>
  <c r="AX85" i="18"/>
  <c r="AW85" i="18"/>
  <c r="AO86" i="18"/>
  <c r="AU86" i="18"/>
  <c r="BC85" i="18"/>
  <c r="AQ86" i="18"/>
  <c r="AY85" i="18"/>
  <c r="AT86" i="18"/>
  <c r="BB85" i="18"/>
  <c r="AL93" i="18"/>
  <c r="AM92" i="18"/>
  <c r="K108" i="18"/>
  <c r="K37" i="12"/>
  <c r="R99" i="25" l="1"/>
  <c r="AC99" i="25" s="1"/>
  <c r="M99" i="25"/>
  <c r="X99" i="25" s="1"/>
  <c r="N99" i="25"/>
  <c r="Y99" i="25" s="1"/>
  <c r="O99" i="25"/>
  <c r="Z99" i="25" s="1"/>
  <c r="P99" i="25"/>
  <c r="AA99" i="25" s="1"/>
  <c r="Q99" i="25"/>
  <c r="AB99" i="25" s="1"/>
  <c r="J94" i="18"/>
  <c r="C105" i="19"/>
  <c r="N104" i="19"/>
  <c r="O104" i="19"/>
  <c r="P104" i="19"/>
  <c r="Q104" i="19"/>
  <c r="R104" i="19"/>
  <c r="M104" i="19"/>
  <c r="J99" i="25"/>
  <c r="U99" i="25" s="1"/>
  <c r="C100" i="25"/>
  <c r="I99" i="25"/>
  <c r="T99" i="25" s="1"/>
  <c r="K99" i="25"/>
  <c r="V99" i="25" s="1"/>
  <c r="AC82" i="19"/>
  <c r="K82" i="19"/>
  <c r="V82" i="19" s="1"/>
  <c r="AB82" i="19"/>
  <c r="Z82" i="19"/>
  <c r="J82" i="19"/>
  <c r="U82" i="19" s="1"/>
  <c r="Y82" i="19"/>
  <c r="X82" i="19"/>
  <c r="AA82" i="19"/>
  <c r="I82" i="19"/>
  <c r="T82" i="19" s="1"/>
  <c r="AS109" i="24"/>
  <c r="AK110" i="24"/>
  <c r="AL110" i="24"/>
  <c r="AT109" i="24"/>
  <c r="AP110" i="24"/>
  <c r="AX109" i="24"/>
  <c r="AW109" i="24"/>
  <c r="AO110" i="24"/>
  <c r="AU108" i="24"/>
  <c r="AM109" i="24"/>
  <c r="AY109" i="24"/>
  <c r="AQ110" i="24"/>
  <c r="AU87" i="18"/>
  <c r="BC86" i="18"/>
  <c r="AW86" i="18"/>
  <c r="AO87" i="18"/>
  <c r="AT87" i="18"/>
  <c r="BB86" i="18"/>
  <c r="AX86" i="18"/>
  <c r="AP87" i="18"/>
  <c r="AQ87" i="18"/>
  <c r="AY86" i="18"/>
  <c r="BA86" i="18"/>
  <c r="AS87" i="18"/>
  <c r="AM93" i="18"/>
  <c r="AL94" i="18"/>
  <c r="K109" i="18"/>
  <c r="K38" i="12"/>
  <c r="M100" i="25" l="1"/>
  <c r="X100" i="25" s="1"/>
  <c r="N100" i="25"/>
  <c r="Y100" i="25" s="1"/>
  <c r="O100" i="25"/>
  <c r="P100" i="25"/>
  <c r="Q100" i="25"/>
  <c r="AB100" i="25" s="1"/>
  <c r="R100" i="25"/>
  <c r="AC100" i="25" s="1"/>
  <c r="C106" i="19"/>
  <c r="P105" i="19"/>
  <c r="Q105" i="19"/>
  <c r="R105" i="19"/>
  <c r="M105" i="19"/>
  <c r="N105" i="19"/>
  <c r="O105" i="19"/>
  <c r="J95" i="18"/>
  <c r="J100" i="25"/>
  <c r="U100" i="25" s="1"/>
  <c r="Z100" i="25"/>
  <c r="I100" i="25"/>
  <c r="T100" i="25" s="1"/>
  <c r="K100" i="25"/>
  <c r="V100" i="25" s="1"/>
  <c r="AA100" i="25"/>
  <c r="C101" i="25"/>
  <c r="AB83" i="19"/>
  <c r="K83" i="19"/>
  <c r="V83" i="19" s="1"/>
  <c r="X83" i="19"/>
  <c r="AA83" i="19"/>
  <c r="Z83" i="19"/>
  <c r="AC83" i="19"/>
  <c r="J83" i="19"/>
  <c r="U83" i="19" s="1"/>
  <c r="Y83" i="19"/>
  <c r="I83" i="19"/>
  <c r="T83" i="19" s="1"/>
  <c r="AP111" i="24"/>
  <c r="AX110" i="24"/>
  <c r="AQ111" i="24"/>
  <c r="AY110" i="24"/>
  <c r="AL111" i="24"/>
  <c r="AT110" i="24"/>
  <c r="AU109" i="24"/>
  <c r="AM110" i="24"/>
  <c r="AW110" i="24"/>
  <c r="AO111" i="24"/>
  <c r="AK111" i="24"/>
  <c r="AS110" i="24"/>
  <c r="BA87" i="18"/>
  <c r="AS88" i="18"/>
  <c r="AT88" i="18"/>
  <c r="BB87" i="18"/>
  <c r="AX87" i="18"/>
  <c r="AP88" i="18"/>
  <c r="AW87" i="18"/>
  <c r="AO88" i="18"/>
  <c r="AQ88" i="18"/>
  <c r="AY87" i="18"/>
  <c r="AU88" i="18"/>
  <c r="BC87" i="18"/>
  <c r="AM94" i="18"/>
  <c r="AL95" i="18"/>
  <c r="K110" i="18"/>
  <c r="K39" i="12"/>
  <c r="N101" i="25" l="1"/>
  <c r="Y101" i="25" s="1"/>
  <c r="O101" i="25"/>
  <c r="Z101" i="25" s="1"/>
  <c r="P101" i="25"/>
  <c r="Q101" i="25"/>
  <c r="AB101" i="25" s="1"/>
  <c r="R101" i="25"/>
  <c r="M101" i="25"/>
  <c r="X101" i="25" s="1"/>
  <c r="J96" i="18"/>
  <c r="C107" i="19"/>
  <c r="R106" i="19"/>
  <c r="M106" i="19"/>
  <c r="N106" i="19"/>
  <c r="O106" i="19"/>
  <c r="P106" i="19"/>
  <c r="Q106" i="19"/>
  <c r="AC101" i="25"/>
  <c r="K101" i="25"/>
  <c r="V101" i="25" s="1"/>
  <c r="C102" i="25"/>
  <c r="AA101" i="25"/>
  <c r="I101" i="25"/>
  <c r="T101" i="25" s="1"/>
  <c r="J101" i="25"/>
  <c r="U101" i="25" s="1"/>
  <c r="AA84" i="19"/>
  <c r="AC84" i="19"/>
  <c r="I84" i="19"/>
  <c r="T84" i="19" s="1"/>
  <c r="AB84" i="19"/>
  <c r="X84" i="19"/>
  <c r="K84" i="19"/>
  <c r="V84" i="19" s="1"/>
  <c r="Z84" i="19"/>
  <c r="J84" i="19"/>
  <c r="U84" i="19" s="1"/>
  <c r="Y84" i="19"/>
  <c r="AT111" i="24"/>
  <c r="AL112" i="24"/>
  <c r="AM111" i="24"/>
  <c r="AU110" i="24"/>
  <c r="AQ112" i="24"/>
  <c r="AY111" i="24"/>
  <c r="AK112" i="24"/>
  <c r="AS111" i="24"/>
  <c r="AW111" i="24"/>
  <c r="AO112" i="24"/>
  <c r="AP112" i="24"/>
  <c r="AX111" i="24"/>
  <c r="AP89" i="18"/>
  <c r="AX88" i="18"/>
  <c r="AU89" i="18"/>
  <c r="BC88" i="18"/>
  <c r="AT89" i="18"/>
  <c r="BB88" i="18"/>
  <c r="AW88" i="18"/>
  <c r="AO89" i="18"/>
  <c r="AS89" i="18"/>
  <c r="BA88" i="18"/>
  <c r="AQ89" i="18"/>
  <c r="AY88" i="18"/>
  <c r="AM95" i="18"/>
  <c r="AL96" i="18"/>
  <c r="K111" i="18"/>
  <c r="K40" i="12"/>
  <c r="P102" i="25" l="1"/>
  <c r="AA102" i="25" s="1"/>
  <c r="Q102" i="25"/>
  <c r="R102" i="25"/>
  <c r="AC102" i="25" s="1"/>
  <c r="M102" i="25"/>
  <c r="N102" i="25"/>
  <c r="Y102" i="25" s="1"/>
  <c r="O102" i="25"/>
  <c r="Z102" i="25" s="1"/>
  <c r="C108" i="19"/>
  <c r="M107" i="19"/>
  <c r="N107" i="19"/>
  <c r="O107" i="19"/>
  <c r="P107" i="19"/>
  <c r="Q107" i="19"/>
  <c r="R107" i="19"/>
  <c r="J97" i="18"/>
  <c r="AB102" i="25"/>
  <c r="X102" i="25"/>
  <c r="J102" i="25"/>
  <c r="U102" i="25" s="1"/>
  <c r="I102" i="25"/>
  <c r="T102" i="25" s="1"/>
  <c r="C103" i="25"/>
  <c r="K102" i="25"/>
  <c r="V102" i="25" s="1"/>
  <c r="X85" i="19"/>
  <c r="J85" i="19"/>
  <c r="U85" i="19" s="1"/>
  <c r="AA85" i="19"/>
  <c r="AC85" i="19"/>
  <c r="AB85" i="19"/>
  <c r="Z85" i="19"/>
  <c r="K85" i="19"/>
  <c r="V85" i="19" s="1"/>
  <c r="Y85" i="19"/>
  <c r="I85" i="19"/>
  <c r="T85" i="19" s="1"/>
  <c r="AQ113" i="24"/>
  <c r="AY112" i="24"/>
  <c r="AM112" i="24"/>
  <c r="AU111" i="24"/>
  <c r="AT112" i="24"/>
  <c r="AL113" i="24"/>
  <c r="AX112" i="24"/>
  <c r="AP113" i="24"/>
  <c r="AO113" i="24"/>
  <c r="AW112" i="24"/>
  <c r="AK113" i="24"/>
  <c r="AS112" i="24"/>
  <c r="AT90" i="18"/>
  <c r="BB89" i="18"/>
  <c r="AQ90" i="18"/>
  <c r="AY89" i="18"/>
  <c r="AS90" i="18"/>
  <c r="BA89" i="18"/>
  <c r="AW89" i="18"/>
  <c r="AO90" i="18"/>
  <c r="AU90" i="18"/>
  <c r="BC89" i="18"/>
  <c r="AX89" i="18"/>
  <c r="AP90" i="18"/>
  <c r="AM96" i="18"/>
  <c r="AL97" i="18"/>
  <c r="K112" i="18"/>
  <c r="K41" i="12"/>
  <c r="R103" i="25" l="1"/>
  <c r="AC103" i="25" s="1"/>
  <c r="M103" i="25"/>
  <c r="N103" i="25"/>
  <c r="Y103" i="25" s="1"/>
  <c r="O103" i="25"/>
  <c r="Z103" i="25" s="1"/>
  <c r="P103" i="25"/>
  <c r="AA103" i="25" s="1"/>
  <c r="Q103" i="25"/>
  <c r="AB103" i="25" s="1"/>
  <c r="J98" i="18"/>
  <c r="C109" i="19"/>
  <c r="N108" i="19"/>
  <c r="O108" i="19"/>
  <c r="P108" i="19"/>
  <c r="Q108" i="19"/>
  <c r="R108" i="19"/>
  <c r="M108" i="19"/>
  <c r="K103" i="25"/>
  <c r="V103" i="25" s="1"/>
  <c r="C104" i="25"/>
  <c r="J103" i="25"/>
  <c r="U103" i="25" s="1"/>
  <c r="I103" i="25"/>
  <c r="T103" i="25" s="1"/>
  <c r="X103" i="25"/>
  <c r="Z86" i="19"/>
  <c r="K86" i="19"/>
  <c r="V86" i="19" s="1"/>
  <c r="Y86" i="19"/>
  <c r="I86" i="19"/>
  <c r="T86" i="19" s="1"/>
  <c r="X86" i="19"/>
  <c r="AA86" i="19"/>
  <c r="AC86" i="19"/>
  <c r="J86" i="19"/>
  <c r="U86" i="19" s="1"/>
  <c r="AB86" i="19"/>
  <c r="AT113" i="24"/>
  <c r="AL114" i="24"/>
  <c r="AK114" i="24"/>
  <c r="AS113" i="24"/>
  <c r="AM113" i="24"/>
  <c r="AU112" i="24"/>
  <c r="AO114" i="24"/>
  <c r="AW113" i="24"/>
  <c r="AP114" i="24"/>
  <c r="AX113" i="24"/>
  <c r="AY113" i="24"/>
  <c r="AQ114" i="24"/>
  <c r="AX90" i="18"/>
  <c r="AP91" i="18"/>
  <c r="AS91" i="18"/>
  <c r="BA90" i="18"/>
  <c r="AU91" i="18"/>
  <c r="BC90" i="18"/>
  <c r="AW90" i="18"/>
  <c r="AO91" i="18"/>
  <c r="AQ91" i="18"/>
  <c r="AY90" i="18"/>
  <c r="AT91" i="18"/>
  <c r="BB90" i="18"/>
  <c r="AL98" i="18"/>
  <c r="AM97" i="18"/>
  <c r="K113" i="18"/>
  <c r="K42" i="12"/>
  <c r="M104" i="25" l="1"/>
  <c r="X104" i="25" s="1"/>
  <c r="N104" i="25"/>
  <c r="Y104" i="25" s="1"/>
  <c r="O104" i="25"/>
  <c r="P104" i="25"/>
  <c r="AA104" i="25" s="1"/>
  <c r="Q104" i="25"/>
  <c r="AB104" i="25" s="1"/>
  <c r="R104" i="25"/>
  <c r="AC104" i="25" s="1"/>
  <c r="C110" i="19"/>
  <c r="P109" i="19"/>
  <c r="Q109" i="19"/>
  <c r="R109" i="19"/>
  <c r="M109" i="19"/>
  <c r="N109" i="19"/>
  <c r="O109" i="19"/>
  <c r="J99" i="18"/>
  <c r="I104" i="25"/>
  <c r="T104" i="25" s="1"/>
  <c r="C105" i="25"/>
  <c r="K104" i="25"/>
  <c r="V104" i="25" s="1"/>
  <c r="J104" i="25"/>
  <c r="U104" i="25" s="1"/>
  <c r="Z104" i="25"/>
  <c r="Y87" i="19"/>
  <c r="I87" i="19"/>
  <c r="T87" i="19" s="1"/>
  <c r="Z87" i="19"/>
  <c r="X87" i="19"/>
  <c r="AB87" i="19"/>
  <c r="K87" i="19"/>
  <c r="V87" i="19" s="1"/>
  <c r="AA87" i="19"/>
  <c r="AC87" i="19"/>
  <c r="J87" i="19"/>
  <c r="U87" i="19" s="1"/>
  <c r="AU113" i="24"/>
  <c r="AM114" i="24"/>
  <c r="AK115" i="24"/>
  <c r="AS114" i="24"/>
  <c r="AT114" i="24"/>
  <c r="AL115" i="24"/>
  <c r="AQ115" i="24"/>
  <c r="AY114" i="24"/>
  <c r="AX114" i="24"/>
  <c r="AP115" i="24"/>
  <c r="AO115" i="24"/>
  <c r="AW114" i="24"/>
  <c r="AT92" i="18"/>
  <c r="BB91" i="18"/>
  <c r="BC91" i="18"/>
  <c r="AU92" i="18"/>
  <c r="BA91" i="18"/>
  <c r="AS92" i="18"/>
  <c r="AW91" i="18"/>
  <c r="AO92" i="18"/>
  <c r="AP92" i="18"/>
  <c r="AX91" i="18"/>
  <c r="AQ92" i="18"/>
  <c r="AY91" i="18"/>
  <c r="AL99" i="18"/>
  <c r="AM98" i="18"/>
  <c r="K114" i="18"/>
  <c r="K43" i="12"/>
  <c r="N105" i="25" l="1"/>
  <c r="Y105" i="25" s="1"/>
  <c r="O105" i="25"/>
  <c r="P105" i="25"/>
  <c r="AA105" i="25" s="1"/>
  <c r="Q105" i="25"/>
  <c r="AB105" i="25" s="1"/>
  <c r="R105" i="25"/>
  <c r="AC105" i="25" s="1"/>
  <c r="M105" i="25"/>
  <c r="X105" i="25" s="1"/>
  <c r="J100" i="18"/>
  <c r="C111" i="19"/>
  <c r="R110" i="19"/>
  <c r="M110" i="19"/>
  <c r="N110" i="19"/>
  <c r="O110" i="19"/>
  <c r="P110" i="19"/>
  <c r="Q110" i="19"/>
  <c r="Z105" i="25"/>
  <c r="I105" i="25"/>
  <c r="T105" i="25" s="1"/>
  <c r="K105" i="25"/>
  <c r="V105" i="25" s="1"/>
  <c r="C106" i="25"/>
  <c r="J105" i="25"/>
  <c r="U105" i="25" s="1"/>
  <c r="K88" i="19"/>
  <c r="V88" i="19" s="1"/>
  <c r="AA88" i="19"/>
  <c r="Z88" i="19"/>
  <c r="Y88" i="19"/>
  <c r="X88" i="19"/>
  <c r="AB88" i="19"/>
  <c r="AC88" i="19"/>
  <c r="I88" i="19"/>
  <c r="T88" i="19" s="1"/>
  <c r="J88" i="19"/>
  <c r="U88" i="19" s="1"/>
  <c r="AQ116" i="24"/>
  <c r="AY115" i="24"/>
  <c r="AL116" i="24"/>
  <c r="AT115" i="24"/>
  <c r="AW115" i="24"/>
  <c r="AO116" i="24"/>
  <c r="AS115" i="24"/>
  <c r="AK116" i="24"/>
  <c r="AX115" i="24"/>
  <c r="AP116" i="24"/>
  <c r="AU114" i="24"/>
  <c r="AM115" i="24"/>
  <c r="AS93" i="18"/>
  <c r="BA92" i="18"/>
  <c r="AQ93" i="18"/>
  <c r="AY92" i="18"/>
  <c r="AU93" i="18"/>
  <c r="BC92" i="18"/>
  <c r="AW92" i="18"/>
  <c r="AO93" i="18"/>
  <c r="AP93" i="18"/>
  <c r="AX92" i="18"/>
  <c r="AT93" i="18"/>
  <c r="BB92" i="18"/>
  <c r="AM99" i="18"/>
  <c r="AL100" i="18"/>
  <c r="K115" i="18"/>
  <c r="K44" i="12"/>
  <c r="P106" i="25" l="1"/>
  <c r="AA106" i="25" s="1"/>
  <c r="Q106" i="25"/>
  <c r="R106" i="25"/>
  <c r="AC106" i="25" s="1"/>
  <c r="M106" i="25"/>
  <c r="X106" i="25" s="1"/>
  <c r="N106" i="25"/>
  <c r="Y106" i="25" s="1"/>
  <c r="O106" i="25"/>
  <c r="Z106" i="25" s="1"/>
  <c r="C112" i="19"/>
  <c r="M111" i="19"/>
  <c r="N111" i="19"/>
  <c r="O111" i="19"/>
  <c r="P111" i="19"/>
  <c r="Q111" i="19"/>
  <c r="R111" i="19"/>
  <c r="J101" i="18"/>
  <c r="K106" i="25"/>
  <c r="V106" i="25" s="1"/>
  <c r="AB106" i="25"/>
  <c r="I106" i="25"/>
  <c r="T106" i="25" s="1"/>
  <c r="J106" i="25"/>
  <c r="U106" i="25" s="1"/>
  <c r="C107" i="25"/>
  <c r="J89" i="19"/>
  <c r="U89" i="19" s="1"/>
  <c r="I89" i="19"/>
  <c r="T89" i="19" s="1"/>
  <c r="K89" i="19"/>
  <c r="V89" i="19" s="1"/>
  <c r="AB89" i="19"/>
  <c r="AC89" i="19"/>
  <c r="AA89" i="19"/>
  <c r="Z89" i="19"/>
  <c r="X89" i="19"/>
  <c r="Y89" i="19"/>
  <c r="AU115" i="24"/>
  <c r="AM116" i="24"/>
  <c r="AW116" i="24"/>
  <c r="AO117" i="24"/>
  <c r="AP117" i="24"/>
  <c r="AX116" i="24"/>
  <c r="AL117" i="24"/>
  <c r="AT116" i="24"/>
  <c r="AS116" i="24"/>
  <c r="AK117" i="24"/>
  <c r="AY116" i="24"/>
  <c r="AQ117" i="24"/>
  <c r="AT94" i="18"/>
  <c r="BB93" i="18"/>
  <c r="AQ94" i="18"/>
  <c r="AY93" i="18"/>
  <c r="AU94" i="18"/>
  <c r="BC93" i="18"/>
  <c r="AP94" i="18"/>
  <c r="AX93" i="18"/>
  <c r="AW93" i="18"/>
  <c r="AO94" i="18"/>
  <c r="AS94" i="18"/>
  <c r="BA93" i="18"/>
  <c r="AL101" i="18"/>
  <c r="AM100" i="18"/>
  <c r="K116" i="18"/>
  <c r="K45" i="12"/>
  <c r="R107" i="25" l="1"/>
  <c r="AC107" i="25" s="1"/>
  <c r="M107" i="25"/>
  <c r="X107" i="25" s="1"/>
  <c r="N107" i="25"/>
  <c r="Y107" i="25" s="1"/>
  <c r="O107" i="25"/>
  <c r="P107" i="25"/>
  <c r="AA107" i="25" s="1"/>
  <c r="Q107" i="25"/>
  <c r="AB107" i="25" s="1"/>
  <c r="J102" i="18"/>
  <c r="C113" i="19"/>
  <c r="N112" i="19"/>
  <c r="O112" i="19"/>
  <c r="P112" i="19"/>
  <c r="Q112" i="19"/>
  <c r="R112" i="19"/>
  <c r="M112" i="19"/>
  <c r="Z107" i="25"/>
  <c r="J107" i="25"/>
  <c r="U107" i="25" s="1"/>
  <c r="C108" i="25"/>
  <c r="K107" i="25"/>
  <c r="V107" i="25" s="1"/>
  <c r="I107" i="25"/>
  <c r="T107" i="25" s="1"/>
  <c r="Y90" i="19"/>
  <c r="K90" i="19"/>
  <c r="V90" i="19" s="1"/>
  <c r="AC90" i="19"/>
  <c r="AA90" i="19"/>
  <c r="I90" i="19"/>
  <c r="T90" i="19" s="1"/>
  <c r="Z90" i="19"/>
  <c r="X90" i="19"/>
  <c r="J90" i="19"/>
  <c r="U90" i="19" s="1"/>
  <c r="AB90" i="19"/>
  <c r="AP118" i="24"/>
  <c r="AX117" i="24"/>
  <c r="AW117" i="24"/>
  <c r="AO118" i="24"/>
  <c r="AS117" i="24"/>
  <c r="AK118" i="24"/>
  <c r="AM117" i="24"/>
  <c r="AU116" i="24"/>
  <c r="AQ118" i="24"/>
  <c r="AY117" i="24"/>
  <c r="AL118" i="24"/>
  <c r="AT117" i="24"/>
  <c r="AP95" i="18"/>
  <c r="AX94" i="18"/>
  <c r="BA94" i="18"/>
  <c r="AS95" i="18"/>
  <c r="AU95" i="18"/>
  <c r="BC94" i="18"/>
  <c r="AQ95" i="18"/>
  <c r="AY94" i="18"/>
  <c r="AW94" i="18"/>
  <c r="AO95" i="18"/>
  <c r="AT95" i="18"/>
  <c r="BB94" i="18"/>
  <c r="AM101" i="18"/>
  <c r="AL102" i="18"/>
  <c r="K117" i="18"/>
  <c r="K46" i="12"/>
  <c r="M108" i="25" l="1"/>
  <c r="N108" i="25"/>
  <c r="O108" i="25"/>
  <c r="Z108" i="25" s="1"/>
  <c r="P108" i="25"/>
  <c r="Q108" i="25"/>
  <c r="AB108" i="25" s="1"/>
  <c r="R108" i="25"/>
  <c r="AC108" i="25" s="1"/>
  <c r="C114" i="19"/>
  <c r="P113" i="19"/>
  <c r="Q113" i="19"/>
  <c r="R113" i="19"/>
  <c r="M113" i="19"/>
  <c r="N113" i="19"/>
  <c r="O113" i="19"/>
  <c r="J103" i="18"/>
  <c r="AA108" i="25"/>
  <c r="J108" i="25"/>
  <c r="U108" i="25" s="1"/>
  <c r="X108" i="25"/>
  <c r="Y108" i="25"/>
  <c r="I108" i="25"/>
  <c r="T108" i="25" s="1"/>
  <c r="K108" i="25"/>
  <c r="V108" i="25" s="1"/>
  <c r="C109" i="25"/>
  <c r="AA91" i="19"/>
  <c r="I91" i="19"/>
  <c r="T91" i="19" s="1"/>
  <c r="X91" i="19"/>
  <c r="K91" i="19"/>
  <c r="V91" i="19" s="1"/>
  <c r="J91" i="19"/>
  <c r="U91" i="19" s="1"/>
  <c r="Y91" i="19"/>
  <c r="AB91" i="19"/>
  <c r="Z91" i="19"/>
  <c r="AC91" i="19"/>
  <c r="AW118" i="24"/>
  <c r="AO119" i="24"/>
  <c r="AL119" i="24"/>
  <c r="AT118" i="24"/>
  <c r="AK119" i="24"/>
  <c r="AS118" i="24"/>
  <c r="AY118" i="24"/>
  <c r="AQ119" i="24"/>
  <c r="AM118" i="24"/>
  <c r="AU117" i="24"/>
  <c r="AP119" i="24"/>
  <c r="AX118" i="24"/>
  <c r="AS96" i="18"/>
  <c r="BA95" i="18"/>
  <c r="AW95" i="18"/>
  <c r="AO96" i="18"/>
  <c r="BC95" i="18"/>
  <c r="AU96" i="18"/>
  <c r="AT96" i="18"/>
  <c r="BB95" i="18"/>
  <c r="AQ96" i="18"/>
  <c r="AY95" i="18"/>
  <c r="AP96" i="18"/>
  <c r="AX95" i="18"/>
  <c r="AL103" i="18"/>
  <c r="AM102" i="18"/>
  <c r="K118" i="18"/>
  <c r="K47" i="12"/>
  <c r="N109" i="25" l="1"/>
  <c r="O109" i="25"/>
  <c r="P109" i="25"/>
  <c r="AA109" i="25" s="1"/>
  <c r="Q109" i="25"/>
  <c r="R109" i="25"/>
  <c r="M109" i="25"/>
  <c r="X109" i="25" s="1"/>
  <c r="J104" i="18"/>
  <c r="C115" i="19"/>
  <c r="R114" i="19"/>
  <c r="M114" i="19"/>
  <c r="N114" i="19"/>
  <c r="O114" i="19"/>
  <c r="P114" i="19"/>
  <c r="Q114" i="19"/>
  <c r="AB109" i="25"/>
  <c r="AC109" i="25"/>
  <c r="J109" i="25"/>
  <c r="U109" i="25" s="1"/>
  <c r="K109" i="25"/>
  <c r="V109" i="25" s="1"/>
  <c r="C110" i="25"/>
  <c r="Y109" i="25"/>
  <c r="I109" i="25"/>
  <c r="T109" i="25" s="1"/>
  <c r="Z109" i="25"/>
  <c r="I92" i="19"/>
  <c r="T92" i="19" s="1"/>
  <c r="Z92" i="19"/>
  <c r="Y92" i="19"/>
  <c r="AA92" i="19"/>
  <c r="AB92" i="19"/>
  <c r="K92" i="19"/>
  <c r="V92" i="19" s="1"/>
  <c r="X92" i="19"/>
  <c r="AC92" i="19"/>
  <c r="J92" i="19"/>
  <c r="U92" i="19" s="1"/>
  <c r="AS119" i="24"/>
  <c r="AK120" i="24"/>
  <c r="AL120" i="24"/>
  <c r="AT119" i="24"/>
  <c r="AU118" i="24"/>
  <c r="AM119" i="24"/>
  <c r="AY119" i="24"/>
  <c r="AQ120" i="24"/>
  <c r="AO120" i="24"/>
  <c r="AW119" i="24"/>
  <c r="AP120" i="24"/>
  <c r="AX119" i="24"/>
  <c r="AT97" i="18"/>
  <c r="BB96" i="18"/>
  <c r="AW96" i="18"/>
  <c r="AO97" i="18"/>
  <c r="AU97" i="18"/>
  <c r="BC96" i="18"/>
  <c r="AP97" i="18"/>
  <c r="AX96" i="18"/>
  <c r="AQ97" i="18"/>
  <c r="AY96" i="18"/>
  <c r="BA96" i="18"/>
  <c r="AS97" i="18"/>
  <c r="AL104" i="18"/>
  <c r="AM103" i="18"/>
  <c r="K119" i="18"/>
  <c r="K48" i="12"/>
  <c r="P110" i="25" l="1"/>
  <c r="AA110" i="25" s="1"/>
  <c r="Q110" i="25"/>
  <c r="R110" i="25"/>
  <c r="AC110" i="25" s="1"/>
  <c r="M110" i="25"/>
  <c r="N110" i="25"/>
  <c r="Y110" i="25" s="1"/>
  <c r="O110" i="25"/>
  <c r="C116" i="19"/>
  <c r="M115" i="19"/>
  <c r="N115" i="19"/>
  <c r="O115" i="19"/>
  <c r="P115" i="19"/>
  <c r="Q115" i="19"/>
  <c r="R115" i="19"/>
  <c r="J105" i="18"/>
  <c r="C111" i="25"/>
  <c r="Z110" i="25"/>
  <c r="K110" i="25"/>
  <c r="V110" i="25" s="1"/>
  <c r="AB110" i="25"/>
  <c r="J110" i="25"/>
  <c r="U110" i="25" s="1"/>
  <c r="I110" i="25"/>
  <c r="T110" i="25" s="1"/>
  <c r="X110" i="25"/>
  <c r="I93" i="19"/>
  <c r="T93" i="19" s="1"/>
  <c r="K93" i="19"/>
  <c r="V93" i="19" s="1"/>
  <c r="AC93" i="19"/>
  <c r="Y93" i="19"/>
  <c r="X93" i="19"/>
  <c r="AA93" i="19"/>
  <c r="Z93" i="19"/>
  <c r="AB93" i="19"/>
  <c r="J93" i="19"/>
  <c r="U93" i="19" s="1"/>
  <c r="AT120" i="24"/>
  <c r="AL121" i="24"/>
  <c r="AU119" i="24"/>
  <c r="AM120" i="24"/>
  <c r="AO121" i="24"/>
  <c r="AW120" i="24"/>
  <c r="AY120" i="24"/>
  <c r="AQ121" i="24"/>
  <c r="AS120" i="24"/>
  <c r="AK121" i="24"/>
  <c r="AX120" i="24"/>
  <c r="AP121" i="24"/>
  <c r="BC97" i="18"/>
  <c r="AU98" i="18"/>
  <c r="AO98" i="18"/>
  <c r="AW97" i="18"/>
  <c r="BA97" i="18"/>
  <c r="AS98" i="18"/>
  <c r="AX97" i="18"/>
  <c r="AP98" i="18"/>
  <c r="AQ98" i="18"/>
  <c r="AY97" i="18"/>
  <c r="AT98" i="18"/>
  <c r="BB97" i="18"/>
  <c r="AM104" i="18"/>
  <c r="AL105" i="18"/>
  <c r="K120" i="18"/>
  <c r="K49" i="12"/>
  <c r="R111" i="25" l="1"/>
  <c r="M111" i="25"/>
  <c r="X111" i="25" s="1"/>
  <c r="N111" i="25"/>
  <c r="Y111" i="25" s="1"/>
  <c r="O111" i="25"/>
  <c r="Z111" i="25" s="1"/>
  <c r="P111" i="25"/>
  <c r="AA111" i="25" s="1"/>
  <c r="Q111" i="25"/>
  <c r="AB111" i="25" s="1"/>
  <c r="J106" i="18"/>
  <c r="C117" i="19"/>
  <c r="N116" i="19"/>
  <c r="O116" i="19"/>
  <c r="P116" i="19"/>
  <c r="Q116" i="19"/>
  <c r="R116" i="19"/>
  <c r="M116" i="19"/>
  <c r="AC111" i="25"/>
  <c r="I111" i="25"/>
  <c r="T111" i="25" s="1"/>
  <c r="J111" i="25"/>
  <c r="U111" i="25" s="1"/>
  <c r="K111" i="25"/>
  <c r="V111" i="25" s="1"/>
  <c r="C112" i="25"/>
  <c r="Z94" i="19"/>
  <c r="I94" i="19"/>
  <c r="T94" i="19" s="1"/>
  <c r="K94" i="19"/>
  <c r="V94" i="19" s="1"/>
  <c r="AB94" i="19"/>
  <c r="X94" i="19"/>
  <c r="AC94" i="19"/>
  <c r="AA94" i="19"/>
  <c r="Y94" i="19"/>
  <c r="J94" i="19"/>
  <c r="U94" i="19" s="1"/>
  <c r="AU120" i="24"/>
  <c r="AM121" i="24"/>
  <c r="AK122" i="24"/>
  <c r="AS121" i="24"/>
  <c r="AQ122" i="24"/>
  <c r="AY121" i="24"/>
  <c r="AT121" i="24"/>
  <c r="AL122" i="24"/>
  <c r="AW121" i="24"/>
  <c r="AO122" i="24"/>
  <c r="AP122" i="24"/>
  <c r="AX121" i="24"/>
  <c r="BA98" i="18"/>
  <c r="AS99" i="18"/>
  <c r="AW98" i="18"/>
  <c r="AO99" i="18"/>
  <c r="AX98" i="18"/>
  <c r="AP99" i="18"/>
  <c r="AU99" i="18"/>
  <c r="BC98" i="18"/>
  <c r="AT99" i="18"/>
  <c r="BB98" i="18"/>
  <c r="AQ99" i="18"/>
  <c r="AY98" i="18"/>
  <c r="AL106" i="18"/>
  <c r="AM105" i="18"/>
  <c r="K121" i="18"/>
  <c r="K50" i="12"/>
  <c r="M112" i="25" l="1"/>
  <c r="X112" i="25" s="1"/>
  <c r="N112" i="25"/>
  <c r="Y112" i="25" s="1"/>
  <c r="O112" i="25"/>
  <c r="Z112" i="25" s="1"/>
  <c r="P112" i="25"/>
  <c r="AA112" i="25" s="1"/>
  <c r="Q112" i="25"/>
  <c r="R112" i="25"/>
  <c r="AC112" i="25" s="1"/>
  <c r="C118" i="19"/>
  <c r="P117" i="19"/>
  <c r="Q117" i="19"/>
  <c r="R117" i="19"/>
  <c r="M117" i="19"/>
  <c r="N117" i="19"/>
  <c r="O117" i="19"/>
  <c r="J107" i="18"/>
  <c r="AB112" i="25"/>
  <c r="C113" i="25"/>
  <c r="I112" i="25"/>
  <c r="T112" i="25" s="1"/>
  <c r="J112" i="25"/>
  <c r="U112" i="25" s="1"/>
  <c r="K112" i="25"/>
  <c r="V112" i="25" s="1"/>
  <c r="AC95" i="19"/>
  <c r="AB95" i="19"/>
  <c r="Y95" i="19"/>
  <c r="X95" i="19"/>
  <c r="Z95" i="19"/>
  <c r="K95" i="19"/>
  <c r="V95" i="19" s="1"/>
  <c r="AA95" i="19"/>
  <c r="I95" i="19"/>
  <c r="T95" i="19" s="1"/>
  <c r="J95" i="19"/>
  <c r="U95" i="19" s="1"/>
  <c r="AQ123" i="24"/>
  <c r="AY122" i="24"/>
  <c r="AS122" i="24"/>
  <c r="AK123" i="24"/>
  <c r="AT122" i="24"/>
  <c r="AL123" i="24"/>
  <c r="AP123" i="24"/>
  <c r="AX122" i="24"/>
  <c r="AO123" i="24"/>
  <c r="AW122" i="24"/>
  <c r="AU121" i="24"/>
  <c r="AM122" i="24"/>
  <c r="AO100" i="18"/>
  <c r="AW99" i="18"/>
  <c r="AQ100" i="18"/>
  <c r="AY99" i="18"/>
  <c r="AS100" i="18"/>
  <c r="BA99" i="18"/>
  <c r="AU100" i="18"/>
  <c r="BC99" i="18"/>
  <c r="AP100" i="18"/>
  <c r="AX99" i="18"/>
  <c r="AT100" i="18"/>
  <c r="BB99" i="18"/>
  <c r="AM106" i="18"/>
  <c r="AL107" i="18"/>
  <c r="K122" i="18"/>
  <c r="K51" i="12"/>
  <c r="N113" i="25" l="1"/>
  <c r="O113" i="25"/>
  <c r="Z113" i="25" s="1"/>
  <c r="P113" i="25"/>
  <c r="AA113" i="25" s="1"/>
  <c r="Q113" i="25"/>
  <c r="AB113" i="25" s="1"/>
  <c r="R113" i="25"/>
  <c r="AC113" i="25" s="1"/>
  <c r="M113" i="25"/>
  <c r="X113" i="25" s="1"/>
  <c r="J108" i="18"/>
  <c r="C119" i="19"/>
  <c r="R118" i="19"/>
  <c r="M118" i="19"/>
  <c r="N118" i="19"/>
  <c r="O118" i="19"/>
  <c r="P118" i="19"/>
  <c r="Q118" i="19"/>
  <c r="C114" i="25"/>
  <c r="Y113" i="25"/>
  <c r="J113" i="25"/>
  <c r="U113" i="25" s="1"/>
  <c r="I113" i="25"/>
  <c r="T113" i="25" s="1"/>
  <c r="K113" i="25"/>
  <c r="V113" i="25" s="1"/>
  <c r="Y96" i="19"/>
  <c r="I96" i="19"/>
  <c r="T96" i="19" s="1"/>
  <c r="J96" i="19"/>
  <c r="U96" i="19" s="1"/>
  <c r="AC96" i="19"/>
  <c r="AB96" i="19"/>
  <c r="K96" i="19"/>
  <c r="V96" i="19" s="1"/>
  <c r="AA96" i="19"/>
  <c r="X96" i="19"/>
  <c r="Z96" i="19"/>
  <c r="AL124" i="24"/>
  <c r="AT123" i="24"/>
  <c r="AX123" i="24"/>
  <c r="AP124" i="24"/>
  <c r="AM123" i="24"/>
  <c r="AU122" i="24"/>
  <c r="AK124" i="24"/>
  <c r="AS123" i="24"/>
  <c r="AW123" i="24"/>
  <c r="AO124" i="24"/>
  <c r="AY123" i="24"/>
  <c r="AQ124" i="24"/>
  <c r="BA100" i="18"/>
  <c r="AS101" i="18"/>
  <c r="AT101" i="18"/>
  <c r="BB100" i="18"/>
  <c r="AQ101" i="18"/>
  <c r="AY100" i="18"/>
  <c r="AP101" i="18"/>
  <c r="AX100" i="18"/>
  <c r="AU101" i="18"/>
  <c r="BC100" i="18"/>
  <c r="AW100" i="18"/>
  <c r="AO101" i="18"/>
  <c r="AM107" i="18"/>
  <c r="AL108" i="18"/>
  <c r="K123" i="18"/>
  <c r="K52" i="12"/>
  <c r="P114" i="25" l="1"/>
  <c r="Q114" i="25"/>
  <c r="R114" i="25"/>
  <c r="M114" i="25"/>
  <c r="X114" i="25" s="1"/>
  <c r="N114" i="25"/>
  <c r="Y114" i="25" s="1"/>
  <c r="O114" i="25"/>
  <c r="Z114" i="25" s="1"/>
  <c r="C120" i="19"/>
  <c r="M119" i="19"/>
  <c r="N119" i="19"/>
  <c r="O119" i="19"/>
  <c r="P119" i="19"/>
  <c r="Q119" i="19"/>
  <c r="R119" i="19"/>
  <c r="J109" i="18"/>
  <c r="AC114" i="25"/>
  <c r="AA114" i="25"/>
  <c r="J114" i="25"/>
  <c r="U114" i="25" s="1"/>
  <c r="C115" i="25"/>
  <c r="K114" i="25"/>
  <c r="V114" i="25" s="1"/>
  <c r="I114" i="25"/>
  <c r="T114" i="25" s="1"/>
  <c r="AB114" i="25"/>
  <c r="Z97" i="19"/>
  <c r="J97" i="19"/>
  <c r="U97" i="19" s="1"/>
  <c r="AA97" i="19"/>
  <c r="X97" i="19"/>
  <c r="I97" i="19"/>
  <c r="T97" i="19" s="1"/>
  <c r="K97" i="19"/>
  <c r="V97" i="19" s="1"/>
  <c r="AC97" i="19"/>
  <c r="Y97" i="19"/>
  <c r="AB97" i="19"/>
  <c r="AU123" i="24"/>
  <c r="AM124" i="24"/>
  <c r="AS124" i="24"/>
  <c r="AK125" i="24"/>
  <c r="AS125" i="24" s="1"/>
  <c r="AY124" i="24"/>
  <c r="AQ125" i="24"/>
  <c r="AY125" i="24" s="1"/>
  <c r="AP125" i="24"/>
  <c r="AX125" i="24" s="1"/>
  <c r="AX124" i="24"/>
  <c r="AO125" i="24"/>
  <c r="AW125" i="24" s="1"/>
  <c r="AW124" i="24"/>
  <c r="AT124" i="24"/>
  <c r="AL125" i="24"/>
  <c r="AT125" i="24" s="1"/>
  <c r="AQ102" i="18"/>
  <c r="AY101" i="18"/>
  <c r="AW101" i="18"/>
  <c r="AO102" i="18"/>
  <c r="AT102" i="18"/>
  <c r="BB101" i="18"/>
  <c r="AU102" i="18"/>
  <c r="BC101" i="18"/>
  <c r="AS102" i="18"/>
  <c r="BA101" i="18"/>
  <c r="AP102" i="18"/>
  <c r="AX101" i="18"/>
  <c r="AL109" i="18"/>
  <c r="AM108" i="18"/>
  <c r="K124" i="18"/>
  <c r="K53" i="12"/>
  <c r="R115" i="25" l="1"/>
  <c r="M115" i="25"/>
  <c r="N115" i="25"/>
  <c r="Y115" i="25" s="1"/>
  <c r="O115" i="25"/>
  <c r="Z115" i="25" s="1"/>
  <c r="P115" i="25"/>
  <c r="AA115" i="25" s="1"/>
  <c r="Q115" i="25"/>
  <c r="AB115" i="25" s="1"/>
  <c r="J110" i="18"/>
  <c r="C121" i="19"/>
  <c r="N120" i="19"/>
  <c r="O120" i="19"/>
  <c r="P120" i="19"/>
  <c r="Q120" i="19"/>
  <c r="R120" i="19"/>
  <c r="M120" i="19"/>
  <c r="X115" i="25"/>
  <c r="J115" i="25"/>
  <c r="U115" i="25" s="1"/>
  <c r="AC115" i="25"/>
  <c r="I115" i="25"/>
  <c r="T115" i="25" s="1"/>
  <c r="C116" i="25"/>
  <c r="K115" i="25"/>
  <c r="V115" i="25" s="1"/>
  <c r="X98" i="19"/>
  <c r="AB98" i="19"/>
  <c r="AA98" i="19"/>
  <c r="Y98" i="19"/>
  <c r="AC98" i="19"/>
  <c r="J98" i="19"/>
  <c r="U98" i="19" s="1"/>
  <c r="K98" i="19"/>
  <c r="V98" i="19" s="1"/>
  <c r="Z98" i="19"/>
  <c r="I98" i="19"/>
  <c r="T98" i="19" s="1"/>
  <c r="AM125" i="24"/>
  <c r="AU125" i="24" s="1"/>
  <c r="AU124" i="24"/>
  <c r="AU103" i="18"/>
  <c r="BC102" i="18"/>
  <c r="AT103" i="18"/>
  <c r="BB102" i="18"/>
  <c r="AO103" i="18"/>
  <c r="AW102" i="18"/>
  <c r="AX102" i="18"/>
  <c r="AP103" i="18"/>
  <c r="BA102" i="18"/>
  <c r="AS103" i="18"/>
  <c r="AQ103" i="18"/>
  <c r="AY102" i="18"/>
  <c r="AM109" i="18"/>
  <c r="AL110" i="18"/>
  <c r="K125" i="18"/>
  <c r="K54" i="12"/>
  <c r="M116" i="25" l="1"/>
  <c r="X116" i="25" s="1"/>
  <c r="N116" i="25"/>
  <c r="Y116" i="25" s="1"/>
  <c r="O116" i="25"/>
  <c r="Z116" i="25" s="1"/>
  <c r="P116" i="25"/>
  <c r="AA116" i="25" s="1"/>
  <c r="Q116" i="25"/>
  <c r="AB116" i="25" s="1"/>
  <c r="R116" i="25"/>
  <c r="AC116" i="25" s="1"/>
  <c r="C122" i="19"/>
  <c r="P121" i="19"/>
  <c r="Q121" i="19"/>
  <c r="R121" i="19"/>
  <c r="M121" i="19"/>
  <c r="N121" i="19"/>
  <c r="O121" i="19"/>
  <c r="J111" i="18"/>
  <c r="K116" i="25"/>
  <c r="V116" i="25" s="1"/>
  <c r="I116" i="25"/>
  <c r="T116" i="25" s="1"/>
  <c r="J116" i="25"/>
  <c r="U116" i="25" s="1"/>
  <c r="C117" i="25"/>
  <c r="AA99" i="19"/>
  <c r="J99" i="19"/>
  <c r="U99" i="19" s="1"/>
  <c r="X99" i="19"/>
  <c r="K99" i="19"/>
  <c r="V99" i="19" s="1"/>
  <c r="I99" i="19"/>
  <c r="T99" i="19" s="1"/>
  <c r="AC99" i="19"/>
  <c r="Z99" i="19"/>
  <c r="AB99" i="19"/>
  <c r="Y99" i="19"/>
  <c r="AW103" i="18"/>
  <c r="AO104" i="18"/>
  <c r="AP104" i="18"/>
  <c r="AX103" i="18"/>
  <c r="AS104" i="18"/>
  <c r="BA103" i="18"/>
  <c r="AQ104" i="18"/>
  <c r="AY103" i="18"/>
  <c r="AT104" i="18"/>
  <c r="BB103" i="18"/>
  <c r="BC103" i="18"/>
  <c r="AU104" i="18"/>
  <c r="AL111" i="18"/>
  <c r="AM110" i="18"/>
  <c r="K55" i="12"/>
  <c r="N117" i="25" l="1"/>
  <c r="Y117" i="25" s="1"/>
  <c r="O117" i="25"/>
  <c r="Z117" i="25" s="1"/>
  <c r="P117" i="25"/>
  <c r="AA117" i="25" s="1"/>
  <c r="Q117" i="25"/>
  <c r="AB117" i="25" s="1"/>
  <c r="R117" i="25"/>
  <c r="AC117" i="25" s="1"/>
  <c r="M117" i="25"/>
  <c r="J112" i="18"/>
  <c r="C123" i="19"/>
  <c r="R122" i="19"/>
  <c r="M122" i="19"/>
  <c r="N122" i="19"/>
  <c r="O122" i="19"/>
  <c r="P122" i="19"/>
  <c r="Q122" i="19"/>
  <c r="J117" i="25"/>
  <c r="U117" i="25" s="1"/>
  <c r="X117" i="25"/>
  <c r="I117" i="25"/>
  <c r="T117" i="25" s="1"/>
  <c r="C118" i="25"/>
  <c r="K117" i="25"/>
  <c r="V117" i="25" s="1"/>
  <c r="K100" i="19"/>
  <c r="V100" i="19" s="1"/>
  <c r="Y100" i="19"/>
  <c r="AA100" i="19"/>
  <c r="Z100" i="19"/>
  <c r="AC100" i="19"/>
  <c r="I100" i="19"/>
  <c r="T100" i="19" s="1"/>
  <c r="AB100" i="19"/>
  <c r="J100" i="19"/>
  <c r="U100" i="19" s="1"/>
  <c r="X100" i="19"/>
  <c r="BA104" i="18"/>
  <c r="AS105" i="18"/>
  <c r="AU105" i="18"/>
  <c r="BC104" i="18"/>
  <c r="AP105" i="18"/>
  <c r="AX104" i="18"/>
  <c r="AW104" i="18"/>
  <c r="AO105" i="18"/>
  <c r="AQ105" i="18"/>
  <c r="AY104" i="18"/>
  <c r="AT105" i="18"/>
  <c r="BB104" i="18"/>
  <c r="AM111" i="18"/>
  <c r="AL112" i="18"/>
  <c r="K56" i="12"/>
  <c r="P118" i="25" l="1"/>
  <c r="AA118" i="25" s="1"/>
  <c r="R118" i="25"/>
  <c r="AC118" i="25" s="1"/>
  <c r="M118" i="25"/>
  <c r="X118" i="25" s="1"/>
  <c r="N118" i="25"/>
  <c r="Y118" i="25" s="1"/>
  <c r="O118" i="25"/>
  <c r="Z118" i="25" s="1"/>
  <c r="Q118" i="25"/>
  <c r="AB118" i="25" s="1"/>
  <c r="C124" i="19"/>
  <c r="M123" i="19"/>
  <c r="N123" i="19"/>
  <c r="O123" i="19"/>
  <c r="P123" i="19"/>
  <c r="Q123" i="19"/>
  <c r="R123" i="19"/>
  <c r="J113" i="18"/>
  <c r="C119" i="25"/>
  <c r="I118" i="25"/>
  <c r="T118" i="25" s="1"/>
  <c r="J118" i="25"/>
  <c r="U118" i="25" s="1"/>
  <c r="K118" i="25"/>
  <c r="V118" i="25" s="1"/>
  <c r="AB101" i="19"/>
  <c r="AA101" i="19"/>
  <c r="K101" i="19"/>
  <c r="V101" i="19" s="1"/>
  <c r="Y101" i="19"/>
  <c r="AC101" i="19"/>
  <c r="X101" i="19"/>
  <c r="I101" i="19"/>
  <c r="T101" i="19" s="1"/>
  <c r="Z101" i="19"/>
  <c r="J101" i="19"/>
  <c r="U101" i="19" s="1"/>
  <c r="AP106" i="18"/>
  <c r="AX105" i="18"/>
  <c r="BC105" i="18"/>
  <c r="AU106" i="18"/>
  <c r="AQ106" i="18"/>
  <c r="AY105" i="18"/>
  <c r="AW105" i="18"/>
  <c r="AO106" i="18"/>
  <c r="AS106" i="18"/>
  <c r="BA105" i="18"/>
  <c r="AT106" i="18"/>
  <c r="BB105" i="18"/>
  <c r="AL113" i="18"/>
  <c r="AM112" i="18"/>
  <c r="K57" i="12"/>
  <c r="N119" i="25" l="1"/>
  <c r="M119" i="25"/>
  <c r="X119" i="25" s="1"/>
  <c r="O119" i="25"/>
  <c r="Z119" i="25" s="1"/>
  <c r="P119" i="25"/>
  <c r="Q119" i="25"/>
  <c r="AB119" i="25" s="1"/>
  <c r="R119" i="25"/>
  <c r="AC119" i="25" s="1"/>
  <c r="J114" i="18"/>
  <c r="N124" i="19"/>
  <c r="O124" i="19"/>
  <c r="P124" i="19"/>
  <c r="Q124" i="19"/>
  <c r="R124" i="19"/>
  <c r="M124" i="19"/>
  <c r="K119" i="25"/>
  <c r="V119" i="25" s="1"/>
  <c r="AA119" i="25"/>
  <c r="J119" i="25"/>
  <c r="U119" i="25" s="1"/>
  <c r="Y119" i="25"/>
  <c r="C120" i="25"/>
  <c r="I119" i="25"/>
  <c r="T119" i="25" s="1"/>
  <c r="I102" i="19"/>
  <c r="T102" i="19" s="1"/>
  <c r="AC102" i="19"/>
  <c r="J102" i="19"/>
  <c r="U102" i="19" s="1"/>
  <c r="AA102" i="19"/>
  <c r="AB102" i="19"/>
  <c r="Y102" i="19"/>
  <c r="Z102" i="19"/>
  <c r="X102" i="19"/>
  <c r="K102" i="19"/>
  <c r="V102" i="19" s="1"/>
  <c r="AQ107" i="18"/>
  <c r="AY106" i="18"/>
  <c r="AU107" i="18"/>
  <c r="BC106" i="18"/>
  <c r="AW106" i="18"/>
  <c r="AO107" i="18"/>
  <c r="AT107" i="18"/>
  <c r="BB106" i="18"/>
  <c r="BA106" i="18"/>
  <c r="AS107" i="18"/>
  <c r="AX106" i="18"/>
  <c r="AP107" i="18"/>
  <c r="AL114" i="18"/>
  <c r="AM113" i="18"/>
  <c r="K58" i="12"/>
  <c r="N120" i="25" l="1"/>
  <c r="O120" i="25"/>
  <c r="P120" i="25"/>
  <c r="Q120" i="25"/>
  <c r="R120" i="25"/>
  <c r="M120" i="25"/>
  <c r="J115" i="18"/>
  <c r="X120" i="25"/>
  <c r="I120" i="25"/>
  <c r="T120" i="25" s="1"/>
  <c r="K120" i="25"/>
  <c r="V120" i="25" s="1"/>
  <c r="Z120" i="25"/>
  <c r="J120" i="25"/>
  <c r="U120" i="25" s="1"/>
  <c r="AA120" i="25"/>
  <c r="C121" i="25"/>
  <c r="AB120" i="25"/>
  <c r="AC120" i="25"/>
  <c r="Y120" i="25"/>
  <c r="X103" i="19"/>
  <c r="Y103" i="19"/>
  <c r="AC103" i="19"/>
  <c r="AB103" i="19"/>
  <c r="AA103" i="19"/>
  <c r="K103" i="19"/>
  <c r="V103" i="19" s="1"/>
  <c r="I103" i="19"/>
  <c r="T103" i="19" s="1"/>
  <c r="J103" i="19"/>
  <c r="U103" i="19" s="1"/>
  <c r="Z103" i="19"/>
  <c r="AU108" i="18"/>
  <c r="BC107" i="18"/>
  <c r="AO108" i="18"/>
  <c r="AW107" i="18"/>
  <c r="AP108" i="18"/>
  <c r="AX107" i="18"/>
  <c r="BA107" i="18"/>
  <c r="AS108" i="18"/>
  <c r="AT108" i="18"/>
  <c r="BB107" i="18"/>
  <c r="AQ108" i="18"/>
  <c r="AY107" i="18"/>
  <c r="AM114" i="18"/>
  <c r="AL115" i="18"/>
  <c r="K59" i="12"/>
  <c r="P121" i="25" l="1"/>
  <c r="Q121" i="25"/>
  <c r="R121" i="25"/>
  <c r="AC121" i="25" s="1"/>
  <c r="M121" i="25"/>
  <c r="X121" i="25" s="1"/>
  <c r="N121" i="25"/>
  <c r="Y121" i="25" s="1"/>
  <c r="O121" i="25"/>
  <c r="Z121" i="25" s="1"/>
  <c r="J116" i="18"/>
  <c r="AA121" i="25"/>
  <c r="C122" i="25"/>
  <c r="K121" i="25"/>
  <c r="V121" i="25" s="1"/>
  <c r="J121" i="25"/>
  <c r="U121" i="25" s="1"/>
  <c r="I121" i="25"/>
  <c r="T121" i="25" s="1"/>
  <c r="AB121" i="25"/>
  <c r="AA104" i="19"/>
  <c r="X104" i="19"/>
  <c r="K104" i="19"/>
  <c r="V104" i="19" s="1"/>
  <c r="Y104" i="19"/>
  <c r="I104" i="19"/>
  <c r="T104" i="19" s="1"/>
  <c r="AC104" i="19"/>
  <c r="J104" i="19"/>
  <c r="U104" i="19" s="1"/>
  <c r="AB104" i="19"/>
  <c r="Z104" i="19"/>
  <c r="AP109" i="18"/>
  <c r="AX108" i="18"/>
  <c r="AW108" i="18"/>
  <c r="AO109" i="18"/>
  <c r="AQ109" i="18"/>
  <c r="AY108" i="18"/>
  <c r="AT109" i="18"/>
  <c r="BB108" i="18"/>
  <c r="AS109" i="18"/>
  <c r="BA108" i="18"/>
  <c r="AU109" i="18"/>
  <c r="BC108" i="18"/>
  <c r="AL116" i="18"/>
  <c r="AM115" i="18"/>
  <c r="K60" i="12"/>
  <c r="R122" i="25" l="1"/>
  <c r="AC122" i="25" s="1"/>
  <c r="M122" i="25"/>
  <c r="N122" i="25"/>
  <c r="Y122" i="25" s="1"/>
  <c r="O122" i="25"/>
  <c r="Z122" i="25" s="1"/>
  <c r="P122" i="25"/>
  <c r="AA122" i="25" s="1"/>
  <c r="Q122" i="25"/>
  <c r="AB122" i="25" s="1"/>
  <c r="J117" i="18"/>
  <c r="J122" i="25"/>
  <c r="U122" i="25" s="1"/>
  <c r="K122" i="25"/>
  <c r="V122" i="25" s="1"/>
  <c r="I122" i="25"/>
  <c r="T122" i="25" s="1"/>
  <c r="X122" i="25"/>
  <c r="C123" i="25"/>
  <c r="AC105" i="19"/>
  <c r="I105" i="19"/>
  <c r="T105" i="19" s="1"/>
  <c r="X105" i="19"/>
  <c r="K105" i="19"/>
  <c r="V105" i="19" s="1"/>
  <c r="Y105" i="19"/>
  <c r="AB105" i="19"/>
  <c r="Z105" i="19"/>
  <c r="J105" i="19"/>
  <c r="U105" i="19" s="1"/>
  <c r="AA105" i="19"/>
  <c r="AT110" i="18"/>
  <c r="BB109" i="18"/>
  <c r="AQ110" i="18"/>
  <c r="AY109" i="18"/>
  <c r="AW109" i="18"/>
  <c r="AO110" i="18"/>
  <c r="BC109" i="18"/>
  <c r="AU110" i="18"/>
  <c r="BA109" i="18"/>
  <c r="AS110" i="18"/>
  <c r="AX109" i="18"/>
  <c r="AP110" i="18"/>
  <c r="AM116" i="18"/>
  <c r="AL117" i="18"/>
  <c r="K61" i="12"/>
  <c r="M123" i="25" l="1"/>
  <c r="X123" i="25" s="1"/>
  <c r="N123" i="25"/>
  <c r="Y123" i="25" s="1"/>
  <c r="O123" i="25"/>
  <c r="P123" i="25"/>
  <c r="AA123" i="25" s="1"/>
  <c r="Q123" i="25"/>
  <c r="AB123" i="25" s="1"/>
  <c r="R123" i="25"/>
  <c r="J118" i="18"/>
  <c r="AC123" i="25"/>
  <c r="K123" i="25"/>
  <c r="V123" i="25" s="1"/>
  <c r="I123" i="25"/>
  <c r="T123" i="25" s="1"/>
  <c r="J123" i="25"/>
  <c r="U123" i="25" s="1"/>
  <c r="C124" i="25"/>
  <c r="Z123" i="25"/>
  <c r="Z106" i="19"/>
  <c r="AA106" i="19"/>
  <c r="X106" i="19"/>
  <c r="K106" i="19"/>
  <c r="V106" i="19" s="1"/>
  <c r="AC106" i="19"/>
  <c r="Y106" i="19"/>
  <c r="J106" i="19"/>
  <c r="U106" i="19" s="1"/>
  <c r="AB106" i="19"/>
  <c r="I106" i="19"/>
  <c r="T106" i="19" s="1"/>
  <c r="AX110" i="18"/>
  <c r="AP111" i="18"/>
  <c r="AW110" i="18"/>
  <c r="AO111" i="18"/>
  <c r="AQ111" i="18"/>
  <c r="AY110" i="18"/>
  <c r="AU111" i="18"/>
  <c r="BC110" i="18"/>
  <c r="AS111" i="18"/>
  <c r="BA110" i="18"/>
  <c r="AT111" i="18"/>
  <c r="BB110" i="18"/>
  <c r="AM117" i="18"/>
  <c r="AL118" i="18"/>
  <c r="K62" i="12"/>
  <c r="N124" i="25" l="1"/>
  <c r="O124" i="25"/>
  <c r="Z124" i="25" s="1"/>
  <c r="P124" i="25"/>
  <c r="AA124" i="25" s="1"/>
  <c r="Q124" i="25"/>
  <c r="AB124" i="25" s="1"/>
  <c r="R124" i="25"/>
  <c r="AC124" i="25" s="1"/>
  <c r="M124" i="25"/>
  <c r="X124" i="25" s="1"/>
  <c r="J119" i="18"/>
  <c r="I124" i="25"/>
  <c r="T124" i="25" s="1"/>
  <c r="J124" i="25"/>
  <c r="U124" i="25" s="1"/>
  <c r="Y124" i="25"/>
  <c r="K124" i="25"/>
  <c r="V124" i="25" s="1"/>
  <c r="AB107" i="19"/>
  <c r="J107" i="19"/>
  <c r="U107" i="19" s="1"/>
  <c r="Y107" i="19"/>
  <c r="Z107" i="19"/>
  <c r="AC107" i="19"/>
  <c r="K107" i="19"/>
  <c r="V107" i="19" s="1"/>
  <c r="X107" i="19"/>
  <c r="AA107" i="19"/>
  <c r="I107" i="19"/>
  <c r="T107" i="19" s="1"/>
  <c r="AQ112" i="18"/>
  <c r="AY111" i="18"/>
  <c r="AW111" i="18"/>
  <c r="AO112" i="18"/>
  <c r="AX111" i="18"/>
  <c r="AP112" i="18"/>
  <c r="BC111" i="18"/>
  <c r="AU112" i="18"/>
  <c r="AT112" i="18"/>
  <c r="BB111" i="18"/>
  <c r="BA111" i="18"/>
  <c r="AS112" i="18"/>
  <c r="AM118" i="18"/>
  <c r="AL119" i="18"/>
  <c r="K63" i="12"/>
  <c r="J120" i="18" l="1"/>
  <c r="Y108" i="19"/>
  <c r="AA108" i="19"/>
  <c r="AC108" i="19"/>
  <c r="K108" i="19"/>
  <c r="V108" i="19" s="1"/>
  <c r="X108" i="19"/>
  <c r="J108" i="19"/>
  <c r="U108" i="19" s="1"/>
  <c r="AB108" i="19"/>
  <c r="Z108" i="19"/>
  <c r="I108" i="19"/>
  <c r="T108" i="19" s="1"/>
  <c r="AP113" i="18"/>
  <c r="AX112" i="18"/>
  <c r="AW112" i="18"/>
  <c r="AO113" i="18"/>
  <c r="AU113" i="18"/>
  <c r="BC112" i="18"/>
  <c r="AS113" i="18"/>
  <c r="BA112" i="18"/>
  <c r="AT113" i="18"/>
  <c r="BB112" i="18"/>
  <c r="AQ113" i="18"/>
  <c r="AY112" i="18"/>
  <c r="AL120" i="18"/>
  <c r="AM119" i="18"/>
  <c r="K64" i="12"/>
  <c r="J121" i="18" l="1"/>
  <c r="K109" i="19"/>
  <c r="V109" i="19" s="1"/>
  <c r="AB109" i="19"/>
  <c r="X109" i="19"/>
  <c r="I109" i="19"/>
  <c r="T109" i="19" s="1"/>
  <c r="Z109" i="19"/>
  <c r="AC109" i="19"/>
  <c r="J109" i="19"/>
  <c r="U109" i="19" s="1"/>
  <c r="Y109" i="19"/>
  <c r="AA109" i="19"/>
  <c r="AW113" i="18"/>
  <c r="AO114" i="18"/>
  <c r="AT114" i="18"/>
  <c r="BB113" i="18"/>
  <c r="AU114" i="18"/>
  <c r="BC113" i="18"/>
  <c r="AQ114" i="18"/>
  <c r="AY113" i="18"/>
  <c r="AS114" i="18"/>
  <c r="BA113" i="18"/>
  <c r="AP114" i="18"/>
  <c r="AX113" i="18"/>
  <c r="AM120" i="18"/>
  <c r="AL121" i="18"/>
  <c r="K65" i="12"/>
  <c r="J122" i="18" l="1"/>
  <c r="AA110" i="19"/>
  <c r="Z110" i="19"/>
  <c r="X110" i="19"/>
  <c r="J110" i="19"/>
  <c r="U110" i="19" s="1"/>
  <c r="AB110" i="19"/>
  <c r="K110" i="19"/>
  <c r="V110" i="19" s="1"/>
  <c r="AC110" i="19"/>
  <c r="Y110" i="19"/>
  <c r="I110" i="19"/>
  <c r="T110" i="19" s="1"/>
  <c r="BC114" i="18"/>
  <c r="AU115" i="18"/>
  <c r="AX114" i="18"/>
  <c r="AP115" i="18"/>
  <c r="AT115" i="18"/>
  <c r="BB114" i="18"/>
  <c r="AS115" i="18"/>
  <c r="BA114" i="18"/>
  <c r="AO115" i="18"/>
  <c r="AW114" i="18"/>
  <c r="AQ115" i="18"/>
  <c r="AY114" i="18"/>
  <c r="AL122" i="18"/>
  <c r="AM121" i="18"/>
  <c r="K66" i="12"/>
  <c r="J123" i="18" l="1"/>
  <c r="K111" i="19"/>
  <c r="V111" i="19" s="1"/>
  <c r="AA111" i="19"/>
  <c r="AC111" i="19"/>
  <c r="AB111" i="19"/>
  <c r="Y111" i="19"/>
  <c r="Z111" i="19"/>
  <c r="I111" i="19"/>
  <c r="T111" i="19" s="1"/>
  <c r="X111" i="19"/>
  <c r="J111" i="19"/>
  <c r="U111" i="19" s="1"/>
  <c r="AQ116" i="18"/>
  <c r="AY115" i="18"/>
  <c r="AT116" i="18"/>
  <c r="BB115" i="18"/>
  <c r="AO116" i="18"/>
  <c r="AW115" i="18"/>
  <c r="AX115" i="18"/>
  <c r="AP116" i="18"/>
  <c r="AU116" i="18"/>
  <c r="BC115" i="18"/>
  <c r="AS116" i="18"/>
  <c r="BA115" i="18"/>
  <c r="AM122" i="18"/>
  <c r="AL123" i="18"/>
  <c r="K67" i="12"/>
  <c r="J124" i="18" l="1"/>
  <c r="AA112" i="19"/>
  <c r="AC112" i="19"/>
  <c r="I112" i="19"/>
  <c r="T112" i="19" s="1"/>
  <c r="K112" i="19"/>
  <c r="V112" i="19" s="1"/>
  <c r="X112" i="19"/>
  <c r="Z112" i="19"/>
  <c r="Y112" i="19"/>
  <c r="AB112" i="19"/>
  <c r="J112" i="19"/>
  <c r="U112" i="19" s="1"/>
  <c r="AP117" i="18"/>
  <c r="AX116" i="18"/>
  <c r="AW116" i="18"/>
  <c r="AO117" i="18"/>
  <c r="AS117" i="18"/>
  <c r="BA116" i="18"/>
  <c r="AU117" i="18"/>
  <c r="BC116" i="18"/>
  <c r="AT117" i="18"/>
  <c r="BB116" i="18"/>
  <c r="AQ117" i="18"/>
  <c r="AY116" i="18"/>
  <c r="AL124" i="18"/>
  <c r="AM123" i="18"/>
  <c r="K68" i="12"/>
  <c r="J125" i="18" l="1"/>
  <c r="AB113" i="19"/>
  <c r="I113" i="19"/>
  <c r="T113" i="19" s="1"/>
  <c r="Y113" i="19"/>
  <c r="K113" i="19"/>
  <c r="V113" i="19" s="1"/>
  <c r="AA113" i="19"/>
  <c r="X113" i="19"/>
  <c r="AC113" i="19"/>
  <c r="Z113" i="19"/>
  <c r="J113" i="19"/>
  <c r="U113" i="19" s="1"/>
  <c r="AS118" i="18"/>
  <c r="BA117" i="18"/>
  <c r="AO118" i="18"/>
  <c r="AW117" i="18"/>
  <c r="BC117" i="18"/>
  <c r="AU118" i="18"/>
  <c r="AQ118" i="18"/>
  <c r="AY117" i="18"/>
  <c r="AT118" i="18"/>
  <c r="BB117" i="18"/>
  <c r="AP118" i="18"/>
  <c r="AX117" i="18"/>
  <c r="AM124" i="18"/>
  <c r="AL125" i="18"/>
  <c r="K69" i="12"/>
  <c r="AA114" i="19" l="1"/>
  <c r="AC114" i="19"/>
  <c r="Z114" i="19"/>
  <c r="AB114" i="19"/>
  <c r="Y114" i="19"/>
  <c r="K114" i="19"/>
  <c r="V114" i="19" s="1"/>
  <c r="J114" i="19"/>
  <c r="U114" i="19" s="1"/>
  <c r="I114" i="19"/>
  <c r="T114" i="19" s="1"/>
  <c r="X114" i="19"/>
  <c r="BC118" i="18"/>
  <c r="AU119" i="18"/>
  <c r="AP119" i="18"/>
  <c r="AX118" i="18"/>
  <c r="AT119" i="18"/>
  <c r="BB118" i="18"/>
  <c r="AW118" i="18"/>
  <c r="AO119" i="18"/>
  <c r="AQ119" i="18"/>
  <c r="AY118" i="18"/>
  <c r="AS119" i="18"/>
  <c r="BA118" i="18"/>
  <c r="AM125" i="18"/>
  <c r="K70" i="12"/>
  <c r="X115" i="19" l="1"/>
  <c r="AB115" i="19"/>
  <c r="Y115" i="19"/>
  <c r="Z115" i="19"/>
  <c r="I115" i="19"/>
  <c r="T115" i="19" s="1"/>
  <c r="AC115" i="19"/>
  <c r="AA115" i="19"/>
  <c r="J115" i="19"/>
  <c r="U115" i="19" s="1"/>
  <c r="K115" i="19"/>
  <c r="V115" i="19" s="1"/>
  <c r="AT120" i="18"/>
  <c r="BB119" i="18"/>
  <c r="AS120" i="18"/>
  <c r="BA119" i="18"/>
  <c r="AP120" i="18"/>
  <c r="AX119" i="18"/>
  <c r="BC119" i="18"/>
  <c r="AU120" i="18"/>
  <c r="AW119" i="18"/>
  <c r="AO120" i="18"/>
  <c r="AQ120" i="18"/>
  <c r="AY119" i="18"/>
  <c r="K71" i="12"/>
  <c r="Y116" i="19" l="1"/>
  <c r="AC116" i="19"/>
  <c r="K116" i="19"/>
  <c r="V116" i="19" s="1"/>
  <c r="AB116" i="19"/>
  <c r="AA116" i="19"/>
  <c r="Z116" i="19"/>
  <c r="I116" i="19"/>
  <c r="T116" i="19" s="1"/>
  <c r="X116" i="19"/>
  <c r="J116" i="19"/>
  <c r="U116" i="19" s="1"/>
  <c r="AQ121" i="18"/>
  <c r="AY120" i="18"/>
  <c r="BA120" i="18"/>
  <c r="AS121" i="18"/>
  <c r="AP121" i="18"/>
  <c r="AX120" i="18"/>
  <c r="AW120" i="18"/>
  <c r="AO121" i="18"/>
  <c r="AU121" i="18"/>
  <c r="BC120" i="18"/>
  <c r="AT121" i="18"/>
  <c r="BB120" i="18"/>
  <c r="K72" i="12"/>
  <c r="I117" i="19" l="1"/>
  <c r="T117" i="19" s="1"/>
  <c r="X117" i="19"/>
  <c r="AC117" i="19"/>
  <c r="AB117" i="19"/>
  <c r="AA117" i="19"/>
  <c r="Z117" i="19"/>
  <c r="J117" i="19"/>
  <c r="U117" i="19" s="1"/>
  <c r="K117" i="19"/>
  <c r="V117" i="19" s="1"/>
  <c r="Y117" i="19"/>
  <c r="AX121" i="18"/>
  <c r="AP122" i="18"/>
  <c r="AS122" i="18"/>
  <c r="BA121" i="18"/>
  <c r="AU122" i="18"/>
  <c r="BC121" i="18"/>
  <c r="AW121" i="18"/>
  <c r="AO122" i="18"/>
  <c r="AT122" i="18"/>
  <c r="BB121" i="18"/>
  <c r="AQ122" i="18"/>
  <c r="AY121" i="18"/>
  <c r="K73" i="12"/>
  <c r="AB118" i="19" l="1"/>
  <c r="K118" i="19"/>
  <c r="V118" i="19" s="1"/>
  <c r="Z118" i="19"/>
  <c r="I118" i="19"/>
  <c r="T118" i="19" s="1"/>
  <c r="AC118" i="19"/>
  <c r="AA118" i="19"/>
  <c r="Y118" i="19"/>
  <c r="J118" i="19"/>
  <c r="U118" i="19" s="1"/>
  <c r="X118" i="19"/>
  <c r="AW122" i="18"/>
  <c r="AO123" i="18"/>
  <c r="AU123" i="18"/>
  <c r="BC122" i="18"/>
  <c r="AQ123" i="18"/>
  <c r="AY122" i="18"/>
  <c r="AT123" i="18"/>
  <c r="BB122" i="18"/>
  <c r="BA122" i="18"/>
  <c r="AS123" i="18"/>
  <c r="AP123" i="18"/>
  <c r="AX122" i="18"/>
  <c r="K74" i="12"/>
  <c r="AC119" i="19" l="1"/>
  <c r="AB119" i="19"/>
  <c r="K119" i="19"/>
  <c r="V119" i="19" s="1"/>
  <c r="I119" i="19"/>
  <c r="T119" i="19" s="1"/>
  <c r="Z119" i="19"/>
  <c r="AA119" i="19"/>
  <c r="X119" i="19"/>
  <c r="J119" i="19"/>
  <c r="U119" i="19" s="1"/>
  <c r="Y119" i="19"/>
  <c r="AS124" i="18"/>
  <c r="BA123" i="18"/>
  <c r="AX123" i="18"/>
  <c r="AP124" i="18"/>
  <c r="AU124" i="18"/>
  <c r="BC123" i="18"/>
  <c r="AO124" i="18"/>
  <c r="AW123" i="18"/>
  <c r="AQ124" i="18"/>
  <c r="AY123" i="18"/>
  <c r="AT124" i="18"/>
  <c r="BB123" i="18"/>
  <c r="K75" i="12"/>
  <c r="AB120" i="19" l="1"/>
  <c r="AC120" i="19"/>
  <c r="Y120" i="19"/>
  <c r="I120" i="19"/>
  <c r="T120" i="19" s="1"/>
  <c r="J120" i="19"/>
  <c r="U120" i="19" s="1"/>
  <c r="X120" i="19"/>
  <c r="K120" i="19"/>
  <c r="V120" i="19" s="1"/>
  <c r="Z120" i="19"/>
  <c r="AA120" i="19"/>
  <c r="AO125" i="18"/>
  <c r="AW125" i="18" s="1"/>
  <c r="AW124" i="18"/>
  <c r="BC124" i="18"/>
  <c r="AU125" i="18"/>
  <c r="BC125" i="18" s="1"/>
  <c r="AP125" i="18"/>
  <c r="AX125" i="18" s="1"/>
  <c r="AX124" i="18"/>
  <c r="AT125" i="18"/>
  <c r="BB125" i="18" s="1"/>
  <c r="BB124" i="18"/>
  <c r="AQ125" i="18"/>
  <c r="AY125" i="18" s="1"/>
  <c r="AY124" i="18"/>
  <c r="AS125" i="18"/>
  <c r="BA125" i="18" s="1"/>
  <c r="BA124" i="18"/>
  <c r="K76" i="12"/>
  <c r="K77" i="12" s="1"/>
  <c r="K78" i="12" s="1"/>
  <c r="K79" i="12" s="1"/>
  <c r="K80" i="12" s="1"/>
  <c r="K81" i="12" s="1"/>
  <c r="K82" i="12" s="1"/>
  <c r="K83" i="12" s="1"/>
  <c r="K84" i="12" s="1"/>
  <c r="K85" i="12" s="1"/>
  <c r="K86" i="12" s="1"/>
  <c r="K87" i="12" s="1"/>
  <c r="K88" i="12" s="1"/>
  <c r="K89" i="12" s="1"/>
  <c r="K90" i="12" s="1"/>
  <c r="K91" i="12" s="1"/>
  <c r="K92" i="12" s="1"/>
  <c r="K93" i="12" s="1"/>
  <c r="K94" i="12" s="1"/>
  <c r="K95" i="12" s="1"/>
  <c r="K96" i="12" s="1"/>
  <c r="K97" i="12" s="1"/>
  <c r="K98" i="12" s="1"/>
  <c r="K99" i="12" s="1"/>
  <c r="K100" i="12" s="1"/>
  <c r="K101" i="12" s="1"/>
  <c r="K102" i="12" s="1"/>
  <c r="K103" i="12" s="1"/>
  <c r="K104" i="12" s="1"/>
  <c r="K105" i="12" s="1"/>
  <c r="K106" i="12" s="1"/>
  <c r="K107" i="12" s="1"/>
  <c r="K108" i="12" s="1"/>
  <c r="K109" i="12" s="1"/>
  <c r="K110" i="12" s="1"/>
  <c r="K111" i="12" s="1"/>
  <c r="K112" i="12" s="1"/>
  <c r="K113" i="12" s="1"/>
  <c r="K114" i="12" s="1"/>
  <c r="K115" i="12" s="1"/>
  <c r="K116" i="12" s="1"/>
  <c r="K117" i="12" s="1"/>
  <c r="K118" i="12" s="1"/>
  <c r="K119" i="12" s="1"/>
  <c r="K120" i="12" s="1"/>
  <c r="K121" i="12" s="1"/>
  <c r="K122" i="12" s="1"/>
  <c r="K123" i="12" s="1"/>
  <c r="K124" i="12" s="1"/>
  <c r="K125" i="12" s="1"/>
  <c r="K121" i="19" l="1"/>
  <c r="V121" i="19" s="1"/>
  <c r="X121" i="19"/>
  <c r="AC121" i="19"/>
  <c r="AB121" i="19"/>
  <c r="Z121" i="19"/>
  <c r="AA121" i="19"/>
  <c r="Y121" i="19"/>
  <c r="I121" i="19"/>
  <c r="T121" i="19" s="1"/>
  <c r="J121" i="19"/>
  <c r="U121" i="19" s="1"/>
  <c r="AB122" i="19" l="1"/>
  <c r="Y122" i="19"/>
  <c r="J122" i="19"/>
  <c r="U122" i="19" s="1"/>
  <c r="I122" i="19"/>
  <c r="T122" i="19" s="1"/>
  <c r="AA122" i="19"/>
  <c r="Z122" i="19"/>
  <c r="AC122" i="19"/>
  <c r="X122" i="19"/>
  <c r="K122" i="19"/>
  <c r="V122" i="19" s="1"/>
  <c r="Z123" i="19" l="1"/>
  <c r="AC123" i="19"/>
  <c r="J123" i="19"/>
  <c r="U123" i="19" s="1"/>
  <c r="I123" i="19"/>
  <c r="T123" i="19" s="1"/>
  <c r="AB123" i="19"/>
  <c r="Y123" i="19"/>
  <c r="AA123" i="19"/>
  <c r="K123" i="19"/>
  <c r="V123" i="19" s="1"/>
  <c r="X123" i="19"/>
  <c r="Z124" i="19" l="1"/>
  <c r="AA124" i="19"/>
  <c r="J124" i="19"/>
  <c r="U124" i="19" s="1"/>
  <c r="K124" i="19"/>
  <c r="V124" i="19" s="1"/>
  <c r="AC124" i="19"/>
  <c r="AB124" i="19"/>
  <c r="X124" i="19"/>
  <c r="I124" i="19"/>
  <c r="T124" i="19" s="1"/>
  <c r="Y124"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H4" authorId="0" shapeId="0" xr:uid="{0F3E5052-83D5-4FD1-B350-B2DEAB0D2454}">
      <text>
        <r>
          <rPr>
            <b/>
            <sz val="9"/>
            <color indexed="81"/>
            <rFont val="Tahoma"/>
            <family val="2"/>
          </rPr>
          <t>jean:</t>
        </r>
        <r>
          <rPr>
            <sz val="9"/>
            <color indexed="81"/>
            <rFont val="Tahoma"/>
            <family val="2"/>
          </rPr>
          <t xml:space="preserve">
Single glazing for housing, and office Office = 5150m² of façade. Thickness of 5mm.
Source: [1]</t>
        </r>
      </text>
    </comment>
    <comment ref="AU4" authorId="0" shapeId="0" xr:uid="{C28CB31D-5180-4578-AA71-5BD11115BF9B}">
      <text>
        <r>
          <rPr>
            <b/>
            <sz val="9"/>
            <color indexed="81"/>
            <rFont val="Tahoma"/>
            <family val="2"/>
          </rPr>
          <t>jean:</t>
        </r>
        <r>
          <rPr>
            <sz val="9"/>
            <color indexed="81"/>
            <rFont val="Tahoma"/>
            <family val="2"/>
          </rPr>
          <t xml:space="preserve">
Partly demolished
</t>
        </r>
      </text>
    </comment>
    <comment ref="H5" authorId="0" shapeId="0" xr:uid="{DC7D0DA9-23E8-4107-A70F-5D2B3C5EAC7F}">
      <text>
        <r>
          <rPr>
            <b/>
            <sz val="9"/>
            <color indexed="81"/>
            <rFont val="Tahoma"/>
            <family val="2"/>
          </rPr>
          <t>jean:</t>
        </r>
        <r>
          <rPr>
            <sz val="9"/>
            <color indexed="81"/>
            <rFont val="Tahoma"/>
            <family val="2"/>
          </rPr>
          <t xml:space="preserve">
Same design as Bellini</t>
        </r>
      </text>
    </comment>
    <comment ref="J5" authorId="0" shapeId="0" xr:uid="{440166E1-3B98-4680-B054-350C0E79901E}">
      <text>
        <r>
          <rPr>
            <b/>
            <sz val="9"/>
            <color indexed="81"/>
            <rFont val="Tahoma"/>
            <family val="2"/>
          </rPr>
          <t>jean:</t>
        </r>
        <r>
          <rPr>
            <sz val="9"/>
            <color indexed="81"/>
            <rFont val="Tahoma"/>
            <family val="2"/>
          </rPr>
          <t xml:space="preserve">
1m high * 1.5m wide</t>
        </r>
      </text>
    </comment>
    <comment ref="L5" authorId="0" shapeId="0" xr:uid="{A223976E-5FAF-4EBB-AA8B-431019557AD8}">
      <text>
        <r>
          <rPr>
            <b/>
            <sz val="9"/>
            <color indexed="81"/>
            <rFont val="Tahoma"/>
            <family val="2"/>
          </rPr>
          <t>jean:</t>
        </r>
        <r>
          <rPr>
            <sz val="9"/>
            <color indexed="81"/>
            <rFont val="Tahoma"/>
            <family val="2"/>
          </rPr>
          <t xml:space="preserve">
2m high * 1.5m wide</t>
        </r>
      </text>
    </comment>
    <comment ref="H6" authorId="0" shapeId="0" xr:uid="{3B125925-D76D-43FC-97B2-98A086BFACE7}">
      <text>
        <r>
          <rPr>
            <b/>
            <sz val="9"/>
            <color indexed="81"/>
            <rFont val="Tahoma"/>
            <family val="2"/>
          </rPr>
          <t>jean:</t>
        </r>
        <r>
          <rPr>
            <sz val="9"/>
            <color indexed="81"/>
            <rFont val="Tahoma"/>
            <family val="2"/>
          </rPr>
          <t xml:space="preserve">
source: [1]</t>
        </r>
      </text>
    </comment>
    <comment ref="I7" authorId="0" shapeId="0" xr:uid="{13E84361-825F-4F29-A154-086168B5A203}">
      <text>
        <r>
          <rPr>
            <b/>
            <sz val="9"/>
            <color indexed="81"/>
            <rFont val="Tahoma"/>
            <family val="2"/>
          </rPr>
          <t>jean:</t>
        </r>
        <r>
          <rPr>
            <sz val="9"/>
            <color indexed="81"/>
            <rFont val="Tahoma"/>
            <family val="2"/>
          </rPr>
          <t xml:space="preserve">
Ref: [1]
12 floors fully glazed</t>
        </r>
      </text>
    </comment>
    <comment ref="J7" authorId="0" shapeId="0" xr:uid="{F9915022-CA9E-488A-86BB-9AC05CEFC213}">
      <text>
        <r>
          <rPr>
            <sz val="9"/>
            <color indexed="81"/>
            <rFont val="Tahoma"/>
            <family val="2"/>
          </rPr>
          <t>Each module measures 1.5*3.75 m². 45% of this surface is occupied by the spandrel, 10% of this surface is used by the frame.</t>
        </r>
      </text>
    </comment>
    <comment ref="K7" authorId="0" shapeId="0" xr:uid="{81DCAA18-062E-4BC0-86B5-D5418DEB6636}">
      <text>
        <r>
          <rPr>
            <sz val="9"/>
            <color indexed="81"/>
            <rFont val="Tahoma"/>
            <family val="2"/>
          </rPr>
          <t>8mm to 10mm according to [1]</t>
        </r>
      </text>
    </comment>
    <comment ref="L7" authorId="0" shapeId="0" xr:uid="{64EF22E1-8D8E-472B-9A36-2BAB7FAC4B01}">
      <text>
        <r>
          <rPr>
            <sz val="9"/>
            <color indexed="81"/>
            <rFont val="Tahoma"/>
            <family val="2"/>
          </rPr>
          <t>Each module measures 1.5*3.75 m². 55% of this surface is occupied by the glazing 10% of this surface is used by the frame.</t>
        </r>
      </text>
    </comment>
    <comment ref="M7" authorId="0" shapeId="0" xr:uid="{0F977AB8-60C0-406A-8AA4-FA6F3EF346D3}">
      <text>
        <r>
          <rPr>
            <sz val="9"/>
            <color indexed="81"/>
            <rFont val="Tahoma"/>
            <family val="2"/>
          </rPr>
          <t>8mm to 10mm according to [1]</t>
        </r>
      </text>
    </comment>
    <comment ref="V7" authorId="0" shapeId="0" xr:uid="{B030545F-8BB8-4CCE-99B6-0D4BEB473F87}">
      <text>
        <r>
          <rPr>
            <sz val="9"/>
            <color indexed="81"/>
            <rFont val="Tahoma"/>
            <family val="2"/>
          </rPr>
          <t>Each module measures 1.5*3.75 m. Divide in two surfaces.</t>
        </r>
      </text>
    </comment>
    <comment ref="H8" authorId="0" shapeId="0" xr:uid="{7271B93E-20DF-44E3-9ABC-3B9D45DACB80}">
      <text>
        <r>
          <rPr>
            <sz val="9"/>
            <color indexed="81"/>
            <rFont val="Tahoma"/>
            <family val="2"/>
          </rPr>
          <t>Double glazing with spandrel. A polyglass double glazing.
Source: [1]</t>
        </r>
      </text>
    </comment>
    <comment ref="J8" authorId="0" shapeId="0" xr:uid="{7215232B-AA79-48DE-9801-1F8294F9C231}">
      <text>
        <r>
          <rPr>
            <b/>
            <sz val="9"/>
            <color indexed="81"/>
            <rFont val="Tahoma"/>
            <family val="2"/>
          </rPr>
          <t>jean:</t>
        </r>
        <r>
          <rPr>
            <sz val="9"/>
            <color indexed="81"/>
            <rFont val="Tahoma"/>
            <family val="2"/>
          </rPr>
          <t xml:space="preserve">
25% of the area of a module
10% for the frame</t>
        </r>
      </text>
    </comment>
    <comment ref="P8" authorId="0" shapeId="0" xr:uid="{0BBA3D4D-2E73-4FFB-916A-232C859A1DCC}">
      <text>
        <r>
          <rPr>
            <b/>
            <sz val="9"/>
            <color indexed="81"/>
            <rFont val="Tahoma"/>
            <family val="2"/>
          </rPr>
          <t>jean:</t>
        </r>
        <r>
          <rPr>
            <sz val="9"/>
            <color indexed="81"/>
            <rFont val="Tahoma"/>
            <family val="2"/>
          </rPr>
          <t xml:space="preserve">
75% of the area of a module
10% for the frame</t>
        </r>
      </text>
    </comment>
    <comment ref="H9" authorId="0" shapeId="0" xr:uid="{1AC32D99-EAF4-4C48-8F18-041A90B53029}">
      <text>
        <r>
          <rPr>
            <sz val="9"/>
            <color indexed="81"/>
            <rFont val="Tahoma"/>
            <family val="2"/>
          </rPr>
          <t>Double glazing with spandrel. A Thermopane double glazing. Spandrel: tinted and toughened plate glass Emalit
Source: [1]</t>
        </r>
      </text>
    </comment>
    <comment ref="AJ9" authorId="0" shapeId="0" xr:uid="{E7418F07-D699-4B75-A1BE-E0B79ACFA5BF}">
      <text>
        <r>
          <rPr>
            <sz val="9"/>
            <color indexed="81"/>
            <rFont val="Tahoma"/>
            <family val="2"/>
          </rPr>
          <t>A ventilated double skin on the south and east facades, and a large part of the west facade, i.e. a total of 4,150 m². A single skin, to the north with double glazing. The DSF his made of 2 double glazing unitsVentilated unitised curtain wall, with silkscreened glazing and stainless steel cladding</t>
        </r>
      </text>
    </comment>
    <comment ref="AN9" authorId="0" shapeId="0" xr:uid="{34CC14D4-C793-47BC-B1AE-2D3F3EEB7671}">
      <text>
        <r>
          <rPr>
            <b/>
            <sz val="9"/>
            <color indexed="81"/>
            <rFont val="Tahoma"/>
            <family val="2"/>
          </rPr>
          <t>jean:</t>
        </r>
        <r>
          <rPr>
            <sz val="9"/>
            <color indexed="81"/>
            <rFont val="Tahoma"/>
            <family val="2"/>
          </rPr>
          <t xml:space="preserve">
External double glazing full height, 2*2.9. Internal double glazing: two units, 1.9*1</t>
        </r>
      </text>
    </comment>
    <comment ref="AJ11" authorId="0" shapeId="0" xr:uid="{31D19925-059E-4C6A-A7ED-7DC678E4FB6D}">
      <text>
        <r>
          <rPr>
            <b/>
            <sz val="9"/>
            <color indexed="81"/>
            <rFont val="Tahoma"/>
            <family val="2"/>
          </rPr>
          <t>jean:</t>
        </r>
        <r>
          <rPr>
            <sz val="9"/>
            <color indexed="81"/>
            <rFont val="Tahoma"/>
            <family val="2"/>
          </rPr>
          <t xml:space="preserve">
mirror, tinted, low-e. hyp: 6mm+8mm </t>
        </r>
      </text>
    </comment>
    <comment ref="AJ12" authorId="0" shapeId="0" xr:uid="{9D8CE850-E63D-4F23-944D-604864B84F74}">
      <text>
        <r>
          <rPr>
            <b/>
            <sz val="9"/>
            <color indexed="81"/>
            <rFont val="Tahoma"/>
            <family val="2"/>
          </rPr>
          <t>jean:</t>
        </r>
        <r>
          <rPr>
            <sz val="9"/>
            <color indexed="81"/>
            <rFont val="Tahoma"/>
            <family val="2"/>
          </rPr>
          <t xml:space="preserve">
"Construit entre janvier 68 et octobre 70, la Uta sera entièrement rénovée au milieu des années 90 par l'architecte Joël Friant. Il a perdu à cette occasion ses façades noires d'origine au profit de murs rideaux d'esthétique contemporaine. Puis une démolition en 2022 est prévue pour construire une nouvelle (Inspire)"</t>
        </r>
      </text>
    </comment>
    <comment ref="H17" authorId="0" shapeId="0" xr:uid="{878FB01B-1473-46BC-BE7F-18576FF5EDFF}">
      <text>
        <r>
          <rPr>
            <sz val="9"/>
            <color indexed="81"/>
            <rFont val="Tahoma"/>
            <family val="2"/>
          </rPr>
          <t xml:space="preserve">
vitres Parsol couleur bronze et d’allèges en Emalit</t>
        </r>
      </text>
    </comment>
    <comment ref="AJ21" authorId="0" shapeId="0" xr:uid="{6DD431E2-4F1C-47EB-BE57-A15C66459DAB}">
      <text>
        <r>
          <rPr>
            <b/>
            <sz val="9"/>
            <color indexed="81"/>
            <rFont val="Tahoma"/>
            <family val="2"/>
          </rPr>
          <t>jean:</t>
        </r>
        <r>
          <rPr>
            <sz val="9"/>
            <color indexed="81"/>
            <rFont val="Tahoma"/>
            <family val="2"/>
          </rPr>
          <t xml:space="preserve">
, outer glass panel. Hyp: 8mm + DSF, inner DG. hyp: 6mm+8mm DG</t>
        </r>
      </text>
    </comment>
    <comment ref="AJ22" authorId="0" shapeId="0" xr:uid="{CE9FF583-C839-4D54-8867-7D8AA109A014}">
      <text>
        <r>
          <rPr>
            <b/>
            <sz val="9"/>
            <color indexed="81"/>
            <rFont val="Tahoma"/>
            <family val="2"/>
          </rPr>
          <t>jean:</t>
        </r>
        <r>
          <rPr>
            <sz val="9"/>
            <color indexed="81"/>
            <rFont val="Tahoma"/>
            <family val="2"/>
          </rPr>
          <t xml:space="preserve">
, outer glass panel. Hyp: 8mm DSF, inner DG. hyp: 6mm+8mm DG</t>
        </r>
      </text>
    </comment>
    <comment ref="H23" authorId="0" shapeId="0" xr:uid="{136E919C-6AEA-4567-AFAE-8B62D49547CE}">
      <text>
        <r>
          <rPr>
            <b/>
            <sz val="9"/>
            <color indexed="81"/>
            <rFont val="Tahoma"/>
            <family val="2"/>
          </rPr>
          <t>jean:</t>
        </r>
        <r>
          <rPr>
            <sz val="9"/>
            <color indexed="81"/>
            <rFont val="Tahoma"/>
            <family val="2"/>
          </rPr>
          <t xml:space="preserve">
The façades are clad with large panels of polished black granite fixed to steel frames.</t>
        </r>
      </text>
    </comment>
    <comment ref="AJ25" authorId="0" shapeId="0" xr:uid="{64C5D854-E18F-40DC-BE4D-A4AE18CFE6FC}">
      <text>
        <r>
          <rPr>
            <sz val="9"/>
            <color indexed="81"/>
            <rFont val="Tahoma"/>
            <family val="2"/>
          </rPr>
          <t>1 800 m² of Celadon glass. Hyp 2*8mm With external single glazing</t>
        </r>
      </text>
    </comment>
    <comment ref="H27" authorId="0" shapeId="0" xr:uid="{B5AE911F-F81C-4169-A753-F6DED316F4C9}">
      <text>
        <r>
          <rPr>
            <b/>
            <sz val="9"/>
            <color indexed="81"/>
            <rFont val="Tahoma"/>
            <family val="2"/>
          </rPr>
          <t>jean:</t>
        </r>
        <r>
          <rPr>
            <sz val="9"/>
            <color indexed="81"/>
            <rFont val="Tahoma"/>
            <family val="2"/>
          </rPr>
          <t xml:space="preserve">
The 40-story, 189-meter high first phase was completed in 1974 and featured an aluminum facade and double-glazed windows which contrasted with tones of bronze-colored stone.</t>
        </r>
      </text>
    </comment>
    <comment ref="AJ28" authorId="0" shapeId="0" xr:uid="{29E5636C-97D8-481C-A4A5-4F9F85B9DE58}">
      <text>
        <r>
          <rPr>
            <sz val="9"/>
            <color indexed="81"/>
            <rFont val="Tahoma"/>
            <family val="2"/>
          </rPr>
          <t>nouveaux vitrages isolants à basse émissivité avec lame d'argon conserveront à la tour sa couleur vert foncé emblématique. Hyp: 10mm+8mm</t>
        </r>
      </text>
    </comment>
    <comment ref="H31" authorId="0" shapeId="0" xr:uid="{51C6D324-6E94-40CA-9CD2-5CD26C343326}">
      <text>
        <r>
          <rPr>
            <b/>
            <sz val="9"/>
            <color indexed="81"/>
            <rFont val="Tahoma"/>
            <family val="2"/>
          </rPr>
          <t>jean:</t>
        </r>
        <r>
          <rPr>
            <sz val="9"/>
            <color indexed="81"/>
            <rFont val="Tahoma"/>
            <family val="2"/>
          </rPr>
          <t xml:space="preserve">
vitres Parsol couleur bronze et d’allèges en Emalit</t>
        </r>
      </text>
    </comment>
    <comment ref="H32" authorId="0" shapeId="0" xr:uid="{2AF9FF88-15FC-4F35-AA7A-5747C8BFD1B5}">
      <text>
        <r>
          <rPr>
            <b/>
            <sz val="9"/>
            <color indexed="81"/>
            <rFont val="Tahoma"/>
            <family val="2"/>
          </rPr>
          <t>jean:</t>
        </r>
        <r>
          <rPr>
            <sz val="9"/>
            <color indexed="81"/>
            <rFont val="Tahoma"/>
            <family val="2"/>
          </rPr>
          <t xml:space="preserve">
Int: Parsol. Ext: Glace claire</t>
        </r>
      </text>
    </comment>
    <comment ref="H42" authorId="0" shapeId="0" xr:uid="{EB472D59-976E-47A6-85CF-E699FC942FB8}">
      <text>
        <r>
          <rPr>
            <b/>
            <sz val="9"/>
            <color indexed="81"/>
            <rFont val="Tahoma"/>
            <family val="2"/>
          </rPr>
          <t>jean:</t>
        </r>
        <r>
          <rPr>
            <sz val="9"/>
            <color indexed="81"/>
            <rFont val="Tahoma"/>
            <family val="2"/>
          </rPr>
          <t xml:space="preserve">
façade en verre réfléchissant et granit noir d’Afrique du Sud, l’édifice accueille le siège social de Saint-Gobain</t>
        </r>
      </text>
    </comment>
    <comment ref="AJ55" authorId="0" shapeId="0" xr:uid="{F30B6B9F-3F42-44CC-9443-53EF05AB5A43}">
      <text>
        <r>
          <rPr>
            <b/>
            <sz val="9"/>
            <color indexed="81"/>
            <rFont val="Tahoma"/>
            <family val="2"/>
          </rPr>
          <t>jean:</t>
        </r>
        <r>
          <rPr>
            <sz val="9"/>
            <color indexed="81"/>
            <rFont val="Tahoma"/>
            <family val="2"/>
          </rPr>
          <t xml:space="preserve">
Respirant. Blocs panneaux avec ouvrant de ventilation en profil aluminium extrudé devant cassette tôle perforée</t>
        </r>
      </text>
    </comment>
    <comment ref="AJ56" authorId="0" shapeId="0" xr:uid="{976AAE48-A981-4A68-B95C-2845A447B46D}">
      <text>
        <r>
          <rPr>
            <b/>
            <sz val="9"/>
            <color indexed="81"/>
            <rFont val="Tahoma"/>
            <family val="2"/>
          </rPr>
          <t>jean:</t>
        </r>
        <r>
          <rPr>
            <sz val="9"/>
            <color indexed="81"/>
            <rFont val="Tahoma"/>
            <family val="2"/>
          </rPr>
          <t xml:space="preserve">
Voir T&amp;A 1983: 53000m² de façade, pour moitié double vitrage verre réfléchissant. Allège simple vitrage.</t>
        </r>
      </text>
    </comment>
    <comment ref="H60" authorId="0" shapeId="0" xr:uid="{9A02B80B-C828-4D73-8C77-5DE78148E190}">
      <text>
        <r>
          <rPr>
            <b/>
            <sz val="9"/>
            <color indexed="81"/>
            <rFont val="Tahoma"/>
            <family val="2"/>
          </rPr>
          <t>jean:</t>
        </r>
        <r>
          <rPr>
            <sz val="9"/>
            <color indexed="81"/>
            <rFont val="Tahoma"/>
            <family val="2"/>
          </rPr>
          <t xml:space="preserve">
18000 m² mur-rideau cadre VEP respirant</t>
        </r>
      </text>
    </comment>
    <comment ref="H74" authorId="0" shapeId="0" xr:uid="{70369FDF-0A25-4ADF-A562-EBFC3142FC57}">
      <text>
        <r>
          <rPr>
            <b/>
            <sz val="9"/>
            <color indexed="81"/>
            <rFont val="Tahoma"/>
            <family val="2"/>
          </rPr>
          <t>jean:</t>
        </r>
        <r>
          <rPr>
            <sz val="9"/>
            <color indexed="81"/>
            <rFont val="Tahoma"/>
            <family val="2"/>
          </rPr>
          <t xml:space="preserve">
façades double peau, équipées de vitrages clairs, dans lesquelles est insufflé de l'air préalablement traité. Compte tenu de l'utilisation de verres clairs pour les façades, une étude énergétique a été menée sur l'enveloppe des bâtiments afin de minimiser les apports solaires, et donc les besoins de climatisation. La façade double peau mise au point par la société Rinaldi Structal est composée, côté extérieur, d'un simple vitrage de 6 mm d'épaisseur, d'une lame d'air pressurisée de 16 cm qui intègre un store de couleur claire, piloté par la gestion technique en fonction des conditions d'ensoleillement et d'une programmation horaire. Pour son confort, l'occupant peut toutefois agir individuellement sur la commande des stores.
Côté intérieur est placé le double vitrage, feuilleté dans sa face intérieure et faiblement émissif dans sa face extérieure. Le coefficient K de déperditions thermiques est égal à 1,1 W/m2.K pour les parties vitrées, et le facteur solaire est compris entre 48 % et 6 %, selon la position des stores. Ce large spectre couvre tous les besoins liés au contexte météorologique : des variations thermiques entre le jour et la nuit qui atteignent jusqu'à 30 °C en hiver, et qui n'excèdent pas 10 °C en été. Sur ce projet, des outils de modélisation et d'expérimentation, mis au point par le Centre scientifique et technique du bâtiment (CSTB) pour les tours de la Bibliothèque nationale de France, ont été réutilisés, moyennant des adaptations.</t>
        </r>
      </text>
    </comment>
    <comment ref="H79" authorId="0" shapeId="0" xr:uid="{E3D78AFE-7DC1-4A08-9F93-88B6A063D8E8}">
      <text>
        <r>
          <rPr>
            <b/>
            <sz val="9"/>
            <color indexed="81"/>
            <rFont val="Tahoma"/>
            <family val="2"/>
          </rPr>
          <t>jean:</t>
        </r>
        <r>
          <rPr>
            <sz val="9"/>
            <color indexed="81"/>
            <rFont val="Tahoma"/>
            <family val="2"/>
          </rPr>
          <t xml:space="preserve">
Traditional Unitised curtain wall with decorative extruded aluminium capping plates</t>
        </r>
      </text>
    </comment>
    <comment ref="H80" authorId="0" shapeId="0" xr:uid="{F6E5EC1C-502A-4D18-8340-3124C2366FB5}">
      <text>
        <r>
          <rPr>
            <b/>
            <sz val="9"/>
            <color indexed="81"/>
            <rFont val="Tahoma"/>
            <family val="2"/>
          </rPr>
          <t>jean:</t>
        </r>
        <r>
          <rPr>
            <sz val="9"/>
            <color indexed="81"/>
            <rFont val="Tahoma"/>
            <family val="2"/>
          </rPr>
          <t xml:space="preserve">
La façade est composée d'une succession de blocs verriers plans de 500 kg chacun, superposés les uns sur les autres par un système à emboîtement double. 
En façade nord par exemple, on trouve trois compositions de vitrages adaptées à trois zones de vent : un 10-16-12 en recuit pour des pressions faibles, un 10-16-12 durci pour des pressions intermédiaires, et un 10-13-15 recuit pour des pressions fortes sur des parties surexposées.</t>
        </r>
      </text>
    </comment>
    <comment ref="H84" authorId="0" shapeId="0" xr:uid="{DD20F089-90ED-46DE-BE64-F6748D315990}">
      <text>
        <r>
          <rPr>
            <b/>
            <sz val="9"/>
            <color indexed="81"/>
            <rFont val="Tahoma"/>
            <family val="2"/>
          </rPr>
          <t>jean:</t>
        </r>
        <r>
          <rPr>
            <sz val="9"/>
            <color indexed="81"/>
            <rFont val="Tahoma"/>
            <family val="2"/>
          </rPr>
          <t xml:space="preserve">
Unitised curtain wall with fire insulation</t>
        </r>
      </text>
    </comment>
    <comment ref="H85" authorId="0" shapeId="0" xr:uid="{A2327061-8AC8-4DB9-86AB-AD4AA75EA480}">
      <text>
        <r>
          <rPr>
            <b/>
            <sz val="9"/>
            <color indexed="81"/>
            <rFont val="Tahoma"/>
            <family val="2"/>
          </rPr>
          <t>jean:</t>
        </r>
        <r>
          <rPr>
            <sz val="9"/>
            <color indexed="81"/>
            <rFont val="Tahoma"/>
            <family val="2"/>
          </rPr>
          <t xml:space="preserve">
Façades blocs-panneaux respirants avec vitrages sérigraphiés</t>
        </r>
      </text>
    </comment>
    <comment ref="H87" authorId="0" shapeId="0" xr:uid="{95F9F540-20DF-4443-8428-0CFA284C685F}">
      <text>
        <r>
          <rPr>
            <b/>
            <sz val="9"/>
            <color indexed="81"/>
            <rFont val="Tahoma"/>
            <family val="2"/>
          </rPr>
          <t>jean:</t>
        </r>
        <r>
          <rPr>
            <sz val="9"/>
            <color indexed="81"/>
            <rFont val="Tahoma"/>
            <family val="2"/>
          </rPr>
          <t xml:space="preserve">
30000m², outer glass panel. Hyp: 10mm
</t>
        </r>
      </text>
    </comment>
    <comment ref="H88" authorId="0" shapeId="0" xr:uid="{F5CFD545-A12A-454B-8E18-8311445A80DB}">
      <text>
        <r>
          <rPr>
            <b/>
            <sz val="9"/>
            <color indexed="81"/>
            <rFont val="Tahoma"/>
            <family val="2"/>
          </rPr>
          <t>jean:</t>
        </r>
        <r>
          <rPr>
            <sz val="9"/>
            <color indexed="81"/>
            <rFont val="Tahoma"/>
            <family val="2"/>
          </rPr>
          <t xml:space="preserve">
Traditional Unitised ribbon curtain wall</t>
        </r>
      </text>
    </comment>
    <comment ref="H89" authorId="0" shapeId="0" xr:uid="{73319473-B58C-45C8-BB34-FF1049186794}">
      <text>
        <r>
          <rPr>
            <b/>
            <sz val="9"/>
            <color indexed="81"/>
            <rFont val="Tahoma"/>
            <family val="2"/>
          </rPr>
          <t>jean:</t>
        </r>
        <r>
          <rPr>
            <sz val="9"/>
            <color indexed="81"/>
            <rFont val="Tahoma"/>
            <family val="2"/>
          </rPr>
          <t xml:space="preserve">
Hyp:1x8mm. Last floor and spandrel</t>
        </r>
      </text>
    </comment>
    <comment ref="H90" authorId="0" shapeId="0" xr:uid="{EA8D1CA5-69B2-4C4A-AE15-2E959DFB5930}">
      <text>
        <r>
          <rPr>
            <b/>
            <sz val="9"/>
            <color indexed="81"/>
            <rFont val="Tahoma"/>
            <family val="2"/>
          </rPr>
          <t>jean:</t>
        </r>
        <r>
          <rPr>
            <sz val="9"/>
            <color indexed="81"/>
            <rFont val="Tahoma"/>
            <family val="2"/>
          </rPr>
          <t xml:space="preserve">
 Façade Blocs-panneaux en triple vitrage, avec ouvrants manuels et asservis - Façade sud en système ventilé
Système
TRADI - VENTILE</t>
        </r>
      </text>
    </comment>
    <comment ref="H93" authorId="0" shapeId="0" xr:uid="{052ACDC5-6225-4FB7-9E44-29DEEE726EE8}">
      <text>
        <r>
          <rPr>
            <b/>
            <sz val="9"/>
            <color indexed="81"/>
            <rFont val="Tahoma"/>
            <family val="2"/>
          </rPr>
          <t>jean:</t>
        </r>
        <r>
          <rPr>
            <sz val="9"/>
            <color indexed="81"/>
            <rFont val="Tahoma"/>
            <family val="2"/>
          </rPr>
          <t xml:space="preserve">
 Bloc Panneau GMR BP Semi VEC, ouvrants pantographes ou italiennes
Système
Dble vitrage standard</t>
        </r>
      </text>
    </comment>
    <comment ref="H94" authorId="0" shapeId="0" xr:uid="{C8531007-3F90-4923-89F3-56877DFF26ED}">
      <text>
        <r>
          <rPr>
            <b/>
            <sz val="9"/>
            <color indexed="81"/>
            <rFont val="Tahoma"/>
            <family val="2"/>
          </rPr>
          <t>jean:</t>
        </r>
        <r>
          <rPr>
            <sz val="9"/>
            <color indexed="81"/>
            <rFont val="Tahoma"/>
            <family val="2"/>
          </rPr>
          <t xml:space="preserve">
 Mur rideau blocs panneaux, VEC Vertical et VEP Horizontal
Système
GMRBP Semi-VEC</t>
        </r>
      </text>
    </comment>
    <comment ref="H96" authorId="0" shapeId="0" xr:uid="{AD3F5614-4F10-4249-947C-B68CEA2F748A}">
      <text>
        <r>
          <rPr>
            <b/>
            <sz val="9"/>
            <color indexed="81"/>
            <rFont val="Tahoma"/>
            <family val="2"/>
          </rPr>
          <t>jean:</t>
        </r>
        <r>
          <rPr>
            <sz val="9"/>
            <color indexed="81"/>
            <rFont val="Tahoma"/>
            <family val="2"/>
          </rPr>
          <t xml:space="preserve">
last floor: vitres de 800 kilos et 4 mètres de hauteur chacune</t>
        </r>
      </text>
    </comment>
    <comment ref="H97" authorId="0" shapeId="0" xr:uid="{3FBAAF04-5673-401A-92F3-EBF9195571ED}">
      <text>
        <r>
          <rPr>
            <b/>
            <sz val="9"/>
            <color indexed="81"/>
            <rFont val="Tahoma"/>
            <family val="2"/>
          </rPr>
          <t>jean:</t>
        </r>
        <r>
          <rPr>
            <sz val="9"/>
            <color indexed="81"/>
            <rFont val="Tahoma"/>
            <family val="2"/>
          </rPr>
          <t xml:space="preserve">
Mur rideau double vitrage avec occultation intérieur et ouvrant monolithique projetant intérieur. Double peau mince fortement ventilé avec store dans lame d’air / Mur rideau grille en PRS acier + vitrage à clamer</t>
        </r>
      </text>
    </comment>
    <comment ref="H98" authorId="0" shapeId="0" xr:uid="{C102066E-6452-44D1-8BF9-D594EE730CD8}">
      <text>
        <r>
          <rPr>
            <b/>
            <sz val="9"/>
            <color indexed="81"/>
            <rFont val="Tahoma"/>
            <family val="2"/>
          </rPr>
          <t>jean:</t>
        </r>
        <r>
          <rPr>
            <sz val="9"/>
            <color indexed="81"/>
            <rFont val="Tahoma"/>
            <family val="2"/>
          </rPr>
          <t xml:space="preserve">
21400m² of fully bespoke, DSF with 3700 units of 1700 different types. Unitized System.</t>
        </r>
      </text>
    </comment>
    <comment ref="H103" authorId="0" shapeId="0" xr:uid="{211745CE-D8A7-40DC-94D3-ABB452EDEF4D}">
      <text>
        <r>
          <rPr>
            <b/>
            <sz val="9"/>
            <color indexed="81"/>
            <rFont val="Tahoma"/>
            <family val="2"/>
          </rPr>
          <t>jean:</t>
        </r>
        <r>
          <rPr>
            <sz val="9"/>
            <color indexed="81"/>
            <rFont val="Tahoma"/>
            <family val="2"/>
          </rPr>
          <t xml:space="preserve">
Un clair de vitrage sol plafod maxial, sans châssis ni allège. 4200m² de panneaux photovoltaiques au droit du nez de dalle dans une ossature dont l’inclinaison est réglable. DSF "écaille" façade sud , vide de 90 cm équipé de stores automatiques.et en partie sur ouest et est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L4" authorId="0" shapeId="0" xr:uid="{F5F26E6F-F41F-484C-B444-A3FE2954764D}">
      <text>
        <r>
          <rPr>
            <b/>
            <sz val="9"/>
            <color indexed="81"/>
            <rFont val="Tahoma"/>
            <family val="2"/>
          </rPr>
          <t>jean:</t>
        </r>
        <r>
          <rPr>
            <sz val="9"/>
            <color indexed="81"/>
            <rFont val="Tahoma"/>
            <family val="2"/>
          </rPr>
          <t xml:space="preserve">
Laminated glass for balconies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<sst xmlns="http://schemas.openxmlformats.org/spreadsheetml/2006/main" count="1708" uniqueCount="445">
  <si>
    <t xml:space="preserve"> kgCO2-eq/t/km</t>
  </si>
  <si>
    <t>km</t>
  </si>
  <si>
    <t>Btw renovation/demolition site and nearest landfill</t>
  </si>
  <si>
    <t>Btw treatment centre and flat glass manufacturer</t>
  </si>
  <si>
    <t>Btw treatment centre and hollow glass manufacturer</t>
  </si>
  <si>
    <t xml:space="preserve"> kgCO2-eq/t</t>
  </si>
  <si>
    <t>-</t>
  </si>
  <si>
    <t>m²</t>
  </si>
  <si>
    <t>t</t>
  </si>
  <si>
    <t>km (EU average)</t>
  </si>
  <si>
    <t>WTCI</t>
  </si>
  <si>
    <t>WTC2</t>
  </si>
  <si>
    <t>WTC3</t>
  </si>
  <si>
    <t>North Galaxy Tower 1</t>
  </si>
  <si>
    <t>North Galaxy Tower 2</t>
  </si>
  <si>
    <t>Silver Tower</t>
  </si>
  <si>
    <t>Covent Garden</t>
  </si>
  <si>
    <t>Ellipse Building</t>
  </si>
  <si>
    <t>Tour TBR</t>
  </si>
  <si>
    <t>Möbius (1)</t>
  </si>
  <si>
    <t>Möbius (2)</t>
  </si>
  <si>
    <t>Rogier tower</t>
  </si>
  <si>
    <t>Belgacom tower (1&amp;2)</t>
  </si>
  <si>
    <t>Boreal Building</t>
  </si>
  <si>
    <t>Zenith Building</t>
  </si>
  <si>
    <t>Hendrik Conscience</t>
  </si>
  <si>
    <t>Ferraris Building</t>
  </si>
  <si>
    <t>F.A.O. Liaison Office</t>
  </si>
  <si>
    <t>kg/kg</t>
  </si>
  <si>
    <t>demolition year</t>
  </si>
  <si>
    <t>Bellini</t>
  </si>
  <si>
    <t>m</t>
  </si>
  <si>
    <t>Résidence Vision 80</t>
  </si>
  <si>
    <t>Ellipse</t>
  </si>
  <si>
    <t>Résidence la Sirène</t>
  </si>
  <si>
    <t>Résidence Maréchal Leclerc</t>
  </si>
  <si>
    <t>Résidence Les Dauphins</t>
  </si>
  <si>
    <t>Résidence Louis Pouey</t>
  </si>
  <si>
    <t>Le Galilée</t>
  </si>
  <si>
    <t>Manhattan Square</t>
  </si>
  <si>
    <t>Monge</t>
  </si>
  <si>
    <t>Les Miroirs</t>
  </si>
  <si>
    <t>Lotus</t>
  </si>
  <si>
    <t>Le Galion</t>
  </si>
  <si>
    <t>Les Platanes</t>
  </si>
  <si>
    <t>Résidence Minerve</t>
  </si>
  <si>
    <t>Ampère</t>
  </si>
  <si>
    <t>Arche de la Défense</t>
  </si>
  <si>
    <t>La Pacific/Arcelor</t>
  </si>
  <si>
    <t>Le Vinci</t>
  </si>
  <si>
    <t>Coeur Défense</t>
  </si>
  <si>
    <t>Défense Plaza</t>
  </si>
  <si>
    <t>Bâtiment B</t>
  </si>
  <si>
    <t>Praetorium</t>
  </si>
  <si>
    <t>Window</t>
  </si>
  <si>
    <t>Carré Michelet</t>
  </si>
  <si>
    <t>Sense</t>
  </si>
  <si>
    <t>Résidence Campusea</t>
  </si>
  <si>
    <t>Ile-de-France</t>
  </si>
  <si>
    <t>https://parisladefense.com/fr/decouvrir/tours/ile-de-france</t>
  </si>
  <si>
    <t>SGAM / CB3</t>
  </si>
  <si>
    <t>https://www.aimarchitectes.com/realisations/bureaux/realisation-1/</t>
  </si>
  <si>
    <t>https://parisladefense.com/fr/decouvrir/tours/tour-w</t>
  </si>
  <si>
    <t>Berkeley Building / Latitude</t>
  </si>
  <si>
    <t>Les Damiers</t>
  </si>
  <si>
    <t>https://gesys-ing.com/portfolio-item/tour-cb3/</t>
  </si>
  <si>
    <t>https://saa-architectes.com/projets/travailler-au-galion/</t>
  </si>
  <si>
    <t>https://parisladefense.com/fr/decouvrir/tours/pb5</t>
  </si>
  <si>
    <t>SCOR / PB5</t>
  </si>
  <si>
    <t>https://parisladefense.com/fr/decouvrir/tours/allianz-one</t>
  </si>
  <si>
    <t>Watt / City Défense</t>
  </si>
  <si>
    <t>https://parisladefense.com/fr/decouvrir/tours/total-coupole</t>
  </si>
  <si>
    <t>https://parisladefense.com/fr/decouvrir/tours/eqho</t>
  </si>
  <si>
    <t>https://parisladefense.com/fr/decouvrir/tours/sequoia</t>
  </si>
  <si>
    <t>https://www.lbb-architecture.com/portfolio/bureaux-kupka</t>
  </si>
  <si>
    <t>Kupka C</t>
  </si>
  <si>
    <t>Kupka A et B</t>
  </si>
  <si>
    <t>https://www.ym-architecture.com/news/references/tour-kupka-a</t>
  </si>
  <si>
    <t>Colisée Gardens</t>
  </si>
  <si>
    <t xml:space="preserve">Bouchet, André (1964): Le nouveau siège de la Société Esso-Standard, au Rond-Point de la Défense, à Courbevoie. In: La Technique des Travaux, v. 40, n. 3-4 (March 1964), pp. 66-75. </t>
  </si>
  <si>
    <t>https://www.lemoniteur.fr/article/coeur-defense-un-chantier-gigantesque.259929</t>
  </si>
  <si>
    <t>Guynemer / Being</t>
  </si>
  <si>
    <t>http://www.cstb.fr/archives/webzines/editions/avril-2004/la-tour-pb12-en-ses-nouveaux-habits.html</t>
  </si>
  <si>
    <t>http://www.cstb.fr/archives/webzines/editions/juillet-aout-2005/nouvel-ecrin-de-verre-dans-le-skyline-de-la-defense.html</t>
  </si>
  <si>
    <t>http://www.cstb.fr/archives/webzines/editions/janvier-2007/tour-geante-sous-atex.html</t>
  </si>
  <si>
    <t>http://www.goyer.fr/projet/batiment-b-zac-danton/</t>
  </si>
  <si>
    <t>https://parisladefense.com/fr/decouvrir/tours/city-defense
http://www.goyer.fr/projet/city-defense-watt/
https://www.a234.fr/projets/immeuble-de-bureaux-city-watt-paris-la-defense/</t>
  </si>
  <si>
    <t>http://www.goyer.fr/projet/buref-praetorium/</t>
  </si>
  <si>
    <t>http://www.goyer.fr/projet/berkeley/</t>
  </si>
  <si>
    <t>https://www.lemoniteur.fr/article/la-defense-renovation-de-la-tour-cb-21-ancienne-tour-gan.1913354
http://www.goyer.fr/projet/tour-gan-cb21/</t>
  </si>
  <si>
    <t>http://www.goyer.fr/projet/immeuble-e-ampere/</t>
  </si>
  <si>
    <t>http://www.goyer.fr/projet/window/</t>
  </si>
  <si>
    <t>http://www.perraultarchitecture.com/fr/projets/3295-restructuration_des_tours_pascal_a_la_defense_-_landscape.html
http://www.goyer.fr/projet/tours-pascal-landscape/</t>
  </si>
  <si>
    <t>http://www.goyer.fr/projet/tour-defense-plaza/</t>
  </si>
  <si>
    <t>http://www.goyer.fr/projet/la-tour-granite/</t>
  </si>
  <si>
    <t>http://www.goyer.fr/projet/tour-majunga/
https://www.batiactu.com/edito/tour-majunga-36816.php</t>
  </si>
  <si>
    <t>http://www.goyer.fr/projet/tour-trinity/</t>
  </si>
  <si>
    <t>https://www.permasteelisagroup.com/project-detail?project=1754</t>
  </si>
  <si>
    <t>http://www.cstb.fr/archives/webzines/editions/edition-de-septembre-2009/tour-first-le-plus-grand-gratte-ciel-de-france.html</t>
  </si>
  <si>
    <t>Adamas</t>
  </si>
  <si>
    <t>https://www.pss-archi.eu/immeubles/FR-92062-2577.html#note-1</t>
  </si>
  <si>
    <t>https://www.emporis.com/buildings/219185/iris-courbevoie-france</t>
  </si>
  <si>
    <t>Les Saisons / CB32</t>
  </si>
  <si>
    <t>https://www.pss-archi.eu/immeubles/FR-92026-1702.html</t>
  </si>
  <si>
    <t>https://fr.wikiarquitectura.com/b%C3%A2timent/tour-carpe-diem/</t>
  </si>
  <si>
    <t>Easy Building / Le Michelet / PB20 - PB21 / Coface</t>
  </si>
  <si>
    <t>Le Palatin</t>
  </si>
  <si>
    <t>http://www.goyer.fr/projet/le-palatin-ii-iii-triancle-de-larche-b2/?lang=en</t>
  </si>
  <si>
    <t>Pyramidion</t>
  </si>
  <si>
    <t>http://www.goyer.fr/projet/c2-zac-danton-faubourg-de-larche/?lang=en</t>
  </si>
  <si>
    <t>http://www.goyer.fr/projet/danton-c1/?lang=en</t>
  </si>
  <si>
    <t>Tours Chassagne et Alicante / Société Générale</t>
  </si>
  <si>
    <t>https://www.christiandeportzamparc.com/fr/projects/eria-puteaux/</t>
  </si>
  <si>
    <t>The Link</t>
  </si>
  <si>
    <t>https://www.pca-stream.com/fr/projets/the-link-39
https://www.vs-a.eu/fr/project/the-link</t>
  </si>
  <si>
    <t>https://parisladefense.com/fr/projet/carre-michelet
https://www.lesechos.fr/industrie-services/immobilier-btp/total-soffre-deux-tours-siamoises-pour-son-nouveau-siege-de-la-defense-1210345
https://parisladefense.com/fr/decouvrir/tours/pb20-pb21</t>
  </si>
  <si>
    <t>CB22 / Veritas</t>
  </si>
  <si>
    <t>https://www.pss-archi.eu/immeubles/FR-92026-1739.html</t>
  </si>
  <si>
    <t>http://www.jeannouvel.com/projets/paris-la-defense-la-rose-de-cherbourg-lot-f/</t>
  </si>
  <si>
    <t>http://www.goyer.fr/projet/carre-michelet-pb2021/
https://parisladefense.com/fr/projet/carre-michelet</t>
  </si>
  <si>
    <t>Réponse de DVVD: 8 recuit (ext.) /18mm 90% argon /55.2 recuit (int.) avec et sans contrôle solaire selon les orientations des façades.
Parties opaques : simple vitrage 8mm émaillé en face 2, trempé HST</t>
  </si>
  <si>
    <t>SG</t>
  </si>
  <si>
    <t>total mass of glass</t>
  </si>
  <si>
    <t>GENERAL INFO</t>
  </si>
  <si>
    <t>office</t>
  </si>
  <si>
    <t>residential</t>
  </si>
  <si>
    <t>List of buildings</t>
  </si>
  <si>
    <t>CONSTRUCTION</t>
  </si>
  <si>
    <t>function</t>
  </si>
  <si>
    <t>year of completion</t>
  </si>
  <si>
    <t>height</t>
  </si>
  <si>
    <t>nbr of floors</t>
  </si>
  <si>
    <t>office floor area</t>
  </si>
  <si>
    <t>residential floor area</t>
  </si>
  <si>
    <t>glazing type</t>
  </si>
  <si>
    <t>single glazing, thickness</t>
  </si>
  <si>
    <t>La Défense</t>
  </si>
  <si>
    <t>nbr of modules</t>
  </si>
  <si>
    <t>glass spandrel thickness</t>
  </si>
  <si>
    <t>single glazing, area</t>
  </si>
  <si>
    <t>RENOVATION</t>
  </si>
  <si>
    <t>DEMOLITION</t>
  </si>
  <si>
    <t>if renovated, year of renovation</t>
  </si>
  <si>
    <t>years</t>
  </si>
  <si>
    <t>curtain-wall average lifespan</t>
  </si>
  <si>
    <t>glass sheets, total surface</t>
  </si>
  <si>
    <t>DG</t>
  </si>
  <si>
    <t>double glazing, area</t>
  </si>
  <si>
    <t>glass spandrel area</t>
  </si>
  <si>
    <t>double glazing, glass thickness</t>
  </si>
  <si>
    <t>glass, total mass</t>
  </si>
  <si>
    <t>double glazing, total mass</t>
  </si>
  <si>
    <t>waste, mass of single glazing</t>
  </si>
  <si>
    <t>waste, mass of double glazing</t>
  </si>
  <si>
    <t xml:space="preserve">total mass of glass waste </t>
  </si>
  <si>
    <t>waste, lenght of sealing and spacer</t>
  </si>
  <si>
    <t>TG</t>
  </si>
  <si>
    <t>triple glazing, area</t>
  </si>
  <si>
    <t>triple glazing, glass thickness</t>
  </si>
  <si>
    <t>triple glazing, total mass</t>
  </si>
  <si>
    <t>new, single glazing, area</t>
  </si>
  <si>
    <t>new, single glazing, mass</t>
  </si>
  <si>
    <t>new, double glazing, area</t>
  </si>
  <si>
    <t>new, double glazing, mass</t>
  </si>
  <si>
    <t>new, glazing, info</t>
  </si>
  <si>
    <t>new, single glazing, thickness</t>
  </si>
  <si>
    <t>single glass pane, total mass</t>
  </si>
  <si>
    <t>new glazing, total mass for renovation</t>
  </si>
  <si>
    <t>DSF</t>
  </si>
  <si>
    <t>extension?</t>
  </si>
  <si>
    <t>yes</t>
  </si>
  <si>
    <t>new, double glazing, thickness</t>
  </si>
  <si>
    <t>https://www.pss-archi.eu/immeubles/FR-92026-58.html / https://parisladefense.com/fr/decouvrir/tours/europe</t>
  </si>
  <si>
    <t>(https://www.pss-archi.eu/immeubles/FR-92026-57.html); (https://www.batiactu.com/edito/une-eclatante-tour-blanche-a-la-defense-36984.php); (http://petraccone-vodar.fr/PDF/2015%20Tour%20Blanche.pdf); (https://www.lemoniteur.fr/article/facades-vec-pour-la-nouvelle-tour-blanche-de-la-defense.1486824#!)</t>
  </si>
  <si>
    <t>(https://parisladefense.com/fr/decouvrir/tours/bellini-residence)</t>
  </si>
  <si>
    <t>(https://www.pss-archi.eu/immeubles/FR-92062-2623.html)</t>
  </si>
  <si>
    <t>(https://parisladefense.com/fr/decouvrir/tours/atlantique)</t>
  </si>
  <si>
    <t>(https://parisladefense.com/fr/projet/aurore)</t>
  </si>
  <si>
    <t>Inspire</t>
  </si>
  <si>
    <t>Arago Tower</t>
  </si>
  <si>
    <t>Caliqua</t>
  </si>
  <si>
    <t>Esso</t>
  </si>
  <si>
    <t>Initiale / Nobel / PB31</t>
  </si>
  <si>
    <t>Blanche / Aquitaine</t>
  </si>
  <si>
    <t>Norma</t>
  </si>
  <si>
    <t>Europe</t>
  </si>
  <si>
    <t>UTA / Métropole</t>
  </si>
  <si>
    <t>Aurore</t>
  </si>
  <si>
    <t>EDF-GDF / CGI / CB16</t>
  </si>
  <si>
    <t>Septentrion / Europlaza</t>
  </si>
  <si>
    <t>Franklin</t>
  </si>
  <si>
    <t>France</t>
  </si>
  <si>
    <t>Horizon / Vista</t>
  </si>
  <si>
    <t>Crédit Lyonnais / PB12 / Opus 12</t>
  </si>
  <si>
    <t>Areva</t>
  </si>
  <si>
    <t>Défense 2000</t>
  </si>
  <si>
    <t>Ève</t>
  </si>
  <si>
    <t>Axa / UAP / CB31 / First</t>
  </si>
  <si>
    <t>Gan / CB21</t>
  </si>
  <si>
    <t>Winterthur</t>
  </si>
  <si>
    <t>AGF - Neptune</t>
  </si>
  <si>
    <t>Ariane</t>
  </si>
  <si>
    <t>Manhattan</t>
  </si>
  <si>
    <t>Gambetta</t>
  </si>
  <si>
    <t>France Télécom</t>
  </si>
  <si>
    <t>Iris / CB19</t>
  </si>
  <si>
    <t>Pascal / Landscape</t>
  </si>
  <si>
    <t>Allianz One</t>
  </si>
  <si>
    <t>Total / Elf / Coupole</t>
  </si>
  <si>
    <t>Total Michelet</t>
  </si>
  <si>
    <t>Eqho / Descartes</t>
  </si>
  <si>
    <t>Voltaire</t>
  </si>
  <si>
    <t>Séquoia</t>
  </si>
  <si>
    <t>GAN Eurocourtage / Prisma</t>
  </si>
  <si>
    <t>Cèdre</t>
  </si>
  <si>
    <t>Égée</t>
  </si>
  <si>
    <t>EDF</t>
  </si>
  <si>
    <t>Adria/Technip</t>
  </si>
  <si>
    <t>Dexia / CBX</t>
  </si>
  <si>
    <t>Exaltis / Mazars</t>
  </si>
  <si>
    <t>Engie / T1</t>
  </si>
  <si>
    <t>Granite</t>
  </si>
  <si>
    <t>First</t>
  </si>
  <si>
    <t>Carpe Diem</t>
  </si>
  <si>
    <t>Majunga</t>
  </si>
  <si>
    <t>D2</t>
  </si>
  <si>
    <t>Saint-Gobain</t>
  </si>
  <si>
    <t>Trinity</t>
  </si>
  <si>
    <t>Alto</t>
  </si>
  <si>
    <t>Eria</t>
  </si>
  <si>
    <t>Hekla</t>
  </si>
  <si>
    <t>single glass pane, total area</t>
  </si>
  <si>
    <t>PB11 / Atlantique</t>
  </si>
  <si>
    <t>spacer, total lenght</t>
  </si>
  <si>
    <t>new spacer, linear km</t>
  </si>
  <si>
    <t>glazing average lifespan, residential</t>
  </si>
  <si>
    <t>DSF &amp; TG</t>
  </si>
  <si>
    <t>Jardins de l'Arche / Swing</t>
  </si>
  <si>
    <t>DSF &amp; DG</t>
  </si>
  <si>
    <t>waste of spacer, linear km</t>
  </si>
  <si>
    <t>Sources online</t>
  </si>
  <si>
    <t>period</t>
  </si>
  <si>
    <t>value</t>
  </si>
  <si>
    <t>unit</t>
  </si>
  <si>
    <t>surface of glazing per square meter of net floor area</t>
  </si>
  <si>
    <t>2000s-2020s</t>
  </si>
  <si>
    <t>1980s-1990s</t>
  </si>
  <si>
    <t>1950s-1970s</t>
  </si>
  <si>
    <t>(w/o spandrels)</t>
  </si>
  <si>
    <t>m² of glazing/m² of floor</t>
  </si>
  <si>
    <t>(w/ spandrels)</t>
  </si>
  <si>
    <t>average total thickness of glass per glazing</t>
  </si>
  <si>
    <t>glazing in offices, total thickness</t>
  </si>
  <si>
    <t>Inflow</t>
  </si>
  <si>
    <t>mass of single pane</t>
  </si>
  <si>
    <t>mass of IGU</t>
  </si>
  <si>
    <t>Average ratio, office buildings, Paris</t>
  </si>
  <si>
    <t>expected year of the next renov</t>
  </si>
  <si>
    <t>year</t>
  </si>
  <si>
    <t>Belgium</t>
  </si>
  <si>
    <t>Total energy use</t>
  </si>
  <si>
    <t xml:space="preserve"> GJ/t</t>
  </si>
  <si>
    <t>CO2 emissions</t>
  </si>
  <si>
    <t>t/t</t>
  </si>
  <si>
    <t>Raw materials</t>
  </si>
  <si>
    <t>total energy use</t>
  </si>
  <si>
    <t>raw materials</t>
  </si>
  <si>
    <t>GJ</t>
  </si>
  <si>
    <t>avoided CO2 emissions</t>
  </si>
  <si>
    <t>raw material savings</t>
  </si>
  <si>
    <t>lifespan</t>
  </si>
  <si>
    <t>recycling</t>
  </si>
  <si>
    <t>CO2 emissions per t per km</t>
  </si>
  <si>
    <t>Recycling, potential CO2 and raw material savings</t>
  </si>
  <si>
    <t>CO2 emissions, min</t>
  </si>
  <si>
    <t>CO2 emissions, max</t>
  </si>
  <si>
    <t>CO2 emissions, average</t>
  </si>
  <si>
    <t>Btw renovation/demolition site and processing plant</t>
  </si>
  <si>
    <t>min</t>
  </si>
  <si>
    <t>average</t>
  </si>
  <si>
    <t>max</t>
  </si>
  <si>
    <t>Btw renovation/demolition site and treatment centre</t>
  </si>
  <si>
    <t>raw materials, min</t>
  </si>
  <si>
    <t>Recycling, potential CO2 and raw material savings, cumulated</t>
  </si>
  <si>
    <t>Recycling, potential CO2 and raw material savings, yearly</t>
  </si>
  <si>
    <t>Stock</t>
  </si>
  <si>
    <t>raw materials, average</t>
  </si>
  <si>
    <t>raw materials, max</t>
  </si>
  <si>
    <t xml:space="preserve"> tCO2-eq/t</t>
  </si>
  <si>
    <t>yearly</t>
  </si>
  <si>
    <t>cumulated</t>
  </si>
  <si>
    <t>Historical env. impact, flat glass prod.</t>
  </si>
  <si>
    <t>Projected env. impact, flat glass prod.</t>
  </si>
  <si>
    <t>transport=200km, yearly</t>
  </si>
  <si>
    <t>transport=200km, cumulated</t>
  </si>
  <si>
    <t>average rate</t>
  </si>
  <si>
    <t>min. rate</t>
  </si>
  <si>
    <t>max rate</t>
  </si>
  <si>
    <t>transportation, lorry 16-32 metric ton, EURO4</t>
  </si>
  <si>
    <t>Outflow</t>
  </si>
  <si>
    <t>Environmental impact</t>
  </si>
  <si>
    <t>200km transport, yearly</t>
  </si>
  <si>
    <t>200km transport, cumulated</t>
  </si>
  <si>
    <t xml:space="preserve"> </t>
  </si>
  <si>
    <t>cumulated, without transport</t>
  </si>
  <si>
    <t>cumulated, with transport, 200km</t>
  </si>
  <si>
    <t>single glazing, tonnes</t>
  </si>
  <si>
    <t>IGU, tonnes</t>
  </si>
  <si>
    <t>future</t>
  </si>
  <si>
    <t>Total glass, tonnes</t>
  </si>
  <si>
    <t>spacers, km</t>
  </si>
  <si>
    <t>Stock, tonnes</t>
  </si>
  <si>
    <t>INPUT</t>
  </si>
  <si>
    <t>OUTPUT</t>
  </si>
  <si>
    <t>Recycling, potential raw material savings</t>
  </si>
  <si>
    <t>tonnes</t>
  </si>
  <si>
    <t>Recycling, potential CO2 savings</t>
  </si>
  <si>
    <t>100km</t>
  </si>
  <si>
    <t>200km</t>
  </si>
  <si>
    <t>IMPACT, cumulated</t>
  </si>
  <si>
    <t>raw mat</t>
  </si>
  <si>
    <t>CO2</t>
  </si>
  <si>
    <t>ZIN</t>
  </si>
  <si>
    <t>https://www.emporis.com/buildings/108975/botanic-building-brussels-belgium</t>
  </si>
  <si>
    <t>https://monument.heritage.brussels/nl/buildings/37502</t>
  </si>
  <si>
    <t>Botanic Building</t>
  </si>
  <si>
    <t>Victoria Regina Tower</t>
  </si>
  <si>
    <t>https://www.51n4e.com/projects/victoria</t>
  </si>
  <si>
    <t>https://zin.brussels/</t>
  </si>
  <si>
    <t xml:space="preserve">Rogier International Centre </t>
  </si>
  <si>
    <t>Engie</t>
  </si>
  <si>
    <t>https://www.jaspers-eyers.be/engie-electrabel-hq</t>
  </si>
  <si>
    <t>https://www.emporis.com/buildings/108974/boreal-building-brussels-belgium</t>
  </si>
  <si>
    <t>floor area</t>
  </si>
  <si>
    <t>https://www.jaspers-eyers.be/dexia-tower</t>
  </si>
  <si>
    <t>https://www.jaspers-eyers.be/manhattan-center</t>
  </si>
  <si>
    <t>Manhattan Center</t>
  </si>
  <si>
    <t>https://www.emporis.com/buildings/108964/tbr-building-brussels-belgium</t>
  </si>
  <si>
    <t>Average ratio, office buildings, Bruxelles</t>
  </si>
  <si>
    <t>https://monument.heritage.brussels/fr/buildings/10609</t>
  </si>
  <si>
    <t>lifespan before renovation</t>
  </si>
  <si>
    <t>lifespan before demolition</t>
  </si>
  <si>
    <t>y.</t>
  </si>
  <si>
    <t>today lifespan if not renovated</t>
  </si>
  <si>
    <t>years of service life before renovation</t>
  </si>
  <si>
    <t>min.</t>
  </si>
  <si>
    <t>max.</t>
  </si>
  <si>
    <t>years of service life before demolition</t>
  </si>
  <si>
    <t>age of the façades, years</t>
  </si>
  <si>
    <t>10³ eq. m²</t>
  </si>
  <si>
    <t>average yearly inflow</t>
  </si>
  <si>
    <t>average yearly outflow</t>
  </si>
  <si>
    <t>5-year average</t>
  </si>
  <si>
    <t>Northern Quarter</t>
  </si>
  <si>
    <t>North District</t>
  </si>
  <si>
    <t>Glass</t>
  </si>
  <si>
    <t>Spacer</t>
  </si>
  <si>
    <t>inflow average</t>
  </si>
  <si>
    <t>outflow average</t>
  </si>
  <si>
    <t>waste, lenght of spacer</t>
  </si>
  <si>
    <t>1955-1964</t>
  </si>
  <si>
    <t>1965-1974</t>
  </si>
  <si>
    <t>1975-1984</t>
  </si>
  <si>
    <t>1985-1994</t>
  </si>
  <si>
    <t>1995-2004</t>
  </si>
  <si>
    <t>2005-2014</t>
  </si>
  <si>
    <t>2015-2022</t>
  </si>
  <si>
    <t>total area of glass</t>
  </si>
  <si>
    <t>new glazing, total area for renovation</t>
  </si>
  <si>
    <t xml:space="preserve">total area of glass waste </t>
  </si>
  <si>
    <t>spacer, linear km</t>
  </si>
  <si>
    <t>gasket, total lenght</t>
  </si>
  <si>
    <t>waste, lenght of gasket</t>
  </si>
  <si>
    <t>new gasket, linear km</t>
  </si>
  <si>
    <t>waste of gasket, linear km</t>
  </si>
  <si>
    <t>Glass gasket</t>
  </si>
  <si>
    <t>gasket, km</t>
  </si>
  <si>
    <t>gasket, linear km</t>
  </si>
  <si>
    <t>10-year average</t>
  </si>
  <si>
    <t>STOCK, IGUs</t>
  </si>
  <si>
    <t>STOCK, GASKET AND SPACER</t>
  </si>
  <si>
    <t>estimated average yearly inflow, 40 year lifespan</t>
  </si>
  <si>
    <t>estimated average yearly outflow, 40 year lifespan</t>
  </si>
  <si>
    <t>2025-2034</t>
  </si>
  <si>
    <t>2035-2044</t>
  </si>
  <si>
    <t>2045-2054</t>
  </si>
  <si>
    <t>2055-2064</t>
  </si>
  <si>
    <t>2065-2074</t>
  </si>
  <si>
    <t>k</t>
  </si>
  <si>
    <t>a</t>
  </si>
  <si>
    <t>x0</t>
  </si>
  <si>
    <t>calculation of the transition curve to recycling rate:</t>
  </si>
  <si>
    <t>b</t>
  </si>
  <si>
    <t>c</t>
  </si>
  <si>
    <t>50km transport, cumulated</t>
  </si>
  <si>
    <t>cumulated, with transport, 50km</t>
  </si>
  <si>
    <t>50km</t>
  </si>
  <si>
    <t>transport=50km, cumulated</t>
  </si>
  <si>
    <t>transport=50km, yearly</t>
  </si>
  <si>
    <t>50km transport, yearly</t>
  </si>
  <si>
    <t>Environmental impact, 50km transport, yearly</t>
  </si>
  <si>
    <t>Environmental impact, 50km transport, cumulated</t>
  </si>
  <si>
    <t>recovery rate:</t>
  </si>
  <si>
    <t>potential raw material saving, tonnes</t>
  </si>
  <si>
    <t>potential CO2 emission reduction, tonnes</t>
  </si>
  <si>
    <t>without transport</t>
  </si>
  <si>
    <t>with transport (hyp. 100 + 50 km)</t>
  </si>
  <si>
    <t>yearly, with transport</t>
  </si>
  <si>
    <t>yearly, without transport</t>
  </si>
  <si>
    <t>IMPACT Inflow</t>
  </si>
  <si>
    <t>historical,raw materials</t>
  </si>
  <si>
    <t>Historical, CO2 emissions</t>
  </si>
  <si>
    <t>future raw materials, min</t>
  </si>
  <si>
    <t>future raw materials, average</t>
  </si>
  <si>
    <t>future raw materials, max</t>
  </si>
  <si>
    <t>future CO2 emissions, min</t>
  </si>
  <si>
    <t>future CO2 emissions, average</t>
  </si>
  <si>
    <t>future CO2 emissions, max</t>
  </si>
  <si>
    <t>IMPACT, per year</t>
  </si>
  <si>
    <t>(sources: see Chapter 2 and Appendix B)</t>
  </si>
  <si>
    <t>Organisation of the file:</t>
  </si>
  <si>
    <t>sheets</t>
  </si>
  <si>
    <t>description</t>
  </si>
  <si>
    <t>Summary:</t>
  </si>
  <si>
    <t>To cite:</t>
  </si>
  <si>
    <t>Souviron, Jean. 2022. “Glazing Beyond Energy Efficiency: An Environmental Analysis
of the Socio-Technical Trajectory of Architectural Glass.” PhD diss., Université Libre de Bruxelles.</t>
  </si>
  <si>
    <t>This Excel file is Appendix F of the doctoral dissertation "Beyond Energy Efficiency." It presents the data and calculations used in Section 6.2: "Urban Mining: Resources and Constraints."</t>
  </si>
  <si>
    <t>The main hypotheses used to assess the flows of materials, energy and CO2 related to the use of glazing in the La Défense and Quartier Nord districts.</t>
  </si>
  <si>
    <t>Data on raw material and energy use and CO2 emissions in the manufacture of flat glass. These data are taken from Annex B. See also Chapter 2: "The Growing Environmental Impact of Architectural Glass."</t>
  </si>
  <si>
    <t>Data on the construction of buildings in La Défense/Northern Quarter from the construction of the first office building with a curtain wall in 1957 to the present day. This table takes into account the flows of glazing related to construction, demolition and renovation, with an estimate of future flows according to the lifespan indicated in the hypotheses.</t>
  </si>
  <si>
    <r>
      <t>"Paris_Inflow"</t>
    </r>
    <r>
      <rPr>
        <sz val="11"/>
        <color theme="1"/>
        <rFont val="Calibri"/>
        <family val="2"/>
        <scheme val="minor"/>
      </rPr>
      <t xml:space="preserve"> and </t>
    </r>
    <r>
      <rPr>
        <i/>
        <sz val="11"/>
        <color theme="1"/>
        <rFont val="Calibri"/>
        <family val="2"/>
        <scheme val="minor"/>
      </rPr>
      <t>"Bxl_Inflow"</t>
    </r>
  </si>
  <si>
    <r>
      <t xml:space="preserve">"PARIS" </t>
    </r>
    <r>
      <rPr>
        <sz val="11"/>
        <color theme="1"/>
        <rFont val="Calibri"/>
        <family val="2"/>
        <scheme val="minor"/>
      </rPr>
      <t>and</t>
    </r>
    <r>
      <rPr>
        <i/>
        <sz val="11"/>
        <color theme="1"/>
        <rFont val="Calibri"/>
        <family val="2"/>
        <scheme val="minor"/>
      </rPr>
      <t xml:space="preserve"> "BXL"</t>
    </r>
  </si>
  <si>
    <r>
      <t xml:space="preserve">"Paris_Outflow" </t>
    </r>
    <r>
      <rPr>
        <sz val="11"/>
        <color theme="1"/>
        <rFont val="Calibri"/>
        <family val="2"/>
        <scheme val="minor"/>
      </rPr>
      <t xml:space="preserve">and </t>
    </r>
    <r>
      <rPr>
        <i/>
        <sz val="11"/>
        <color theme="1"/>
        <rFont val="Calibri"/>
        <family val="2"/>
        <scheme val="minor"/>
      </rPr>
      <t>"Bxl_Outflow"</t>
    </r>
  </si>
  <si>
    <r>
      <t xml:space="preserve">"Paris_Stock" </t>
    </r>
    <r>
      <rPr>
        <sz val="11"/>
        <color theme="1"/>
        <rFont val="Calibri"/>
        <family val="2"/>
        <scheme val="minor"/>
      </rPr>
      <t xml:space="preserve">and </t>
    </r>
    <r>
      <rPr>
        <i/>
        <sz val="11"/>
        <color theme="1"/>
        <rFont val="Calibri"/>
        <family val="2"/>
        <scheme val="minor"/>
      </rPr>
      <t>"Bxl_Stock"</t>
    </r>
  </si>
  <si>
    <r>
      <t xml:space="preserve">"Paris_data4Graph" </t>
    </r>
    <r>
      <rPr>
        <sz val="11"/>
        <color theme="1"/>
        <rFont val="Calibri"/>
        <family val="2"/>
        <scheme val="minor"/>
      </rPr>
      <t xml:space="preserve">and </t>
    </r>
    <r>
      <rPr>
        <i/>
        <sz val="11"/>
        <color theme="1"/>
        <rFont val="Calibri"/>
        <family val="2"/>
        <scheme val="minor"/>
      </rPr>
      <t>"Bxl_data4Graph"</t>
    </r>
  </si>
  <si>
    <t>"Paris_Graph" and "Bxl_Graph"</t>
  </si>
  <si>
    <t>Timeline of the inflows of glazing, including the evolution of the environmental footprint in annual and cumulative flows. Beyond 2025, the data are estimates based on assumptions about the obsolescence of the stock at that date.</t>
  </si>
  <si>
    <t>Estimation of the evolution of the stocks of glazing. Beyond 2025, the data are estimates based on assumptions about the obsolescence of the stock at that date.</t>
  </si>
  <si>
    <t xml:space="preserve">Timeline of the outflows of glazing in annual and cumulative flows. The sheet includes an estimate of the potential savings in raw materials and energy under different scenarios for recycling discarded glass in next decades. Beyond 2025, the data are estimates based on assumptions about the obsolescence of the stock at that date. </t>
  </si>
  <si>
    <t>Draft sheet used to organise data before generating the graphs.</t>
  </si>
  <si>
    <t>Graphs used in the Section 6.2: "Urban Mining: Resources and Constraints."</t>
  </si>
  <si>
    <t>"DataAnalysis"</t>
  </si>
  <si>
    <t>Tables used in the Section 6.2: "Urban Mining: Resources and Constraints."</t>
  </si>
  <si>
    <t>"ResourcesEmissions"</t>
  </si>
  <si>
    <t>"Hypotheses"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</si>
</sst>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 #,##0_-;_-* &quot;-&quot;??_-;_-@_-"/>
    <numFmt numFmtId="165" formatCode="0.000"/>
    <numFmt numFmtId="166" formatCode="0.0"/>
    <numFmt numFmtId="167" formatCode="#,##0.000"/>
    <numFmt numFmtId="168" formatCode="#,##0_ ;\-#,##0\ "/>
    <numFmt numFmtId="169" formatCode="#,##0.0"/>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rgb="FFC00000"/>
      <name val="Calibri"/>
      <family val="2"/>
      <scheme val="minor"/>
    </font>
    <font>
      <sz val="11"/>
      <name val="Calibri"/>
      <family val="2"/>
      <scheme val="minor"/>
    </font>
    <font>
      <sz val="9"/>
      <color indexed="81"/>
      <name val="Tahoma"/>
      <family val="2"/>
    </font>
    <font>
      <b/>
      <sz val="9"/>
      <color indexed="81"/>
      <name val="Tahoma"/>
      <family val="2"/>
    </font>
    <font>
      <sz val="11"/>
      <color theme="1"/>
      <name val="Calibri"/>
      <family val="2"/>
      <scheme val="minor"/>
    </font>
    <font>
      <b/>
      <i/>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
      <i/>
      <sz val="11"/>
      <name val="Calibri"/>
      <family val="2"/>
      <scheme val="minor"/>
    </font>
    <font>
      <u/>
      <sz val="11"/>
      <name val="Calibri"/>
      <family val="2"/>
      <scheme val="minor"/>
    </font>
    <font>
      <sz val="11"/>
      <color theme="4" tint="-0.249977111117893"/>
      <name val="Calibri"/>
      <family val="2"/>
      <scheme val="minor"/>
    </font>
    <font>
      <sz val="11"/>
      <color theme="0" tint="-0.34998626667073579"/>
      <name val="Calibri"/>
      <family val="2"/>
      <scheme val="minor"/>
    </font>
    <font>
      <b/>
      <sz val="11"/>
      <color theme="0"/>
      <name val="Calibri"/>
      <family val="2"/>
      <scheme val="minor"/>
    </font>
    <font>
      <sz val="11"/>
      <color theme="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7" fillId="0" borderId="0" applyFont="0" applyFill="0" applyBorder="0" applyAlignment="0" applyProtection="0"/>
    <xf numFmtId="0" fontId="12" fillId="0" borderId="0" applyNumberFormat="0" applyFill="0" applyBorder="0" applyAlignment="0" applyProtection="0"/>
  </cellStyleXfs>
  <cellXfs count="287">
    <xf numFmtId="0" fontId="0" fillId="0" borderId="0" xfId="0"/>
    <xf numFmtId="0" fontId="0" fillId="0" borderId="1" xfId="0" applyBorder="1"/>
    <xf numFmtId="0" fontId="2" fillId="0" borderId="1" xfId="0" applyFont="1" applyBorder="1"/>
    <xf numFmtId="0" fontId="2" fillId="0" borderId="1" xfId="0" applyFont="1" applyBorder="1" applyAlignment="1">
      <alignment horizontal="right"/>
    </xf>
    <xf numFmtId="0" fontId="0" fillId="0" borderId="2" xfId="0" applyBorder="1"/>
    <xf numFmtId="0" fontId="0" fillId="0" borderId="0" xfId="0" applyBorder="1"/>
    <xf numFmtId="0" fontId="3" fillId="0" borderId="0" xfId="0" applyFont="1" applyBorder="1" applyAlignment="1">
      <alignment horizontal="right"/>
    </xf>
    <xf numFmtId="1" fontId="0" fillId="0" borderId="0" xfId="0" applyNumberFormat="1"/>
    <xf numFmtId="0" fontId="0" fillId="0" borderId="0" xfId="0" applyAlignment="1">
      <alignment wrapText="1"/>
    </xf>
    <xf numFmtId="164" fontId="0" fillId="0" borderId="0" xfId="1" applyNumberFormat="1" applyFont="1" applyAlignment="1">
      <alignment horizontal="right"/>
    </xf>
    <xf numFmtId="164" fontId="0" fillId="0" borderId="0" xfId="1" applyNumberFormat="1" applyFont="1"/>
    <xf numFmtId="164" fontId="0" fillId="0" borderId="0" xfId="1" applyNumberFormat="1" applyFont="1" applyAlignment="1">
      <alignment horizontal="center"/>
    </xf>
    <xf numFmtId="164" fontId="9" fillId="0" borderId="0" xfId="1" applyNumberFormat="1" applyFont="1" applyAlignment="1">
      <alignment horizontal="right"/>
    </xf>
    <xf numFmtId="0" fontId="2" fillId="0" borderId="0" xfId="0" applyFont="1"/>
    <xf numFmtId="165" fontId="0" fillId="0" borderId="0" xfId="0" applyNumberFormat="1" applyAlignment="1">
      <alignment horizontal="right"/>
    </xf>
    <xf numFmtId="0" fontId="0" fillId="0" borderId="0" xfId="0" applyAlignment="1">
      <alignment horizontal="center"/>
    </xf>
    <xf numFmtId="164" fontId="7" fillId="0" borderId="0" xfId="1" applyNumberFormat="1" applyFont="1" applyFill="1" applyBorder="1" applyAlignment="1">
      <alignment horizontal="right"/>
    </xf>
    <xf numFmtId="0" fontId="1" fillId="0" borderId="0" xfId="0" applyFont="1" applyFill="1" applyBorder="1" applyAlignment="1">
      <alignment horizontal="left"/>
    </xf>
    <xf numFmtId="164" fontId="9" fillId="0" borderId="0" xfId="1" applyNumberFormat="1" applyFont="1" applyFill="1" applyBorder="1" applyAlignment="1">
      <alignment horizontal="right"/>
    </xf>
    <xf numFmtId="0" fontId="4" fillId="0" borderId="0" xfId="0" applyFont="1" applyFill="1" applyBorder="1" applyAlignment="1">
      <alignment horizontal="right"/>
    </xf>
    <xf numFmtId="0" fontId="2" fillId="0" borderId="0" xfId="0" applyFont="1" applyAlignment="1">
      <alignment horizontal="center" vertical="center"/>
    </xf>
    <xf numFmtId="164" fontId="13" fillId="6" borderId="0" xfId="1" applyNumberFormat="1" applyFont="1" applyFill="1" applyBorder="1" applyAlignment="1">
      <alignment horizontal="right" vertical="center" wrapText="1"/>
    </xf>
    <xf numFmtId="2" fontId="7" fillId="0" borderId="0" xfId="1" applyNumberFormat="1" applyFont="1" applyFill="1" applyBorder="1" applyAlignment="1">
      <alignment horizontal="right"/>
    </xf>
    <xf numFmtId="0" fontId="4" fillId="0" borderId="0" xfId="0" applyFont="1" applyFill="1" applyBorder="1" applyAlignment="1"/>
    <xf numFmtId="0" fontId="4" fillId="0" borderId="0" xfId="0" applyFont="1" applyFill="1" applyBorder="1"/>
    <xf numFmtId="2" fontId="4" fillId="0" borderId="0" xfId="0" applyNumberFormat="1" applyFont="1" applyFill="1" applyBorder="1" applyAlignment="1">
      <alignment horizontal="right"/>
    </xf>
    <xf numFmtId="43" fontId="13" fillId="3" borderId="0" xfId="1" applyFont="1" applyFill="1" applyBorder="1" applyAlignment="1">
      <alignment horizontal="right" vertical="center" wrapText="1"/>
    </xf>
    <xf numFmtId="49" fontId="13" fillId="3" borderId="0" xfId="1" applyNumberFormat="1" applyFont="1" applyFill="1" applyBorder="1" applyAlignment="1">
      <alignment horizontal="right" vertical="center" wrapText="1"/>
    </xf>
    <xf numFmtId="164" fontId="13" fillId="3" borderId="0" xfId="1" applyNumberFormat="1" applyFont="1" applyFill="1" applyBorder="1" applyAlignment="1">
      <alignment horizontal="right" vertical="center" wrapText="1"/>
    </xf>
    <xf numFmtId="49" fontId="13" fillId="3" borderId="0" xfId="1" applyNumberFormat="1" applyFont="1" applyFill="1" applyBorder="1" applyAlignment="1">
      <alignment horizontal="right" vertical="center"/>
    </xf>
    <xf numFmtId="164" fontId="13" fillId="3" borderId="0" xfId="1" applyNumberFormat="1" applyFont="1" applyFill="1" applyBorder="1" applyAlignment="1">
      <alignment horizontal="right" vertical="center"/>
    </xf>
    <xf numFmtId="164" fontId="4" fillId="3" borderId="0" xfId="1" applyNumberFormat="1" applyFont="1" applyFill="1" applyBorder="1" applyAlignment="1">
      <alignment horizontal="right" vertical="center" wrapText="1"/>
    </xf>
    <xf numFmtId="164" fontId="4" fillId="3" borderId="0" xfId="1" applyNumberFormat="1" applyFont="1" applyFill="1" applyBorder="1" applyAlignment="1">
      <alignment horizontal="right" vertical="center"/>
    </xf>
    <xf numFmtId="1" fontId="4" fillId="3" borderId="0" xfId="1" applyNumberFormat="1" applyFont="1" applyFill="1" applyBorder="1" applyAlignment="1">
      <alignment horizontal="right" vertical="center"/>
    </xf>
    <xf numFmtId="0" fontId="4" fillId="3" borderId="0" xfId="0" applyFont="1" applyFill="1" applyBorder="1" applyAlignment="1">
      <alignment horizontal="right" vertical="center"/>
    </xf>
    <xf numFmtId="164" fontId="13" fillId="6" borderId="0" xfId="1" applyNumberFormat="1" applyFont="1" applyFill="1" applyBorder="1" applyAlignment="1">
      <alignment horizontal="right" vertical="center"/>
    </xf>
    <xf numFmtId="164" fontId="4" fillId="6" borderId="0" xfId="1" applyNumberFormat="1" applyFont="1" applyFill="1" applyBorder="1" applyAlignment="1">
      <alignment horizontal="right" vertical="center"/>
    </xf>
    <xf numFmtId="2" fontId="4" fillId="6" borderId="0" xfId="1" applyNumberFormat="1" applyFont="1" applyFill="1" applyBorder="1" applyAlignment="1">
      <alignment horizontal="right" vertical="center"/>
    </xf>
    <xf numFmtId="2" fontId="4" fillId="6" borderId="0" xfId="0" applyNumberFormat="1" applyFont="1" applyFill="1" applyBorder="1" applyAlignment="1">
      <alignment horizontal="right" vertical="center"/>
    </xf>
    <xf numFmtId="0" fontId="1" fillId="0" borderId="0" xfId="0" applyFont="1" applyFill="1" applyBorder="1" applyAlignment="1">
      <alignment horizontal="center" vertical="center"/>
    </xf>
    <xf numFmtId="0" fontId="1" fillId="0" borderId="1" xfId="0" applyFont="1" applyBorder="1"/>
    <xf numFmtId="0" fontId="11" fillId="6" borderId="0" xfId="0" applyFont="1" applyFill="1" applyBorder="1" applyAlignment="1">
      <alignment vertical="center"/>
    </xf>
    <xf numFmtId="49" fontId="11" fillId="0" borderId="0" xfId="1" applyNumberFormat="1" applyFont="1" applyFill="1" applyBorder="1" applyAlignment="1">
      <alignment horizontal="left" vertical="center" wrapText="1"/>
    </xf>
    <xf numFmtId="49" fontId="11" fillId="0" borderId="0" xfId="1" applyNumberFormat="1" applyFont="1" applyFill="1" applyBorder="1" applyAlignment="1">
      <alignment horizontal="left" vertical="center"/>
    </xf>
    <xf numFmtId="49" fontId="11" fillId="0" borderId="0" xfId="0" applyNumberFormat="1" applyFont="1" applyFill="1" applyBorder="1" applyAlignment="1">
      <alignment horizontal="left" vertical="center"/>
    </xf>
    <xf numFmtId="0" fontId="7" fillId="0" borderId="0" xfId="0" applyFont="1" applyFill="1" applyBorder="1" applyAlignment="1">
      <alignment horizontal="right" vertical="center"/>
    </xf>
    <xf numFmtId="0" fontId="7" fillId="0" borderId="0" xfId="0" applyFont="1" applyFill="1" applyBorder="1" applyAlignment="1">
      <alignment vertical="center"/>
    </xf>
    <xf numFmtId="0" fontId="7" fillId="0" borderId="0" xfId="0" applyFont="1" applyFill="1" applyBorder="1" applyAlignment="1">
      <alignment horizontal="right"/>
    </xf>
    <xf numFmtId="0" fontId="7" fillId="0" borderId="0" xfId="0" applyFont="1" applyFill="1" applyBorder="1"/>
    <xf numFmtId="0" fontId="7" fillId="0" borderId="0" xfId="0" applyFont="1" applyFill="1" applyBorder="1" applyAlignment="1"/>
    <xf numFmtId="2" fontId="7" fillId="0" borderId="0" xfId="0" applyNumberFormat="1" applyFont="1" applyFill="1" applyBorder="1" applyAlignment="1">
      <alignment horizontal="right"/>
    </xf>
    <xf numFmtId="0" fontId="7" fillId="0" borderId="0" xfId="0" applyFont="1" applyFill="1" applyBorder="1" applyAlignment="1">
      <alignment horizontal="left"/>
    </xf>
    <xf numFmtId="1" fontId="4" fillId="3" borderId="0" xfId="0" applyNumberFormat="1" applyFont="1" applyFill="1" applyBorder="1" applyAlignment="1">
      <alignment horizontal="right" vertical="center"/>
    </xf>
    <xf numFmtId="0" fontId="1" fillId="7" borderId="0" xfId="0" applyFont="1" applyFill="1" applyBorder="1" applyAlignment="1">
      <alignment horizontal="center" vertical="center"/>
    </xf>
    <xf numFmtId="0" fontId="10" fillId="7" borderId="0" xfId="0" applyFont="1" applyFill="1" applyBorder="1" applyAlignment="1">
      <alignment horizontal="center" vertical="center"/>
    </xf>
    <xf numFmtId="164" fontId="10" fillId="7" borderId="0" xfId="1" applyNumberFormat="1" applyFont="1" applyFill="1" applyBorder="1" applyAlignment="1">
      <alignment horizontal="center" vertical="center"/>
    </xf>
    <xf numFmtId="164" fontId="10" fillId="7" borderId="0" xfId="0" applyNumberFormat="1" applyFont="1" applyFill="1" applyBorder="1" applyAlignment="1">
      <alignment horizontal="center" vertical="center"/>
    </xf>
    <xf numFmtId="49" fontId="2" fillId="7" borderId="0" xfId="1" applyNumberFormat="1" applyFont="1" applyFill="1" applyBorder="1" applyAlignment="1">
      <alignment horizontal="right" vertical="center" wrapText="1"/>
    </xf>
    <xf numFmtId="164" fontId="2" fillId="7" borderId="0" xfId="1" applyNumberFormat="1" applyFont="1" applyFill="1" applyBorder="1" applyAlignment="1">
      <alignment horizontal="right" vertical="center" wrapText="1"/>
    </xf>
    <xf numFmtId="49" fontId="2" fillId="7" borderId="0" xfId="1" applyNumberFormat="1" applyFont="1" applyFill="1" applyBorder="1" applyAlignment="1">
      <alignment horizontal="right"/>
    </xf>
    <xf numFmtId="164" fontId="2" fillId="7" borderId="0" xfId="1" applyNumberFormat="1" applyFont="1" applyFill="1" applyBorder="1" applyAlignment="1">
      <alignment horizontal="right"/>
    </xf>
    <xf numFmtId="2" fontId="7" fillId="7" borderId="0" xfId="1" applyNumberFormat="1" applyFont="1" applyFill="1" applyBorder="1" applyAlignment="1">
      <alignment horizontal="right"/>
    </xf>
    <xf numFmtId="164" fontId="7" fillId="7" borderId="0" xfId="1" applyNumberFormat="1" applyFont="1" applyFill="1" applyBorder="1" applyAlignment="1">
      <alignment horizontal="right"/>
    </xf>
    <xf numFmtId="164" fontId="4" fillId="7" borderId="0" xfId="1" applyNumberFormat="1" applyFont="1" applyFill="1" applyBorder="1" applyAlignment="1">
      <alignment horizontal="right"/>
    </xf>
    <xf numFmtId="2" fontId="7" fillId="7" borderId="0" xfId="0" applyNumberFormat="1" applyFont="1" applyFill="1" applyBorder="1" applyAlignment="1">
      <alignment horizontal="right"/>
    </xf>
    <xf numFmtId="0" fontId="1" fillId="7" borderId="0" xfId="0" applyFont="1" applyFill="1" applyBorder="1" applyAlignment="1">
      <alignment horizontal="left" vertical="center"/>
    </xf>
    <xf numFmtId="0" fontId="11" fillId="6" borderId="0" xfId="0" applyFont="1" applyFill="1" applyBorder="1" applyAlignment="1">
      <alignment horizontal="left" vertical="center"/>
    </xf>
    <xf numFmtId="0" fontId="1" fillId="5" borderId="0" xfId="0" applyFont="1" applyFill="1" applyBorder="1" applyAlignment="1">
      <alignment horizontal="center" vertical="center"/>
    </xf>
    <xf numFmtId="164" fontId="1" fillId="5" borderId="0" xfId="1" applyNumberFormat="1" applyFont="1" applyFill="1" applyBorder="1" applyAlignment="1">
      <alignment horizontal="center" vertical="center"/>
    </xf>
    <xf numFmtId="0" fontId="10" fillId="5" borderId="0" xfId="0" applyFont="1" applyFill="1" applyBorder="1" applyAlignment="1">
      <alignment horizontal="center" vertical="center"/>
    </xf>
    <xf numFmtId="164" fontId="2" fillId="5" borderId="0" xfId="1" applyNumberFormat="1" applyFont="1" applyFill="1" applyBorder="1" applyAlignment="1">
      <alignment horizontal="right" vertical="center" wrapText="1"/>
    </xf>
    <xf numFmtId="164" fontId="2" fillId="5" borderId="0" xfId="1" applyNumberFormat="1" applyFont="1" applyFill="1" applyBorder="1" applyAlignment="1">
      <alignment horizontal="right"/>
    </xf>
    <xf numFmtId="2" fontId="4" fillId="7" borderId="0" xfId="0" applyNumberFormat="1" applyFont="1" applyFill="1" applyBorder="1" applyAlignment="1">
      <alignment horizontal="right"/>
    </xf>
    <xf numFmtId="1" fontId="7" fillId="7" borderId="0" xfId="1" quotePrefix="1" applyNumberFormat="1" applyFont="1" applyFill="1" applyBorder="1" applyAlignment="1">
      <alignment horizontal="right"/>
    </xf>
    <xf numFmtId="0" fontId="7" fillId="5" borderId="0" xfId="1" applyNumberFormat="1" applyFont="1" applyFill="1" applyBorder="1" applyAlignment="1">
      <alignment horizontal="right"/>
    </xf>
    <xf numFmtId="0" fontId="4" fillId="5" borderId="0" xfId="1"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1" applyNumberFormat="1" applyFont="1" applyFill="1" applyBorder="1" applyAlignment="1">
      <alignment horizontal="right"/>
    </xf>
    <xf numFmtId="2" fontId="9" fillId="0" borderId="0" xfId="0" applyNumberFormat="1" applyFont="1" applyFill="1" applyBorder="1" applyAlignment="1">
      <alignment horizontal="left"/>
    </xf>
    <xf numFmtId="1" fontId="7" fillId="7" borderId="0" xfId="1" applyNumberFormat="1" applyFont="1" applyFill="1" applyBorder="1" applyAlignment="1">
      <alignment horizontal="right"/>
    </xf>
    <xf numFmtId="1" fontId="4" fillId="7" borderId="0" xfId="1" applyNumberFormat="1" applyFont="1" applyFill="1" applyBorder="1" applyAlignment="1">
      <alignment horizontal="right"/>
    </xf>
    <xf numFmtId="1" fontId="7" fillId="5" borderId="0" xfId="1" applyNumberFormat="1" applyFont="1" applyFill="1" applyBorder="1" applyAlignment="1">
      <alignment horizontal="right"/>
    </xf>
    <xf numFmtId="1" fontId="4" fillId="5" borderId="0" xfId="1" applyNumberFormat="1" applyFont="1" applyFill="1" applyBorder="1" applyAlignment="1">
      <alignment horizontal="right"/>
    </xf>
    <xf numFmtId="1" fontId="7" fillId="0" borderId="0" xfId="1" applyNumberFormat="1" applyFont="1" applyFill="1" applyBorder="1" applyAlignment="1">
      <alignment horizontal="right"/>
    </xf>
    <xf numFmtId="0" fontId="4" fillId="6" borderId="0" xfId="0" applyFont="1" applyFill="1" applyBorder="1" applyAlignment="1">
      <alignment vertical="center"/>
    </xf>
    <xf numFmtId="0" fontId="1" fillId="0" borderId="0" xfId="0" applyFont="1" applyFill="1" applyBorder="1" applyAlignment="1">
      <alignment horizontal="left" vertical="center"/>
    </xf>
    <xf numFmtId="164" fontId="2" fillId="0" borderId="0" xfId="1" applyNumberFormat="1" applyFont="1" applyFill="1" applyBorder="1" applyAlignment="1">
      <alignment horizontal="left" vertical="center" wrapText="1"/>
    </xf>
    <xf numFmtId="0" fontId="2" fillId="0" borderId="0" xfId="0" applyFont="1" applyFill="1" applyBorder="1" applyAlignment="1">
      <alignment horizontal="left"/>
    </xf>
    <xf numFmtId="2" fontId="12" fillId="0" borderId="0" xfId="2" applyNumberFormat="1" applyFont="1" applyFill="1" applyBorder="1" applyAlignment="1">
      <alignment horizontal="left"/>
    </xf>
    <xf numFmtId="2" fontId="4" fillId="0" borderId="0" xfId="0" applyNumberFormat="1" applyFont="1" applyFill="1" applyBorder="1" applyAlignment="1">
      <alignment horizontal="left"/>
    </xf>
    <xf numFmtId="2" fontId="7" fillId="0" borderId="0" xfId="0" applyNumberFormat="1" applyFont="1" applyFill="1" applyBorder="1" applyAlignment="1">
      <alignment horizontal="left"/>
    </xf>
    <xf numFmtId="2" fontId="7" fillId="0" borderId="0" xfId="0" applyNumberFormat="1" applyFont="1" applyFill="1" applyBorder="1" applyAlignment="1">
      <alignment horizontal="left" wrapText="1"/>
    </xf>
    <xf numFmtId="2" fontId="12" fillId="0" borderId="0" xfId="2" applyNumberFormat="1" applyFill="1" applyBorder="1" applyAlignment="1">
      <alignment horizontal="left"/>
    </xf>
    <xf numFmtId="2" fontId="14" fillId="0" borderId="0" xfId="2" applyNumberFormat="1" applyFont="1" applyFill="1" applyBorder="1" applyAlignment="1">
      <alignment horizontal="left"/>
    </xf>
    <xf numFmtId="0" fontId="0" fillId="0" borderId="0" xfId="0" applyAlignment="1">
      <alignment horizontal="center" vertical="center"/>
    </xf>
    <xf numFmtId="164" fontId="1" fillId="8" borderId="0" xfId="1" applyNumberFormat="1" applyFont="1" applyFill="1" applyBorder="1" applyAlignment="1">
      <alignment horizontal="center" vertical="center"/>
    </xf>
    <xf numFmtId="164" fontId="7" fillId="8" borderId="0" xfId="1" applyNumberFormat="1" applyFont="1" applyFill="1" applyBorder="1" applyAlignment="1">
      <alignment horizontal="right" vertical="center"/>
    </xf>
    <xf numFmtId="164" fontId="7" fillId="8" borderId="0" xfId="1" applyNumberFormat="1" applyFont="1" applyFill="1" applyBorder="1" applyAlignment="1">
      <alignment horizontal="right"/>
    </xf>
    <xf numFmtId="2" fontId="7" fillId="8" borderId="0" xfId="1" applyNumberFormat="1" applyFont="1" applyFill="1" applyBorder="1" applyAlignment="1">
      <alignment horizontal="right"/>
    </xf>
    <xf numFmtId="2" fontId="4" fillId="8" borderId="0" xfId="1" applyNumberFormat="1" applyFont="1" applyFill="1" applyBorder="1" applyAlignment="1">
      <alignment horizontal="right"/>
    </xf>
    <xf numFmtId="165" fontId="0" fillId="0" borderId="0" xfId="0" applyNumberFormat="1"/>
    <xf numFmtId="2" fontId="0" fillId="0" borderId="0" xfId="0" applyNumberFormat="1" applyAlignment="1">
      <alignment horizontal="right"/>
    </xf>
    <xf numFmtId="2" fontId="0" fillId="0" borderId="1" xfId="0" applyNumberFormat="1" applyBorder="1" applyAlignment="1">
      <alignment horizontal="right"/>
    </xf>
    <xf numFmtId="0" fontId="0" fillId="0" borderId="1" xfId="0" applyBorder="1" applyAlignment="1">
      <alignment horizontal="center"/>
    </xf>
    <xf numFmtId="165" fontId="0" fillId="0" borderId="1" xfId="0" applyNumberFormat="1" applyBorder="1" applyAlignment="1">
      <alignment horizontal="right"/>
    </xf>
    <xf numFmtId="0" fontId="2" fillId="0" borderId="1" xfId="0"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0" fillId="3" borderId="0" xfId="0" applyFill="1" applyBorder="1" applyAlignment="1">
      <alignment horizontal="center" vertical="top" wrapText="1"/>
    </xf>
    <xf numFmtId="0" fontId="1" fillId="3" borderId="0" xfId="0" applyFont="1" applyFill="1" applyBorder="1" applyAlignment="1">
      <alignment horizontal="left" vertical="center"/>
    </xf>
    <xf numFmtId="0" fontId="2" fillId="3" borderId="0" xfId="0" applyFont="1" applyFill="1" applyBorder="1" applyAlignment="1">
      <alignment horizontal="center" vertical="center"/>
    </xf>
    <xf numFmtId="0" fontId="0" fillId="3" borderId="0" xfId="0" applyFill="1" applyBorder="1" applyAlignment="1">
      <alignment horizontal="center" vertical="center"/>
    </xf>
    <xf numFmtId="43" fontId="0" fillId="0" borderId="0" xfId="0" applyNumberFormat="1"/>
    <xf numFmtId="0" fontId="0" fillId="0" borderId="1" xfId="0" applyBorder="1" applyAlignment="1">
      <alignment horizontal="left"/>
    </xf>
    <xf numFmtId="166" fontId="0" fillId="0" borderId="0" xfId="1" applyNumberFormat="1" applyFont="1" applyAlignment="1">
      <alignment horizontal="center"/>
    </xf>
    <xf numFmtId="3" fontId="0" fillId="3" borderId="0" xfId="1" applyNumberFormat="1" applyFont="1" applyFill="1" applyBorder="1" applyAlignment="1">
      <alignment horizontal="center" vertical="center"/>
    </xf>
    <xf numFmtId="166" fontId="0" fillId="0" borderId="0" xfId="0" applyNumberFormat="1"/>
    <xf numFmtId="166" fontId="0" fillId="0" borderId="1" xfId="0" applyNumberFormat="1" applyBorder="1"/>
    <xf numFmtId="166" fontId="0" fillId="0" borderId="0" xfId="0" applyNumberFormat="1" applyBorder="1"/>
    <xf numFmtId="0" fontId="3" fillId="0" borderId="0" xfId="0" applyFont="1" applyFill="1" applyBorder="1"/>
    <xf numFmtId="0" fontId="3" fillId="0" borderId="0" xfId="0" applyFont="1" applyFill="1" applyBorder="1" applyAlignment="1">
      <alignment horizontal="right"/>
    </xf>
    <xf numFmtId="0" fontId="15" fillId="0" borderId="0" xfId="0" applyFont="1" applyBorder="1" applyAlignment="1">
      <alignment horizontal="right"/>
    </xf>
    <xf numFmtId="0" fontId="15" fillId="0" borderId="0" xfId="0" applyFont="1" applyBorder="1"/>
    <xf numFmtId="0" fontId="15" fillId="0" borderId="0" xfId="0" applyFont="1" applyFill="1" applyBorder="1" applyAlignment="1">
      <alignment horizontal="right"/>
    </xf>
    <xf numFmtId="0" fontId="0" fillId="6" borderId="0" xfId="0" applyFill="1" applyAlignment="1">
      <alignment horizontal="center" vertical="top" wrapText="1"/>
    </xf>
    <xf numFmtId="0" fontId="2" fillId="6" borderId="1" xfId="0" applyFont="1" applyFill="1" applyBorder="1" applyAlignment="1">
      <alignment horizontal="center" vertical="center"/>
    </xf>
    <xf numFmtId="3" fontId="0" fillId="6" borderId="0" xfId="1" applyNumberFormat="1" applyFont="1" applyFill="1" applyAlignment="1">
      <alignment horizontal="center" vertical="center"/>
    </xf>
    <xf numFmtId="0" fontId="2" fillId="4" borderId="1" xfId="0" applyFont="1" applyFill="1" applyBorder="1" applyAlignment="1">
      <alignment horizontal="center" vertical="center"/>
    </xf>
    <xf numFmtId="3" fontId="0" fillId="4" borderId="0" xfId="1" applyNumberFormat="1" applyFont="1" applyFill="1" applyAlignment="1">
      <alignment horizontal="center" vertical="center"/>
    </xf>
    <xf numFmtId="0" fontId="0" fillId="9" borderId="0" xfId="0" applyFill="1" applyAlignment="1">
      <alignment horizontal="center" vertical="top" wrapText="1"/>
    </xf>
    <xf numFmtId="0" fontId="2" fillId="9" borderId="1" xfId="0" applyFont="1" applyFill="1" applyBorder="1" applyAlignment="1">
      <alignment horizontal="center" vertical="center"/>
    </xf>
    <xf numFmtId="3" fontId="0" fillId="9" borderId="0" xfId="1" applyNumberFormat="1" applyFont="1" applyFill="1" applyAlignment="1">
      <alignment horizontal="center" vertical="center"/>
    </xf>
    <xf numFmtId="0" fontId="0" fillId="4" borderId="0" xfId="0" applyFill="1" applyAlignment="1">
      <alignment horizontal="center" vertical="top" wrapText="1"/>
    </xf>
    <xf numFmtId="0" fontId="0" fillId="5" borderId="0" xfId="0" applyFill="1" applyAlignment="1">
      <alignment horizontal="center" vertical="top" wrapText="1"/>
    </xf>
    <xf numFmtId="0" fontId="0" fillId="5" borderId="2" xfId="0" applyFill="1" applyBorder="1" applyAlignment="1">
      <alignment horizontal="center" vertical="top" wrapText="1"/>
    </xf>
    <xf numFmtId="0" fontId="2" fillId="5" borderId="1" xfId="0" applyFont="1" applyFill="1" applyBorder="1" applyAlignment="1">
      <alignment horizontal="center" vertical="center"/>
    </xf>
    <xf numFmtId="3" fontId="0" fillId="5" borderId="0" xfId="1" applyNumberFormat="1" applyFont="1" applyFill="1" applyAlignment="1">
      <alignment horizontal="center" vertical="center"/>
    </xf>
    <xf numFmtId="0" fontId="1" fillId="5" borderId="0" xfId="0" applyFont="1" applyFill="1" applyAlignment="1">
      <alignment horizontal="center" vertical="top" wrapText="1"/>
    </xf>
    <xf numFmtId="0" fontId="8" fillId="5" borderId="1" xfId="0" applyFont="1" applyFill="1" applyBorder="1" applyAlignment="1">
      <alignment horizontal="center" vertical="center"/>
    </xf>
    <xf numFmtId="3" fontId="1" fillId="5" borderId="0" xfId="1" applyNumberFormat="1" applyFont="1" applyFill="1" applyAlignment="1">
      <alignment horizontal="center" vertical="center"/>
    </xf>
    <xf numFmtId="165" fontId="15" fillId="0" borderId="0" xfId="0" applyNumberFormat="1" applyFont="1" applyBorder="1"/>
    <xf numFmtId="165" fontId="15" fillId="0" borderId="1" xfId="0" applyNumberFormat="1" applyFont="1" applyBorder="1"/>
    <xf numFmtId="0" fontId="15" fillId="0" borderId="1" xfId="0" applyFont="1" applyBorder="1"/>
    <xf numFmtId="164" fontId="11" fillId="6" borderId="0" xfId="1" applyNumberFormat="1" applyFont="1" applyFill="1" applyBorder="1" applyAlignment="1">
      <alignment horizontal="right" vertical="center"/>
    </xf>
    <xf numFmtId="2" fontId="10" fillId="0" borderId="0" xfId="0" applyNumberFormat="1" applyFont="1" applyFill="1" applyBorder="1" applyAlignment="1">
      <alignment horizontal="right"/>
    </xf>
    <xf numFmtId="164" fontId="11" fillId="6" borderId="0" xfId="1" applyNumberFormat="1" applyFont="1" applyFill="1" applyBorder="1" applyAlignment="1">
      <alignment horizontal="right" vertical="center" wrapText="1"/>
    </xf>
    <xf numFmtId="164" fontId="1" fillId="0" borderId="0" xfId="1" applyNumberFormat="1" applyFont="1" applyFill="1" applyBorder="1" applyAlignment="1">
      <alignment horizontal="right"/>
    </xf>
    <xf numFmtId="2" fontId="10" fillId="0" borderId="0" xfId="1" applyNumberFormat="1" applyFont="1" applyFill="1" applyBorder="1" applyAlignment="1">
      <alignment horizontal="right"/>
    </xf>
    <xf numFmtId="3" fontId="4" fillId="6" borderId="0" xfId="1" applyNumberFormat="1" applyFont="1" applyFill="1" applyBorder="1" applyAlignment="1">
      <alignment horizontal="right" vertical="center"/>
    </xf>
    <xf numFmtId="3" fontId="11" fillId="6" borderId="0" xfId="1" applyNumberFormat="1" applyFont="1" applyFill="1" applyBorder="1" applyAlignment="1">
      <alignment horizontal="right" vertical="center"/>
    </xf>
    <xf numFmtId="3" fontId="7" fillId="7" borderId="0" xfId="1" applyNumberFormat="1" applyFont="1" applyFill="1" applyBorder="1" applyAlignment="1">
      <alignment horizontal="right"/>
    </xf>
    <xf numFmtId="3" fontId="4" fillId="7" borderId="0" xfId="1" applyNumberFormat="1" applyFont="1" applyFill="1" applyBorder="1" applyAlignment="1">
      <alignment horizontal="right"/>
    </xf>
    <xf numFmtId="167" fontId="4" fillId="6" borderId="0" xfId="1" applyNumberFormat="1" applyFont="1" applyFill="1" applyBorder="1" applyAlignment="1">
      <alignment horizontal="right" vertical="center"/>
    </xf>
    <xf numFmtId="168" fontId="7" fillId="7" borderId="0" xfId="1" applyNumberFormat="1" applyFont="1" applyFill="1" applyBorder="1" applyAlignment="1">
      <alignment horizontal="right"/>
    </xf>
    <xf numFmtId="3" fontId="9" fillId="7" borderId="0" xfId="1" applyNumberFormat="1" applyFont="1" applyFill="1" applyBorder="1" applyAlignment="1">
      <alignment horizontal="right"/>
    </xf>
    <xf numFmtId="3" fontId="7" fillId="7" borderId="0" xfId="1" applyNumberFormat="1" applyFont="1" applyFill="1" applyBorder="1"/>
    <xf numFmtId="167" fontId="7" fillId="7" borderId="0" xfId="1" applyNumberFormat="1" applyFont="1" applyFill="1" applyBorder="1" applyAlignment="1">
      <alignment horizontal="right"/>
    </xf>
    <xf numFmtId="167" fontId="4" fillId="7" borderId="0" xfId="1" applyNumberFormat="1" applyFont="1" applyFill="1" applyBorder="1" applyAlignment="1">
      <alignment horizontal="right"/>
    </xf>
    <xf numFmtId="168" fontId="7" fillId="5" borderId="0" xfId="1" applyNumberFormat="1" applyFont="1" applyFill="1" applyBorder="1" applyAlignment="1">
      <alignment horizontal="right"/>
    </xf>
    <xf numFmtId="168" fontId="4" fillId="5" borderId="0" xfId="1" applyNumberFormat="1" applyFont="1" applyFill="1" applyBorder="1" applyAlignment="1">
      <alignment horizontal="right"/>
    </xf>
    <xf numFmtId="0" fontId="0" fillId="10" borderId="0" xfId="0" applyFill="1" applyAlignment="1">
      <alignment horizontal="center" wrapText="1"/>
    </xf>
    <xf numFmtId="0" fontId="0" fillId="10" borderId="0" xfId="0" applyFill="1" applyAlignment="1">
      <alignment wrapText="1"/>
    </xf>
    <xf numFmtId="0" fontId="0" fillId="10" borderId="1" xfId="0" applyFill="1" applyBorder="1" applyAlignment="1">
      <alignment horizontal="center"/>
    </xf>
    <xf numFmtId="164" fontId="16" fillId="10" borderId="0" xfId="1" applyNumberFormat="1" applyFont="1" applyFill="1"/>
    <xf numFmtId="0" fontId="0" fillId="11" borderId="0" xfId="0" applyFill="1" applyAlignment="1">
      <alignment horizontal="center" wrapText="1"/>
    </xf>
    <xf numFmtId="0" fontId="0" fillId="11" borderId="0" xfId="0" applyFill="1" applyAlignment="1">
      <alignment wrapText="1"/>
    </xf>
    <xf numFmtId="0" fontId="0" fillId="11" borderId="1" xfId="0" applyFill="1" applyBorder="1" applyAlignment="1">
      <alignment horizontal="center"/>
    </xf>
    <xf numFmtId="0" fontId="0" fillId="11" borderId="0" xfId="0" applyFill="1"/>
    <xf numFmtId="164" fontId="4" fillId="10" borderId="0" xfId="1" applyNumberFormat="1" applyFont="1" applyFill="1"/>
    <xf numFmtId="0" fontId="4" fillId="10" borderId="0" xfId="0" applyFont="1" applyFill="1" applyAlignment="1">
      <alignment horizontal="center" wrapText="1"/>
    </xf>
    <xf numFmtId="0" fontId="4" fillId="10" borderId="1" xfId="0" applyFont="1" applyFill="1" applyBorder="1" applyAlignment="1">
      <alignment horizontal="center"/>
    </xf>
    <xf numFmtId="0" fontId="1" fillId="2" borderId="0" xfId="0" applyFont="1" applyFill="1"/>
    <xf numFmtId="0" fontId="16" fillId="11" borderId="0" xfId="0" applyFont="1" applyFill="1"/>
    <xf numFmtId="164" fontId="7" fillId="0" borderId="0" xfId="1" applyNumberFormat="1" applyFont="1" applyBorder="1" applyAlignment="1">
      <alignment horizontal="left" wrapText="1"/>
    </xf>
    <xf numFmtId="0" fontId="12" fillId="0" borderId="0" xfId="2" applyFill="1" applyBorder="1" applyAlignment="1">
      <alignment horizontal="left"/>
    </xf>
    <xf numFmtId="164" fontId="12" fillId="0" borderId="0" xfId="2" applyNumberFormat="1"/>
    <xf numFmtId="0" fontId="4" fillId="7" borderId="0" xfId="1" applyNumberFormat="1" applyFont="1" applyFill="1" applyBorder="1" applyAlignment="1">
      <alignment horizontal="right"/>
    </xf>
    <xf numFmtId="0" fontId="1" fillId="9" borderId="0" xfId="0" applyFont="1" applyFill="1" applyBorder="1" applyAlignment="1">
      <alignment horizontal="center" vertical="center"/>
    </xf>
    <xf numFmtId="0" fontId="7" fillId="9" borderId="0" xfId="0" applyFont="1" applyFill="1" applyBorder="1" applyAlignment="1">
      <alignment horizontal="right"/>
    </xf>
    <xf numFmtId="0" fontId="7" fillId="9" borderId="0" xfId="0" applyFont="1" applyFill="1" applyBorder="1" applyAlignment="1">
      <alignment horizontal="right" vertical="center" wrapText="1"/>
    </xf>
    <xf numFmtId="1" fontId="7" fillId="9" borderId="0" xfId="0" applyNumberFormat="1" applyFont="1" applyFill="1" applyBorder="1" applyAlignment="1">
      <alignment horizontal="right"/>
    </xf>
    <xf numFmtId="1" fontId="7" fillId="9" borderId="0" xfId="0" applyNumberFormat="1" applyFont="1" applyFill="1" applyBorder="1"/>
    <xf numFmtId="1" fontId="7" fillId="0" borderId="0" xfId="0" applyNumberFormat="1" applyFont="1" applyFill="1" applyBorder="1" applyAlignment="1">
      <alignment horizontal="right"/>
    </xf>
    <xf numFmtId="0" fontId="0" fillId="0" borderId="0" xfId="0" applyFill="1" applyBorder="1"/>
    <xf numFmtId="0" fontId="0" fillId="0" borderId="0" xfId="0" applyFill="1" applyBorder="1" applyAlignment="1"/>
    <xf numFmtId="0" fontId="0" fillId="0" borderId="0" xfId="0" applyFill="1" applyBorder="1" applyAlignment="1">
      <alignment horizontal="right"/>
    </xf>
    <xf numFmtId="0" fontId="7" fillId="0" borderId="3" xfId="0" applyFont="1" applyFill="1" applyBorder="1" applyAlignment="1">
      <alignment horizontal="left" vertical="center" wrapText="1"/>
    </xf>
    <xf numFmtId="0" fontId="0" fillId="0" borderId="1" xfId="0" applyFill="1" applyBorder="1" applyAlignment="1">
      <alignment horizontal="right"/>
    </xf>
    <xf numFmtId="0" fontId="0" fillId="0" borderId="3" xfId="0" applyFill="1" applyBorder="1"/>
    <xf numFmtId="0" fontId="1" fillId="0" borderId="3" xfId="0" applyFont="1" applyBorder="1" applyAlignment="1">
      <alignment horizontal="center"/>
    </xf>
    <xf numFmtId="0" fontId="1" fillId="0" borderId="3" xfId="0" applyFont="1" applyFill="1" applyBorder="1" applyAlignment="1">
      <alignment horizontal="center" vertical="center" wrapText="1"/>
    </xf>
    <xf numFmtId="0" fontId="0" fillId="0" borderId="3" xfId="0" applyBorder="1" applyAlignment="1">
      <alignment horizontal="center"/>
    </xf>
    <xf numFmtId="1" fontId="0" fillId="0" borderId="0" xfId="0" applyNumberFormat="1" applyAlignment="1">
      <alignment horizontal="center"/>
    </xf>
    <xf numFmtId="1" fontId="0" fillId="0" borderId="0" xfId="0" applyNumberFormat="1" applyFill="1" applyBorder="1" applyAlignment="1">
      <alignment horizontal="center"/>
    </xf>
    <xf numFmtId="0" fontId="7" fillId="0" borderId="0" xfId="0" applyFont="1" applyFill="1" applyBorder="1" applyAlignment="1">
      <alignment horizontal="center"/>
    </xf>
    <xf numFmtId="0" fontId="0" fillId="0" borderId="3" xfId="0" applyFill="1" applyBorder="1" applyAlignment="1">
      <alignment horizontal="center"/>
    </xf>
    <xf numFmtId="1" fontId="0" fillId="0" borderId="1" xfId="0" applyNumberFormat="1" applyFill="1" applyBorder="1" applyAlignment="1">
      <alignment horizontal="center"/>
    </xf>
    <xf numFmtId="3" fontId="0" fillId="0" borderId="0" xfId="0" applyNumberFormat="1"/>
    <xf numFmtId="3" fontId="0" fillId="0" borderId="0" xfId="0" applyNumberFormat="1" applyAlignment="1">
      <alignment horizontal="right"/>
    </xf>
    <xf numFmtId="0" fontId="0" fillId="0" borderId="2" xfId="0" applyFill="1" applyBorder="1"/>
    <xf numFmtId="0" fontId="2" fillId="0" borderId="0" xfId="0" applyFont="1" applyFill="1" applyBorder="1" applyAlignment="1">
      <alignment horizontal="right"/>
    </xf>
    <xf numFmtId="0" fontId="2" fillId="0" borderId="3" xfId="0" applyFont="1" applyFill="1" applyBorder="1"/>
    <xf numFmtId="0" fontId="2" fillId="0" borderId="3" xfId="0" applyFont="1" applyFill="1" applyBorder="1" applyAlignment="1">
      <alignment horizontal="right"/>
    </xf>
    <xf numFmtId="3" fontId="0" fillId="0" borderId="1" xfId="0" applyNumberFormat="1" applyBorder="1" applyAlignment="1">
      <alignment horizontal="right"/>
    </xf>
    <xf numFmtId="0" fontId="0" fillId="9" borderId="0" xfId="0" applyFill="1"/>
    <xf numFmtId="0" fontId="0" fillId="9" borderId="0" xfId="0" applyFill="1" applyAlignment="1">
      <alignment horizontal="center" wrapText="1"/>
    </xf>
    <xf numFmtId="0" fontId="0" fillId="9" borderId="1" xfId="0" applyFill="1" applyBorder="1" applyAlignment="1">
      <alignment horizontal="center"/>
    </xf>
    <xf numFmtId="164" fontId="0" fillId="9" borderId="0" xfId="0" applyNumberFormat="1" applyFill="1"/>
    <xf numFmtId="3" fontId="0" fillId="9" borderId="0" xfId="0" applyNumberFormat="1" applyFill="1"/>
    <xf numFmtId="3" fontId="0" fillId="0" borderId="2" xfId="0" applyNumberFormat="1" applyBorder="1" applyAlignment="1">
      <alignment horizontal="right"/>
    </xf>
    <xf numFmtId="3" fontId="0" fillId="0" borderId="0" xfId="0" applyNumberFormat="1" applyBorder="1" applyAlignment="1">
      <alignment horizontal="right"/>
    </xf>
    <xf numFmtId="169" fontId="0" fillId="0" borderId="0" xfId="0" applyNumberFormat="1" applyAlignment="1">
      <alignment horizontal="right"/>
    </xf>
    <xf numFmtId="169" fontId="0" fillId="0" borderId="1" xfId="0" applyNumberFormat="1" applyBorder="1" applyAlignment="1">
      <alignment horizontal="right"/>
    </xf>
    <xf numFmtId="169" fontId="0" fillId="0" borderId="2" xfId="0" applyNumberFormat="1" applyBorder="1" applyAlignment="1">
      <alignment horizontal="right"/>
    </xf>
    <xf numFmtId="169" fontId="0" fillId="0" borderId="0" xfId="0" applyNumberFormat="1" applyBorder="1" applyAlignment="1">
      <alignment horizontal="right"/>
    </xf>
    <xf numFmtId="0" fontId="2" fillId="0" borderId="1" xfId="0" applyFont="1" applyFill="1" applyBorder="1" applyAlignment="1">
      <alignment horizontal="right"/>
    </xf>
    <xf numFmtId="0" fontId="0" fillId="9" borderId="0" xfId="0" applyFill="1" applyAlignment="1">
      <alignment horizontal="center"/>
    </xf>
    <xf numFmtId="0" fontId="0" fillId="9" borderId="0" xfId="0" applyFill="1" applyAlignment="1">
      <alignment horizontal="center" wrapText="1"/>
    </xf>
    <xf numFmtId="3" fontId="0" fillId="0" borderId="0" xfId="0" applyNumberFormat="1" applyAlignment="1">
      <alignment horizontal="center"/>
    </xf>
    <xf numFmtId="3" fontId="0" fillId="0" borderId="1" xfId="0" applyNumberFormat="1" applyBorder="1" applyAlignment="1">
      <alignment horizontal="center"/>
    </xf>
    <xf numFmtId="0" fontId="0" fillId="0" borderId="2" xfId="0" applyBorder="1" applyAlignment="1">
      <alignment horizontal="center"/>
    </xf>
    <xf numFmtId="0" fontId="0" fillId="0" borderId="2" xfId="0" applyFill="1" applyBorder="1" applyAlignment="1">
      <alignment horizontal="center"/>
    </xf>
    <xf numFmtId="3" fontId="9" fillId="9" borderId="0" xfId="0" applyNumberFormat="1" applyFont="1" applyFill="1"/>
    <xf numFmtId="164" fontId="9" fillId="9" borderId="0" xfId="0" applyNumberFormat="1" applyFont="1" applyFill="1"/>
    <xf numFmtId="0" fontId="9" fillId="0" borderId="0" xfId="0" applyFont="1"/>
    <xf numFmtId="0" fontId="0" fillId="8" borderId="0" xfId="0" applyFill="1"/>
    <xf numFmtId="0" fontId="0" fillId="8" borderId="0" xfId="0" applyFill="1" applyAlignment="1">
      <alignment wrapText="1"/>
    </xf>
    <xf numFmtId="3" fontId="0" fillId="8" borderId="0" xfId="0" applyNumberFormat="1" applyFill="1"/>
    <xf numFmtId="0" fontId="1" fillId="0" borderId="0" xfId="0" applyFont="1"/>
    <xf numFmtId="0" fontId="1" fillId="0" borderId="2" xfId="0" applyFont="1" applyFill="1" applyBorder="1" applyAlignment="1"/>
    <xf numFmtId="0" fontId="0" fillId="0" borderId="0" xfId="0" applyAlignment="1">
      <alignment horizontal="right"/>
    </xf>
    <xf numFmtId="1" fontId="0" fillId="0" borderId="0" xfId="0" applyNumberFormat="1" applyAlignment="1">
      <alignment horizontal="left"/>
    </xf>
    <xf numFmtId="1" fontId="0" fillId="0" borderId="0" xfId="0" applyNumberFormat="1" applyAlignment="1">
      <alignment horizontal="right"/>
    </xf>
    <xf numFmtId="0" fontId="2" fillId="0" borderId="0" xfId="0" applyFont="1" applyAlignment="1">
      <alignment horizontal="left"/>
    </xf>
    <xf numFmtId="1" fontId="0" fillId="0" borderId="2" xfId="0" applyNumberFormat="1" applyBorder="1" applyAlignment="1">
      <alignment horizontal="left"/>
    </xf>
    <xf numFmtId="2" fontId="0" fillId="0" borderId="2" xfId="0" applyNumberFormat="1" applyBorder="1" applyAlignment="1">
      <alignment horizontal="right"/>
    </xf>
    <xf numFmtId="0" fontId="8" fillId="0" borderId="0" xfId="0" applyFont="1" applyAlignment="1">
      <alignment horizontal="left"/>
    </xf>
    <xf numFmtId="0" fontId="1" fillId="0" borderId="0" xfId="0" applyFont="1" applyAlignment="1">
      <alignment horizontal="right"/>
    </xf>
    <xf numFmtId="2" fontId="1" fillId="0" borderId="0" xfId="0" applyNumberFormat="1" applyFont="1" applyAlignment="1">
      <alignment horizontal="right"/>
    </xf>
    <xf numFmtId="0" fontId="0" fillId="0" borderId="1" xfId="0" applyBorder="1" applyAlignment="1">
      <alignment horizontal="right"/>
    </xf>
    <xf numFmtId="0" fontId="9" fillId="9" borderId="0" xfId="0" applyFont="1" applyFill="1"/>
    <xf numFmtId="9" fontId="2" fillId="0" borderId="1" xfId="0" applyNumberFormat="1" applyFont="1" applyFill="1" applyBorder="1"/>
    <xf numFmtId="0" fontId="0" fillId="0" borderId="1" xfId="0" applyFill="1" applyBorder="1"/>
    <xf numFmtId="9" fontId="2" fillId="0" borderId="1" xfId="0" applyNumberFormat="1" applyFont="1" applyFill="1" applyBorder="1" applyAlignment="1">
      <alignment horizontal="right"/>
    </xf>
    <xf numFmtId="3" fontId="0" fillId="0" borderId="1" xfId="0" applyNumberFormat="1" applyBorder="1"/>
    <xf numFmtId="0" fontId="1" fillId="0" borderId="1" xfId="0" applyFont="1" applyBorder="1" applyAlignment="1">
      <alignment vertical="center"/>
    </xf>
    <xf numFmtId="0" fontId="0" fillId="0" borderId="2" xfId="0" applyFont="1" applyFill="1" applyBorder="1" applyAlignment="1"/>
    <xf numFmtId="0" fontId="0" fillId="6" borderId="0" xfId="0" applyFill="1" applyAlignment="1">
      <alignment wrapText="1"/>
    </xf>
    <xf numFmtId="0" fontId="0" fillId="6" borderId="0" xfId="0" applyFill="1" applyBorder="1" applyAlignment="1">
      <alignment horizontal="center"/>
    </xf>
    <xf numFmtId="0" fontId="16" fillId="6" borderId="0" xfId="0" applyFont="1" applyFill="1"/>
    <xf numFmtId="0" fontId="0" fillId="6" borderId="0" xfId="0" applyFill="1"/>
    <xf numFmtId="167" fontId="0" fillId="6" borderId="0" xfId="1" applyNumberFormat="1" applyFont="1" applyFill="1" applyAlignment="1">
      <alignment horizontal="center" vertical="center"/>
    </xf>
    <xf numFmtId="0" fontId="4" fillId="6" borderId="0" xfId="0" applyFont="1" applyFill="1"/>
    <xf numFmtId="1" fontId="4" fillId="6" borderId="0" xfId="0" applyNumberFormat="1" applyFont="1" applyFill="1"/>
    <xf numFmtId="3" fontId="0" fillId="0" borderId="0" xfId="0" applyNumberFormat="1" applyAlignment="1">
      <alignment horizontal="center" vertical="center"/>
    </xf>
    <xf numFmtId="165" fontId="0" fillId="0" borderId="0" xfId="0" applyNumberFormat="1" applyAlignment="1">
      <alignment horizontal="center" vertical="center"/>
    </xf>
    <xf numFmtId="0" fontId="17" fillId="12" borderId="0" xfId="0" applyFont="1" applyFill="1"/>
    <xf numFmtId="0" fontId="18" fillId="12" borderId="0" xfId="0" applyFont="1" applyFill="1"/>
    <xf numFmtId="0" fontId="1" fillId="0" borderId="1" xfId="0" applyFont="1" applyBorder="1" applyAlignment="1">
      <alignment vertical="top"/>
    </xf>
    <xf numFmtId="0" fontId="2" fillId="0" borderId="0" xfId="0" applyFont="1" applyAlignment="1">
      <alignment vertical="top"/>
    </xf>
    <xf numFmtId="0" fontId="0" fillId="0" borderId="0" xfId="0" applyAlignment="1">
      <alignment vertical="top" wrapText="1"/>
    </xf>
    <xf numFmtId="0" fontId="2" fillId="0" borderId="1" xfId="0" applyFont="1" applyBorder="1" applyAlignment="1">
      <alignment vertical="top"/>
    </xf>
    <xf numFmtId="0" fontId="0" fillId="0" borderId="1" xfId="0" applyBorder="1" applyAlignment="1">
      <alignment vertical="top" wrapText="1"/>
    </xf>
    <xf numFmtId="0" fontId="0" fillId="0" borderId="0" xfId="0" applyAlignment="1">
      <alignment vertical="top"/>
    </xf>
    <xf numFmtId="0" fontId="1" fillId="0" borderId="0" xfId="0" applyFont="1" applyBorder="1" applyAlignment="1">
      <alignment vertical="top"/>
    </xf>
    <xf numFmtId="0" fontId="0" fillId="0" borderId="0" xfId="0" applyBorder="1" applyAlignment="1">
      <alignment vertical="top" wrapText="1"/>
    </xf>
    <xf numFmtId="0" fontId="0" fillId="0" borderId="0" xfId="0" applyBorder="1" applyAlignment="1">
      <alignment vertical="top"/>
    </xf>
    <xf numFmtId="0" fontId="0" fillId="0" borderId="0" xfId="0" applyFont="1" applyBorder="1" applyAlignment="1">
      <alignment vertical="top" wrapText="1"/>
    </xf>
    <xf numFmtId="0" fontId="2" fillId="0" borderId="0" xfId="0" applyFont="1" applyBorder="1" applyAlignment="1">
      <alignment vertical="top"/>
    </xf>
    <xf numFmtId="0" fontId="1" fillId="0" borderId="1" xfId="0" applyFont="1" applyBorder="1" applyAlignment="1">
      <alignment horizontal="left"/>
    </xf>
    <xf numFmtId="0" fontId="0" fillId="0" borderId="0" xfId="0" applyAlignment="1">
      <alignment horizontal="center"/>
    </xf>
    <xf numFmtId="0" fontId="11" fillId="3" borderId="0" xfId="0" applyFont="1" applyFill="1" applyBorder="1" applyAlignment="1">
      <alignment horizontal="left" vertical="center"/>
    </xf>
    <xf numFmtId="43" fontId="13" fillId="0" borderId="0" xfId="1" applyFont="1" applyFill="1" applyBorder="1" applyAlignment="1">
      <alignment horizontal="left" vertical="center" wrapText="1"/>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0" borderId="0" xfId="0" applyFont="1" applyBorder="1" applyAlignment="1">
      <alignment horizontal="left" vertical="center"/>
    </xf>
    <xf numFmtId="0" fontId="0" fillId="9" borderId="0" xfId="0" applyFill="1" applyAlignment="1">
      <alignment horizontal="center" wrapText="1"/>
    </xf>
    <xf numFmtId="0" fontId="0" fillId="9" borderId="0" xfId="0" applyFont="1" applyFill="1" applyBorder="1" applyAlignment="1">
      <alignment horizontal="center" vertical="center"/>
    </xf>
    <xf numFmtId="0" fontId="0" fillId="9" borderId="0" xfId="0" applyFill="1" applyAlignment="1">
      <alignment horizontal="center"/>
    </xf>
    <xf numFmtId="0" fontId="1" fillId="6" borderId="0" xfId="0" applyFont="1" applyFill="1" applyAlignment="1">
      <alignment horizontal="center"/>
    </xf>
    <xf numFmtId="0" fontId="0" fillId="6" borderId="0" xfId="0" applyFill="1" applyAlignment="1">
      <alignment horizontal="center"/>
    </xf>
    <xf numFmtId="0" fontId="1" fillId="10" borderId="0" xfId="0" applyFont="1" applyFill="1" applyAlignment="1">
      <alignment horizontal="center"/>
    </xf>
    <xf numFmtId="0" fontId="0" fillId="10" borderId="0" xfId="0"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1" fillId="0" borderId="0" xfId="0" applyFont="1" applyAlignment="1">
      <alignment horizontal="center"/>
    </xf>
    <xf numFmtId="0" fontId="1" fillId="0" borderId="2" xfId="0" applyFont="1" applyFill="1" applyBorder="1" applyAlignment="1">
      <alignment horizont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Hypotheses!$G$44:$G$94</c:f>
              <c:numCache>
                <c:formatCode>0</c:formatCode>
                <c:ptCount val="51"/>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pt idx="28">
                  <c:v>2053</c:v>
                </c:pt>
                <c:pt idx="29">
                  <c:v>2054</c:v>
                </c:pt>
                <c:pt idx="30">
                  <c:v>2055</c:v>
                </c:pt>
                <c:pt idx="31">
                  <c:v>2056</c:v>
                </c:pt>
                <c:pt idx="32">
                  <c:v>2057</c:v>
                </c:pt>
                <c:pt idx="33">
                  <c:v>2058</c:v>
                </c:pt>
                <c:pt idx="34">
                  <c:v>2059</c:v>
                </c:pt>
                <c:pt idx="35">
                  <c:v>2060</c:v>
                </c:pt>
                <c:pt idx="36">
                  <c:v>2061</c:v>
                </c:pt>
                <c:pt idx="37">
                  <c:v>2062</c:v>
                </c:pt>
                <c:pt idx="38">
                  <c:v>2063</c:v>
                </c:pt>
                <c:pt idx="39">
                  <c:v>2064</c:v>
                </c:pt>
                <c:pt idx="40">
                  <c:v>2065</c:v>
                </c:pt>
                <c:pt idx="41">
                  <c:v>2066</c:v>
                </c:pt>
                <c:pt idx="42">
                  <c:v>2067</c:v>
                </c:pt>
                <c:pt idx="43">
                  <c:v>2068</c:v>
                </c:pt>
                <c:pt idx="44">
                  <c:v>2069</c:v>
                </c:pt>
                <c:pt idx="45">
                  <c:v>2070</c:v>
                </c:pt>
                <c:pt idx="46">
                  <c:v>2071</c:v>
                </c:pt>
                <c:pt idx="47">
                  <c:v>2072</c:v>
                </c:pt>
                <c:pt idx="48">
                  <c:v>2073</c:v>
                </c:pt>
                <c:pt idx="49">
                  <c:v>2074</c:v>
                </c:pt>
                <c:pt idx="50">
                  <c:v>2075</c:v>
                </c:pt>
              </c:numCache>
            </c:numRef>
          </c:xVal>
          <c:yVal>
            <c:numRef>
              <c:f>Hypotheses!$H$44:$H$94</c:f>
              <c:numCache>
                <c:formatCode>0.00</c:formatCode>
                <c:ptCount val="51"/>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numCache>
            </c:numRef>
          </c:yVal>
          <c:smooth val="0"/>
          <c:extLst>
            <c:ext xmlns:c16="http://schemas.microsoft.com/office/drawing/2014/chart" uri="{C3380CC4-5D6E-409C-BE32-E72D297353CC}">
              <c16:uniqueId val="{00000000-B1C8-430D-9E2D-83FB8A3D1868}"/>
            </c:ext>
          </c:extLst>
        </c:ser>
        <c:ser>
          <c:idx val="1"/>
          <c:order val="1"/>
          <c:tx>
            <c:strRef>
              <c:f>Hypotheses!$I$39</c:f>
              <c:strCache>
                <c:ptCount val="1"/>
                <c:pt idx="0">
                  <c:v>0.25</c:v>
                </c:pt>
              </c:strCache>
            </c:strRef>
          </c:tx>
          <c:spPr>
            <a:ln w="19050" cap="rnd">
              <a:solidFill>
                <a:schemeClr val="accent2"/>
              </a:solidFill>
              <a:round/>
            </a:ln>
            <a:effectLst/>
          </c:spPr>
          <c:marker>
            <c:symbol val="none"/>
          </c:marker>
          <c:xVal>
            <c:numRef>
              <c:f>Hypotheses!$G$44:$G$94</c:f>
              <c:numCache>
                <c:formatCode>0</c:formatCode>
                <c:ptCount val="51"/>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pt idx="28">
                  <c:v>2053</c:v>
                </c:pt>
                <c:pt idx="29">
                  <c:v>2054</c:v>
                </c:pt>
                <c:pt idx="30">
                  <c:v>2055</c:v>
                </c:pt>
                <c:pt idx="31">
                  <c:v>2056</c:v>
                </c:pt>
                <c:pt idx="32">
                  <c:v>2057</c:v>
                </c:pt>
                <c:pt idx="33">
                  <c:v>2058</c:v>
                </c:pt>
                <c:pt idx="34">
                  <c:v>2059</c:v>
                </c:pt>
                <c:pt idx="35">
                  <c:v>2060</c:v>
                </c:pt>
                <c:pt idx="36">
                  <c:v>2061</c:v>
                </c:pt>
                <c:pt idx="37">
                  <c:v>2062</c:v>
                </c:pt>
                <c:pt idx="38">
                  <c:v>2063</c:v>
                </c:pt>
                <c:pt idx="39">
                  <c:v>2064</c:v>
                </c:pt>
                <c:pt idx="40">
                  <c:v>2065</c:v>
                </c:pt>
                <c:pt idx="41">
                  <c:v>2066</c:v>
                </c:pt>
                <c:pt idx="42">
                  <c:v>2067</c:v>
                </c:pt>
                <c:pt idx="43">
                  <c:v>2068</c:v>
                </c:pt>
                <c:pt idx="44">
                  <c:v>2069</c:v>
                </c:pt>
                <c:pt idx="45">
                  <c:v>2070</c:v>
                </c:pt>
                <c:pt idx="46">
                  <c:v>2071</c:v>
                </c:pt>
                <c:pt idx="47">
                  <c:v>2072</c:v>
                </c:pt>
                <c:pt idx="48">
                  <c:v>2073</c:v>
                </c:pt>
                <c:pt idx="49">
                  <c:v>2074</c:v>
                </c:pt>
                <c:pt idx="50">
                  <c:v>2075</c:v>
                </c:pt>
              </c:numCache>
            </c:numRef>
          </c:xVal>
          <c:yVal>
            <c:numRef>
              <c:f>Hypotheses!$I$44:$I$94</c:f>
              <c:numCache>
                <c:formatCode>0.00</c:formatCode>
                <c:ptCount val="51"/>
                <c:pt idx="0">
                  <c:v>5.1338570184856977E-2</c:v>
                </c:pt>
                <c:pt idx="1">
                  <c:v>5.2197388526118639E-2</c:v>
                </c:pt>
                <c:pt idx="2">
                  <c:v>5.3597241992418318E-2</c:v>
                </c:pt>
                <c:pt idx="3">
                  <c:v>5.5862446150271264E-2</c:v>
                </c:pt>
                <c:pt idx="4">
                  <c:v>5.9485174635513359E-2</c:v>
                </c:pt>
                <c:pt idx="5">
                  <c:v>6.5171636004248717E-2</c:v>
                </c:pt>
                <c:pt idx="6">
                  <c:v>7.3840584404423509E-2</c:v>
                </c:pt>
                <c:pt idx="7">
                  <c:v>8.6485104761271275E-2</c:v>
                </c:pt>
                <c:pt idx="8">
                  <c:v>0.10378828427399903</c:v>
                </c:pt>
                <c:pt idx="9">
                  <c:v>0.1255081337596291</c:v>
                </c:pt>
                <c:pt idx="10">
                  <c:v>0.15000000000000002</c:v>
                </c:pt>
                <c:pt idx="11">
                  <c:v>0.17449186624037094</c:v>
                </c:pt>
                <c:pt idx="12">
                  <c:v>0.19621171572600099</c:v>
                </c:pt>
                <c:pt idx="13">
                  <c:v>0.21351489523872874</c:v>
                </c:pt>
                <c:pt idx="14">
                  <c:v>0.22615941559557645</c:v>
                </c:pt>
                <c:pt idx="15">
                  <c:v>0.2348283639957513</c:v>
                </c:pt>
                <c:pt idx="16">
                  <c:v>0.24051482536448671</c:v>
                </c:pt>
                <c:pt idx="17">
                  <c:v>0.24413755384972874</c:v>
                </c:pt>
                <c:pt idx="18">
                  <c:v>0.24640275800758171</c:v>
                </c:pt>
                <c:pt idx="19">
                  <c:v>0.24780261147388138</c:v>
                </c:pt>
                <c:pt idx="20">
                  <c:v>0.24866142981514305</c:v>
                </c:pt>
                <c:pt idx="21">
                  <c:v>0.24918597245682078</c:v>
                </c:pt>
                <c:pt idx="22">
                  <c:v>0.24950547536867307</c:v>
                </c:pt>
                <c:pt idx="23">
                  <c:v>0.24969976354865259</c:v>
                </c:pt>
                <c:pt idx="24">
                  <c:v>0.2498177897611199</c:v>
                </c:pt>
                <c:pt idx="25">
                  <c:v>0.24988944427261528</c:v>
                </c:pt>
                <c:pt idx="26">
                  <c:v>0.24993292997390676</c:v>
                </c:pt>
                <c:pt idx="27">
                  <c:v>0.24995931460438897</c:v>
                </c:pt>
                <c:pt idx="28">
                  <c:v>0.24997532108480275</c:v>
                </c:pt>
                <c:pt idx="29">
                  <c:v>0.24998503075449791</c:v>
                </c:pt>
                <c:pt idx="30">
                  <c:v>0.24999092042625953</c:v>
                </c:pt>
                <c:pt idx="31">
                  <c:v>0.24999449286177705</c:v>
                </c:pt>
                <c:pt idx="32">
                  <c:v>0.2499966597156304</c:v>
                </c:pt>
                <c:pt idx="33">
                  <c:v>0.24999797400180385</c:v>
                </c:pt>
                <c:pt idx="34">
                  <c:v>0.24999877116507957</c:v>
                </c:pt>
                <c:pt idx="35">
                  <c:v>0.24999925467214318</c:v>
                </c:pt>
                <c:pt idx="36">
                  <c:v>0.2499995479351404</c:v>
                </c:pt>
                <c:pt idx="37">
                  <c:v>0.24999972580855861</c:v>
                </c:pt>
                <c:pt idx="38">
                  <c:v>0.24999983369439444</c:v>
                </c:pt>
                <c:pt idx="39">
                  <c:v>0.2499998991305184</c:v>
                </c:pt>
                <c:pt idx="40">
                  <c:v>0.24999993881955462</c:v>
                </c:pt>
                <c:pt idx="41">
                  <c:v>0.24999996289217963</c:v>
                </c:pt>
                <c:pt idx="42">
                  <c:v>0.2499999774929676</c:v>
                </c:pt>
                <c:pt idx="43">
                  <c:v>0.24999998634879422</c:v>
                </c:pt>
                <c:pt idx="44">
                  <c:v>0.24999999172012488</c:v>
                </c:pt>
                <c:pt idx="45">
                  <c:v>0.24999999497800179</c:v>
                </c:pt>
                <c:pt idx="46">
                  <c:v>0.2499999969540041</c:v>
                </c:pt>
                <c:pt idx="47">
                  <c:v>0.24999999815251012</c:v>
                </c:pt>
                <c:pt idx="48">
                  <c:v>0.24999999887944074</c:v>
                </c:pt>
                <c:pt idx="49">
                  <c:v>0.24999999932034644</c:v>
                </c:pt>
                <c:pt idx="50">
                  <c:v>0.24999999958776925</c:v>
                </c:pt>
              </c:numCache>
            </c:numRef>
          </c:yVal>
          <c:smooth val="0"/>
          <c:extLst>
            <c:ext xmlns:c16="http://schemas.microsoft.com/office/drawing/2014/chart" uri="{C3380CC4-5D6E-409C-BE32-E72D297353CC}">
              <c16:uniqueId val="{00000003-B1C8-430D-9E2D-83FB8A3D1868}"/>
            </c:ext>
          </c:extLst>
        </c:ser>
        <c:ser>
          <c:idx val="2"/>
          <c:order val="2"/>
          <c:tx>
            <c:strRef>
              <c:f>Hypotheses!$J$39</c:f>
              <c:strCache>
                <c:ptCount val="1"/>
                <c:pt idx="0">
                  <c:v>0.50</c:v>
                </c:pt>
              </c:strCache>
            </c:strRef>
          </c:tx>
          <c:spPr>
            <a:ln w="19050" cap="rnd">
              <a:solidFill>
                <a:schemeClr val="accent3"/>
              </a:solidFill>
              <a:round/>
            </a:ln>
            <a:effectLst/>
          </c:spPr>
          <c:marker>
            <c:symbol val="none"/>
          </c:marker>
          <c:dPt>
            <c:idx val="25"/>
            <c:marker>
              <c:symbol val="none"/>
            </c:marker>
            <c:bubble3D val="0"/>
            <c:extLst>
              <c:ext xmlns:c16="http://schemas.microsoft.com/office/drawing/2014/chart" uri="{C3380CC4-5D6E-409C-BE32-E72D297353CC}">
                <c16:uniqueId val="{00000005-B1C8-430D-9E2D-83FB8A3D1868}"/>
              </c:ext>
            </c:extLst>
          </c:dPt>
          <c:xVal>
            <c:numRef>
              <c:f>Hypotheses!$G$44:$G$94</c:f>
              <c:numCache>
                <c:formatCode>0</c:formatCode>
                <c:ptCount val="51"/>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pt idx="28">
                  <c:v>2053</c:v>
                </c:pt>
                <c:pt idx="29">
                  <c:v>2054</c:v>
                </c:pt>
                <c:pt idx="30">
                  <c:v>2055</c:v>
                </c:pt>
                <c:pt idx="31">
                  <c:v>2056</c:v>
                </c:pt>
                <c:pt idx="32">
                  <c:v>2057</c:v>
                </c:pt>
                <c:pt idx="33">
                  <c:v>2058</c:v>
                </c:pt>
                <c:pt idx="34">
                  <c:v>2059</c:v>
                </c:pt>
                <c:pt idx="35">
                  <c:v>2060</c:v>
                </c:pt>
                <c:pt idx="36">
                  <c:v>2061</c:v>
                </c:pt>
                <c:pt idx="37">
                  <c:v>2062</c:v>
                </c:pt>
                <c:pt idx="38">
                  <c:v>2063</c:v>
                </c:pt>
                <c:pt idx="39">
                  <c:v>2064</c:v>
                </c:pt>
                <c:pt idx="40">
                  <c:v>2065</c:v>
                </c:pt>
                <c:pt idx="41">
                  <c:v>2066</c:v>
                </c:pt>
                <c:pt idx="42">
                  <c:v>2067</c:v>
                </c:pt>
                <c:pt idx="43">
                  <c:v>2068</c:v>
                </c:pt>
                <c:pt idx="44">
                  <c:v>2069</c:v>
                </c:pt>
                <c:pt idx="45">
                  <c:v>2070</c:v>
                </c:pt>
                <c:pt idx="46">
                  <c:v>2071</c:v>
                </c:pt>
                <c:pt idx="47">
                  <c:v>2072</c:v>
                </c:pt>
                <c:pt idx="48">
                  <c:v>2073</c:v>
                </c:pt>
                <c:pt idx="49">
                  <c:v>2074</c:v>
                </c:pt>
                <c:pt idx="50">
                  <c:v>2075</c:v>
                </c:pt>
              </c:numCache>
            </c:numRef>
          </c:xVal>
          <c:yVal>
            <c:numRef>
              <c:f>Hypotheses!$J$44:$J$94</c:f>
              <c:numCache>
                <c:formatCode>0.00</c:formatCode>
                <c:ptCount val="51"/>
                <c:pt idx="0">
                  <c:v>5.3011782915928188E-2</c:v>
                </c:pt>
                <c:pt idx="1">
                  <c:v>5.4944124183766936E-2</c:v>
                </c:pt>
                <c:pt idx="2">
                  <c:v>5.8093794482941205E-2</c:v>
                </c:pt>
                <c:pt idx="3">
                  <c:v>6.319050383811034E-2</c:v>
                </c:pt>
                <c:pt idx="4">
                  <c:v>7.1341642929905053E-2</c:v>
                </c:pt>
                <c:pt idx="5">
                  <c:v>8.4136181009559607E-2</c:v>
                </c:pt>
                <c:pt idx="6">
                  <c:v>0.1036413149099529</c:v>
                </c:pt>
                <c:pt idx="7">
                  <c:v>0.13209148571286036</c:v>
                </c:pt>
                <c:pt idx="8">
                  <c:v>0.1710236396164978</c:v>
                </c:pt>
                <c:pt idx="9">
                  <c:v>0.21989330095916543</c:v>
                </c:pt>
                <c:pt idx="10">
                  <c:v>0.27500000000000002</c:v>
                </c:pt>
                <c:pt idx="11">
                  <c:v>0.33010669904083456</c:v>
                </c:pt>
                <c:pt idx="12">
                  <c:v>0.37897636038350219</c:v>
                </c:pt>
                <c:pt idx="13">
                  <c:v>0.41790851428713965</c:v>
                </c:pt>
                <c:pt idx="14">
                  <c:v>0.44635868509004706</c:v>
                </c:pt>
                <c:pt idx="15">
                  <c:v>0.46586381899044044</c:v>
                </c:pt>
                <c:pt idx="16">
                  <c:v>0.47865835707009502</c:v>
                </c:pt>
                <c:pt idx="17">
                  <c:v>0.48680949616188962</c:v>
                </c:pt>
                <c:pt idx="18">
                  <c:v>0.49190620551705883</c:v>
                </c:pt>
                <c:pt idx="19">
                  <c:v>0.49505587581623306</c:v>
                </c:pt>
                <c:pt idx="20">
                  <c:v>0.49698821708407187</c:v>
                </c:pt>
                <c:pt idx="21">
                  <c:v>0.49816843802784677</c:v>
                </c:pt>
                <c:pt idx="22">
                  <c:v>0.49888731957951438</c:v>
                </c:pt>
                <c:pt idx="23">
                  <c:v>0.49932446798446833</c:v>
                </c:pt>
                <c:pt idx="24">
                  <c:v>0.49959002696251975</c:v>
                </c:pt>
                <c:pt idx="25">
                  <c:v>0.49975124961338441</c:v>
                </c:pt>
                <c:pt idx="26">
                  <c:v>0.49984909244129011</c:v>
                </c:pt>
                <c:pt idx="27">
                  <c:v>0.49990845785987514</c:v>
                </c:pt>
                <c:pt idx="28">
                  <c:v>0.49994447244080614</c:v>
                </c:pt>
                <c:pt idx="29">
                  <c:v>0.49996631919762025</c:v>
                </c:pt>
                <c:pt idx="30">
                  <c:v>0.49997957095908391</c:v>
                </c:pt>
                <c:pt idx="31">
                  <c:v>0.49998760893899841</c:v>
                </c:pt>
                <c:pt idx="32">
                  <c:v>0.49999248436016841</c:v>
                </c:pt>
                <c:pt idx="33">
                  <c:v>0.49999544150405861</c:v>
                </c:pt>
                <c:pt idx="34">
                  <c:v>0.49999723512142902</c:v>
                </c:pt>
                <c:pt idx="35">
                  <c:v>0.49999832301232211</c:v>
                </c:pt>
                <c:pt idx="36">
                  <c:v>0.49999898285406591</c:v>
                </c:pt>
                <c:pt idx="37">
                  <c:v>0.49999938306925684</c:v>
                </c:pt>
                <c:pt idx="38">
                  <c:v>0.49999962581238749</c:v>
                </c:pt>
                <c:pt idx="39">
                  <c:v>0.49999977304366633</c:v>
                </c:pt>
                <c:pt idx="40">
                  <c:v>0.49999986234399785</c:v>
                </c:pt>
                <c:pt idx="41">
                  <c:v>0.49999991650740416</c:v>
                </c:pt>
                <c:pt idx="42">
                  <c:v>0.49999994935917708</c:v>
                </c:pt>
                <c:pt idx="43">
                  <c:v>0.4999999692847869</c:v>
                </c:pt>
                <c:pt idx="44">
                  <c:v>0.49999998137028095</c:v>
                </c:pt>
                <c:pt idx="45">
                  <c:v>0.49999998870050405</c:v>
                </c:pt>
                <c:pt idx="46">
                  <c:v>0.49999999314650923</c:v>
                </c:pt>
                <c:pt idx="47">
                  <c:v>0.49999999584314769</c:v>
                </c:pt>
                <c:pt idx="48">
                  <c:v>0.49999999747874158</c:v>
                </c:pt>
                <c:pt idx="49">
                  <c:v>0.49999999847077947</c:v>
                </c:pt>
                <c:pt idx="50">
                  <c:v>0.49999999907248083</c:v>
                </c:pt>
              </c:numCache>
            </c:numRef>
          </c:yVal>
          <c:smooth val="0"/>
          <c:extLst>
            <c:ext xmlns:c16="http://schemas.microsoft.com/office/drawing/2014/chart" uri="{C3380CC4-5D6E-409C-BE32-E72D297353CC}">
              <c16:uniqueId val="{00000004-B1C8-430D-9E2D-83FB8A3D1868}"/>
            </c:ext>
          </c:extLst>
        </c:ser>
        <c:dLbls>
          <c:showLegendKey val="0"/>
          <c:showVal val="0"/>
          <c:showCatName val="0"/>
          <c:showSerName val="0"/>
          <c:showPercent val="0"/>
          <c:showBubbleSize val="0"/>
        </c:dLbls>
        <c:axId val="857264735"/>
        <c:axId val="857265151"/>
      </c:scatterChart>
      <c:valAx>
        <c:axId val="857264735"/>
        <c:scaling>
          <c:orientation val="minMax"/>
          <c:max val="2075"/>
          <c:min val="2025"/>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57265151"/>
        <c:crosses val="autoZero"/>
        <c:crossBetween val="midCat"/>
      </c:valAx>
      <c:valAx>
        <c:axId val="857265151"/>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57264735"/>
        <c:crosses val="autoZero"/>
        <c:crossBetween val="midCat"/>
        <c:majorUnit val="0.25"/>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w="25400">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Paris_data4Graph!$D$5:$D$126</c:f>
              <c:numCache>
                <c:formatCode>_-* #,##0_-;\-* #,##0_-;_-* "-"??_-;_-@_-</c:formatCode>
                <c:ptCount val="122"/>
                <c:pt idx="0">
                  <c:v>#N/A</c:v>
                </c:pt>
                <c:pt idx="1">
                  <c:v>#N/A</c:v>
                </c:pt>
                <c:pt idx="2">
                  <c:v>#N/A</c:v>
                </c:pt>
                <c:pt idx="3">
                  <c:v>#N/A</c:v>
                </c:pt>
                <c:pt idx="4">
                  <c:v>#N/A</c:v>
                </c:pt>
                <c:pt idx="5">
                  <c:v>#N/A</c:v>
                </c:pt>
                <c:pt idx="6">
                  <c:v>#N/A</c:v>
                </c:pt>
                <c:pt idx="7">
                  <c:v>61.875</c:v>
                </c:pt>
                <c:pt idx="8">
                  <c:v>#N/A</c:v>
                </c:pt>
                <c:pt idx="9">
                  <c:v>#N/A</c:v>
                </c:pt>
                <c:pt idx="10">
                  <c:v>#N/A</c:v>
                </c:pt>
                <c:pt idx="11">
                  <c:v>81.882000000000005</c:v>
                </c:pt>
                <c:pt idx="12">
                  <c:v>#N/A</c:v>
                </c:pt>
                <c:pt idx="13">
                  <c:v>1186.4475</c:v>
                </c:pt>
                <c:pt idx="14">
                  <c:v>#N/A</c:v>
                </c:pt>
                <c:pt idx="15">
                  <c:v>#N/A</c:v>
                </c:pt>
                <c:pt idx="16">
                  <c:v>57.153599999999983</c:v>
                </c:pt>
                <c:pt idx="17">
                  <c:v>39.519999999999996</c:v>
                </c:pt>
                <c:pt idx="18">
                  <c:v>#N/A</c:v>
                </c:pt>
                <c:pt idx="19">
                  <c:v>#N/A</c:v>
                </c:pt>
                <c:pt idx="20">
                  <c:v>43.125</c:v>
                </c:pt>
                <c:pt idx="21">
                  <c:v>61.092000000000006</c:v>
                </c:pt>
                <c:pt idx="22">
                  <c:v>134.86499999999998</c:v>
                </c:pt>
                <c:pt idx="23">
                  <c:v>62.65</c:v>
                </c:pt>
                <c:pt idx="24">
                  <c:v>410.12970000000001</c:v>
                </c:pt>
                <c:pt idx="25">
                  <c:v>66.292500000000004</c:v>
                </c:pt>
                <c:pt idx="26">
                  <c:v>173.29470000000001</c:v>
                </c:pt>
                <c:pt idx="27">
                  <c:v>#N/A</c:v>
                </c:pt>
                <c:pt idx="28">
                  <c:v>48.194999999999993</c:v>
                </c:pt>
                <c:pt idx="29">
                  <c:v>#N/A</c:v>
                </c:pt>
                <c:pt idx="30">
                  <c:v>34.832699999999996</c:v>
                </c:pt>
                <c:pt idx="31">
                  <c:v>17.71875</c:v>
                </c:pt>
                <c:pt idx="32">
                  <c:v>#N/A</c:v>
                </c:pt>
                <c:pt idx="33">
                  <c:v>#N/A</c:v>
                </c:pt>
                <c:pt idx="34">
                  <c:v>96</c:v>
                </c:pt>
                <c:pt idx="35">
                  <c:v>477</c:v>
                </c:pt>
                <c:pt idx="36">
                  <c:v>261.93375000000003</c:v>
                </c:pt>
                <c:pt idx="37">
                  <c:v>#N/A</c:v>
                </c:pt>
                <c:pt idx="38">
                  <c:v>290.58749999999998</c:v>
                </c:pt>
                <c:pt idx="39">
                  <c:v>745.29</c:v>
                </c:pt>
                <c:pt idx="40">
                  <c:v>568.6875</c:v>
                </c:pt>
                <c:pt idx="41">
                  <c:v>#N/A</c:v>
                </c:pt>
                <c:pt idx="42">
                  <c:v>736.45320000000004</c:v>
                </c:pt>
                <c:pt idx="43">
                  <c:v>14.25</c:v>
                </c:pt>
                <c:pt idx="44">
                  <c:v>#N/A</c:v>
                </c:pt>
                <c:pt idx="45">
                  <c:v>968.99999999999989</c:v>
                </c:pt>
                <c:pt idx="46">
                  <c:v>464.43599999999998</c:v>
                </c:pt>
                <c:pt idx="47">
                  <c:v>#N/A</c:v>
                </c:pt>
                <c:pt idx="48">
                  <c:v>173.49299999999999</c:v>
                </c:pt>
                <c:pt idx="49">
                  <c:v>281.88</c:v>
                </c:pt>
                <c:pt idx="50">
                  <c:v>#N/A</c:v>
                </c:pt>
                <c:pt idx="51">
                  <c:v>1300.05</c:v>
                </c:pt>
                <c:pt idx="52">
                  <c:v>281.88</c:v>
                </c:pt>
                <c:pt idx="53">
                  <c:v>158.97359999999998</c:v>
                </c:pt>
                <c:pt idx="54">
                  <c:v>188.28</c:v>
                </c:pt>
                <c:pt idx="55">
                  <c:v>#N/A</c:v>
                </c:pt>
                <c:pt idx="56">
                  <c:v>69.189120000000003</c:v>
                </c:pt>
                <c:pt idx="57">
                  <c:v>79.38</c:v>
                </c:pt>
                <c:pt idx="58">
                  <c:v>351</c:v>
                </c:pt>
                <c:pt idx="59">
                  <c:v>#N/A</c:v>
                </c:pt>
                <c:pt idx="60">
                  <c:v>#N/A</c:v>
                </c:pt>
                <c:pt idx="61">
                  <c:v>675</c:v>
                </c:pt>
                <c:pt idx="62">
                  <c:v>290.58749999999998</c:v>
                </c:pt>
                <c:pt idx="63">
                  <c:v>231.20000000000002</c:v>
                </c:pt>
                <c:pt idx="64">
                  <c:v>1010.4528</c:v>
                </c:pt>
                <c:pt idx="65">
                  <c:v>#N/A</c:v>
                </c:pt>
                <c:pt idx="66">
                  <c:v>239.4</c:v>
                </c:pt>
                <c:pt idx="67">
                  <c:v>#N/A</c:v>
                </c:pt>
                <c:pt idx="68">
                  <c:v>169.04</c:v>
                </c:pt>
                <c:pt idx="69">
                  <c:v>#N/A</c:v>
                </c:pt>
                <c:pt idx="70">
                  <c:v>1346.2497000000001</c:v>
                </c:pt>
                <c:pt idx="71">
                  <c:v>818.39530000000002</c:v>
                </c:pt>
                <c:pt idx="72">
                  <c:v>409.5</c:v>
                </c:pt>
                <c:pt idx="73">
                  <c:v>#N/A</c:v>
                </c:pt>
                <c:pt idx="74">
                  <c:v>870.32</c:v>
                </c:pt>
                <c:pt idx="75">
                  <c:v>967.83333333333326</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BFC1-4137-95A7-F64913571E13}"/>
            </c:ext>
          </c:extLst>
        </c:ser>
        <c:ser>
          <c:idx val="1"/>
          <c:order val="1"/>
          <c:tx>
            <c:v>future</c:v>
          </c:tx>
          <c:spPr>
            <a:solidFill>
              <a:schemeClr val="accent2"/>
            </a:solidFill>
            <a:ln w="25400">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Paris_data4Graph!$E$5:$E$126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156.41500000000002</c:v>
                </c:pt>
                <c:pt idx="78">
                  <c:v>#N/A</c:v>
                </c:pt>
                <c:pt idx="79">
                  <c:v>#N/A</c:v>
                </c:pt>
                <c:pt idx="80">
                  <c:v>#N/A</c:v>
                </c:pt>
                <c:pt idx="81">
                  <c:v>#N/A</c:v>
                </c:pt>
                <c:pt idx="82">
                  <c:v>242.95320000000004</c:v>
                </c:pt>
                <c:pt idx="83">
                  <c:v>#N/A</c:v>
                </c:pt>
                <c:pt idx="84">
                  <c:v>#N/A</c:v>
                </c:pt>
                <c:pt idx="85">
                  <c:v>918</c:v>
                </c:pt>
                <c:pt idx="86">
                  <c:v>464.43599999999998</c:v>
                </c:pt>
                <c:pt idx="87">
                  <c:v>#N/A</c:v>
                </c:pt>
                <c:pt idx="88">
                  <c:v>163.125</c:v>
                </c:pt>
                <c:pt idx="89">
                  <c:v>148.76999999999998</c:v>
                </c:pt>
                <c:pt idx="90">
                  <c:v>#N/A</c:v>
                </c:pt>
                <c:pt idx="91">
                  <c:v>1300.05</c:v>
                </c:pt>
                <c:pt idx="92">
                  <c:v>#N/A</c:v>
                </c:pt>
                <c:pt idx="93">
                  <c:v>158.97359999999998</c:v>
                </c:pt>
                <c:pt idx="94">
                  <c:v>188.28</c:v>
                </c:pt>
                <c:pt idx="95">
                  <c:v>#N/A</c:v>
                </c:pt>
                <c:pt idx="96">
                  <c:v>#N/A</c:v>
                </c:pt>
                <c:pt idx="97">
                  <c:v>79.38</c:v>
                </c:pt>
                <c:pt idx="98">
                  <c:v>135</c:v>
                </c:pt>
                <c:pt idx="99">
                  <c:v>#N/A</c:v>
                </c:pt>
                <c:pt idx="100">
                  <c:v>#N/A</c:v>
                </c:pt>
                <c:pt idx="101">
                  <c:v>675</c:v>
                </c:pt>
                <c:pt idx="102">
                  <c:v>290.58749999999998</c:v>
                </c:pt>
                <c:pt idx="103">
                  <c:v>#N/A</c:v>
                </c:pt>
                <c:pt idx="104">
                  <c:v>901.15679999999998</c:v>
                </c:pt>
                <c:pt idx="105">
                  <c:v>#N/A</c:v>
                </c:pt>
                <c:pt idx="106">
                  <c:v>239.4</c:v>
                </c:pt>
                <c:pt idx="107">
                  <c:v>#N/A</c:v>
                </c:pt>
                <c:pt idx="108">
                  <c:v>#N/A</c:v>
                </c:pt>
                <c:pt idx="109">
                  <c:v>#N/A</c:v>
                </c:pt>
                <c:pt idx="110">
                  <c:v>1279.75</c:v>
                </c:pt>
                <c:pt idx="111">
                  <c:v>818.39530000000002</c:v>
                </c:pt>
                <c:pt idx="112">
                  <c:v>409.5</c:v>
                </c:pt>
                <c:pt idx="113">
                  <c:v>#N/A</c:v>
                </c:pt>
                <c:pt idx="114">
                  <c:v>870.32</c:v>
                </c:pt>
                <c:pt idx="115">
                  <c:v>490.83333333333326</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2-BFC1-4137-95A7-F64913571E13}"/>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Paris_data4Graph!$F$5:$F$126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342.92159999999996</c:v>
                </c:pt>
                <c:pt idx="17">
                  <c:v>150.17599999999999</c:v>
                </c:pt>
                <c:pt idx="18">
                  <c:v>138.2304</c:v>
                </c:pt>
                <c:pt idx="19">
                  <c:v>247</c:v>
                </c:pt>
                <c:pt idx="20">
                  <c:v>647.29999999999995</c:v>
                </c:pt>
                <c:pt idx="21">
                  <c:v>216.89600000000002</c:v>
                </c:pt>
                <c:pt idx="22">
                  <c:v>1029.7599999999998</c:v>
                </c:pt>
                <c:pt idx="23">
                  <c:v>505.90000000000003</c:v>
                </c:pt>
                <c:pt idx="24">
                  <c:v>2456.1228499999997</c:v>
                </c:pt>
                <c:pt idx="25">
                  <c:v>1507.806</c:v>
                </c:pt>
                <c:pt idx="26">
                  <c:v>117.4</c:v>
                </c:pt>
                <c:pt idx="27">
                  <c:v>#N/A</c:v>
                </c:pt>
                <c:pt idx="28">
                  <c:v>267.75</c:v>
                </c:pt>
                <c:pt idx="29">
                  <c:v>#N/A</c:v>
                </c:pt>
                <c:pt idx="30">
                  <c:v>92.887199999999993</c:v>
                </c:pt>
                <c:pt idx="31">
                  <c:v>531.58000000000004</c:v>
                </c:pt>
                <c:pt idx="32">
                  <c:v>541.83079999999995</c:v>
                </c:pt>
                <c:pt idx="33">
                  <c:v>711.39540000000011</c:v>
                </c:pt>
                <c:pt idx="34">
                  <c:v>845.15499999999997</c:v>
                </c:pt>
                <c:pt idx="35">
                  <c:v>1683.8863200000001</c:v>
                </c:pt>
                <c:pt idx="36">
                  <c:v>864.36618750000002</c:v>
                </c:pt>
                <c:pt idx="37">
                  <c:v>#N/A</c:v>
                </c:pt>
                <c:pt idx="38">
                  <c:v>703.03139999999996</c:v>
                </c:pt>
                <c:pt idx="39">
                  <c:v>270.2448</c:v>
                </c:pt>
                <c:pt idx="40">
                  <c:v>429.67500000000001</c:v>
                </c:pt>
                <c:pt idx="41">
                  <c:v>#N/A</c:v>
                </c:pt>
                <c:pt idx="42">
                  <c:v>616.12735999999995</c:v>
                </c:pt>
                <c:pt idx="43">
                  <c:v>48.149999999999991</c:v>
                </c:pt>
                <c:pt idx="44">
                  <c:v>163.3905</c:v>
                </c:pt>
                <c:pt idx="45">
                  <c:v>1468.8</c:v>
                </c:pt>
                <c:pt idx="46">
                  <c:v>296.28719999999998</c:v>
                </c:pt>
                <c:pt idx="47">
                  <c:v>#N/A</c:v>
                </c:pt>
                <c:pt idx="48">
                  <c:v>1034.7021</c:v>
                </c:pt>
                <c:pt idx="49">
                  <c:v>596.67200000000003</c:v>
                </c:pt>
                <c:pt idx="50">
                  <c:v>241.5</c:v>
                </c:pt>
                <c:pt idx="51">
                  <c:v>2464.02</c:v>
                </c:pt>
                <c:pt idx="52">
                  <c:v>638.97699999999998</c:v>
                </c:pt>
                <c:pt idx="53">
                  <c:v>614.04160000000002</c:v>
                </c:pt>
                <c:pt idx="54">
                  <c:v>1251.72</c:v>
                </c:pt>
                <c:pt idx="55">
                  <c:v>1376.3394000000001</c:v>
                </c:pt>
                <c:pt idx="56">
                  <c:v>430.58735999999993</c:v>
                </c:pt>
                <c:pt idx="57">
                  <c:v>639.53199999999993</c:v>
                </c:pt>
                <c:pt idx="58">
                  <c:v>1767.4649999999999</c:v>
                </c:pt>
                <c:pt idx="59">
                  <c:v>221.94</c:v>
                </c:pt>
                <c:pt idx="60">
                  <c:v>852.89715000000001</c:v>
                </c:pt>
                <c:pt idx="61">
                  <c:v>1291.4999999999998</c:v>
                </c:pt>
                <c:pt idx="62">
                  <c:v>464.94</c:v>
                </c:pt>
                <c:pt idx="63">
                  <c:v>#N/A</c:v>
                </c:pt>
                <c:pt idx="64">
                  <c:v>1831.1227999999999</c:v>
                </c:pt>
                <c:pt idx="65">
                  <c:v>380</c:v>
                </c:pt>
                <c:pt idx="66">
                  <c:v>226.8</c:v>
                </c:pt>
                <c:pt idx="67">
                  <c:v>270.2448</c:v>
                </c:pt>
                <c:pt idx="68">
                  <c:v>496.31099999999998</c:v>
                </c:pt>
                <c:pt idx="69">
                  <c:v>647.68000000000006</c:v>
                </c:pt>
                <c:pt idx="70">
                  <c:v>2877.3821699999999</c:v>
                </c:pt>
                <c:pt idx="71">
                  <c:v>1780.8462999999997</c:v>
                </c:pt>
                <c:pt idx="72">
                  <c:v>2269.7280000000001</c:v>
                </c:pt>
                <c:pt idx="73">
                  <c:v>943.10400000000004</c:v>
                </c:pt>
                <c:pt idx="74">
                  <c:v>1853.9313749999999</c:v>
                </c:pt>
                <c:pt idx="75">
                  <c:v>3010.4256342857143</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74D5-4404-AA96-D04865EE9C09}"/>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Paris_data4Graph!$G$5:$G$126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139.01118750000001</c:v>
                </c:pt>
                <c:pt idx="77">
                  <c:v>3075.8350000000005</c:v>
                </c:pt>
                <c:pt idx="78">
                  <c:v>238.09139999999999</c:v>
                </c:pt>
                <c:pt idx="79">
                  <c:v>#N/A</c:v>
                </c:pt>
                <c:pt idx="80">
                  <c:v>429.67500000000001</c:v>
                </c:pt>
                <c:pt idx="81">
                  <c:v>#N/A</c:v>
                </c:pt>
                <c:pt idx="82">
                  <c:v>168.68736000000001</c:v>
                </c:pt>
                <c:pt idx="83">
                  <c:v>#N/A</c:v>
                </c:pt>
                <c:pt idx="84">
                  <c:v>163.3905</c:v>
                </c:pt>
                <c:pt idx="85">
                  <c:v>1468.8</c:v>
                </c:pt>
                <c:pt idx="86">
                  <c:v>92.887199999999993</c:v>
                </c:pt>
                <c:pt idx="87">
                  <c:v>#N/A</c:v>
                </c:pt>
                <c:pt idx="88">
                  <c:v>827.74079999999992</c:v>
                </c:pt>
                <c:pt idx="89">
                  <c:v>596.67200000000003</c:v>
                </c:pt>
                <c:pt idx="90">
                  <c:v>241.5</c:v>
                </c:pt>
                <c:pt idx="91">
                  <c:v>2464.02</c:v>
                </c:pt>
                <c:pt idx="92">
                  <c:v>400.94499999999999</c:v>
                </c:pt>
                <c:pt idx="93">
                  <c:v>614.04160000000002</c:v>
                </c:pt>
                <c:pt idx="94">
                  <c:v>1251.72</c:v>
                </c:pt>
                <c:pt idx="95">
                  <c:v>1271.0394000000001</c:v>
                </c:pt>
                <c:pt idx="96">
                  <c:v>430.58735999999993</c:v>
                </c:pt>
                <c:pt idx="97">
                  <c:v>639.53199999999993</c:v>
                </c:pt>
                <c:pt idx="98">
                  <c:v>1767.4649999999999</c:v>
                </c:pt>
                <c:pt idx="99">
                  <c:v>221.94</c:v>
                </c:pt>
                <c:pt idx="100">
                  <c:v>852.89715000000001</c:v>
                </c:pt>
                <c:pt idx="101">
                  <c:v>1291.4999999999998</c:v>
                </c:pt>
                <c:pt idx="102">
                  <c:v>464.94</c:v>
                </c:pt>
                <c:pt idx="103">
                  <c:v>1058.4000000000001</c:v>
                </c:pt>
                <c:pt idx="104">
                  <c:v>1831.1227999999999</c:v>
                </c:pt>
                <c:pt idx="105">
                  <c:v>380</c:v>
                </c:pt>
                <c:pt idx="106">
                  <c:v>226.8</c:v>
                </c:pt>
                <c:pt idx="107">
                  <c:v>270.2448</c:v>
                </c:pt>
                <c:pt idx="108">
                  <c:v>496.31099999999998</c:v>
                </c:pt>
                <c:pt idx="109">
                  <c:v>647.68000000000006</c:v>
                </c:pt>
                <c:pt idx="110">
                  <c:v>2877.3821699999999</c:v>
                </c:pt>
                <c:pt idx="111">
                  <c:v>1780.8462999999997</c:v>
                </c:pt>
                <c:pt idx="112">
                  <c:v>2220.7280000000001</c:v>
                </c:pt>
                <c:pt idx="113">
                  <c:v>663.16800000000001</c:v>
                </c:pt>
                <c:pt idx="114">
                  <c:v>1468.7763749999999</c:v>
                </c:pt>
                <c:pt idx="115">
                  <c:v>1565.035714285714</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74D5-4404-AA96-D04865EE9C09}"/>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Paris_data4Graph!$B$5:$B$126</c:f>
              <c:numCache>
                <c:formatCode>_-* #,##0_-;\-* #,##0_-;_-* "-"??_-;_-@_-</c:formatCode>
                <c:ptCount val="122"/>
                <c:pt idx="0">
                  <c:v>#N/A</c:v>
                </c:pt>
                <c:pt idx="1">
                  <c:v>#N/A</c:v>
                </c:pt>
                <c:pt idx="2">
                  <c:v>#N/A</c:v>
                </c:pt>
                <c:pt idx="3">
                  <c:v>#N/A</c:v>
                </c:pt>
                <c:pt idx="4">
                  <c:v>#N/A</c:v>
                </c:pt>
                <c:pt idx="5">
                  <c:v>#N/A</c:v>
                </c:pt>
                <c:pt idx="6">
                  <c:v>#N/A</c:v>
                </c:pt>
                <c:pt idx="7">
                  <c:v>61.875</c:v>
                </c:pt>
                <c:pt idx="8">
                  <c:v>#N/A</c:v>
                </c:pt>
                <c:pt idx="9">
                  <c:v>#N/A</c:v>
                </c:pt>
                <c:pt idx="10">
                  <c:v>#N/A</c:v>
                </c:pt>
                <c:pt idx="11">
                  <c:v>81.882000000000005</c:v>
                </c:pt>
                <c:pt idx="12">
                  <c:v>#N/A</c:v>
                </c:pt>
                <c:pt idx="13">
                  <c:v>1186.4475</c:v>
                </c:pt>
                <c:pt idx="14">
                  <c:v>#N/A</c:v>
                </c:pt>
                <c:pt idx="15">
                  <c:v>#N/A</c:v>
                </c:pt>
                <c:pt idx="16">
                  <c:v>400.07519999999994</c:v>
                </c:pt>
                <c:pt idx="17">
                  <c:v>189.69599999999997</c:v>
                </c:pt>
                <c:pt idx="18">
                  <c:v>138.2304</c:v>
                </c:pt>
                <c:pt idx="19">
                  <c:v>247</c:v>
                </c:pt>
                <c:pt idx="20">
                  <c:v>690.42499999999995</c:v>
                </c:pt>
                <c:pt idx="21">
                  <c:v>277.988</c:v>
                </c:pt>
                <c:pt idx="22">
                  <c:v>1164.6249999999998</c:v>
                </c:pt>
                <c:pt idx="23">
                  <c:v>568.54999999999995</c:v>
                </c:pt>
                <c:pt idx="24">
                  <c:v>2866.2525500000002</c:v>
                </c:pt>
                <c:pt idx="25">
                  <c:v>1574.0985000000001</c:v>
                </c:pt>
                <c:pt idx="26">
                  <c:v>290.69470000000001</c:v>
                </c:pt>
                <c:pt idx="27">
                  <c:v>#N/A</c:v>
                </c:pt>
                <c:pt idx="28">
                  <c:v>315.94499999999999</c:v>
                </c:pt>
                <c:pt idx="29">
                  <c:v>#N/A</c:v>
                </c:pt>
                <c:pt idx="30">
                  <c:v>127.7199</c:v>
                </c:pt>
                <c:pt idx="31">
                  <c:v>549.29875000000004</c:v>
                </c:pt>
                <c:pt idx="32">
                  <c:v>541.83079999999995</c:v>
                </c:pt>
                <c:pt idx="33">
                  <c:v>711.39540000000011</c:v>
                </c:pt>
                <c:pt idx="34">
                  <c:v>941.15499999999997</c:v>
                </c:pt>
                <c:pt idx="35">
                  <c:v>2160.8863200000001</c:v>
                </c:pt>
                <c:pt idx="36">
                  <c:v>1126.2999374999999</c:v>
                </c:pt>
                <c:pt idx="37">
                  <c:v>#N/A</c:v>
                </c:pt>
                <c:pt idx="38">
                  <c:v>993.61889999999994</c:v>
                </c:pt>
                <c:pt idx="39">
                  <c:v>1015.5347999999999</c:v>
                </c:pt>
                <c:pt idx="40">
                  <c:v>998.36249999999995</c:v>
                </c:pt>
                <c:pt idx="41">
                  <c:v>#N/A</c:v>
                </c:pt>
                <c:pt idx="42">
                  <c:v>1352.5805600000001</c:v>
                </c:pt>
                <c:pt idx="43">
                  <c:v>62.399999999999991</c:v>
                </c:pt>
                <c:pt idx="44">
                  <c:v>163.3905</c:v>
                </c:pt>
                <c:pt idx="45">
                  <c:v>2437.7999999999997</c:v>
                </c:pt>
                <c:pt idx="46">
                  <c:v>760.72319999999991</c:v>
                </c:pt>
                <c:pt idx="47">
                  <c:v>#N/A</c:v>
                </c:pt>
                <c:pt idx="48">
                  <c:v>1208.1950999999999</c:v>
                </c:pt>
                <c:pt idx="49">
                  <c:v>878.55200000000002</c:v>
                </c:pt>
                <c:pt idx="50">
                  <c:v>241.5</c:v>
                </c:pt>
                <c:pt idx="51">
                  <c:v>3764.0699999999997</c:v>
                </c:pt>
                <c:pt idx="52">
                  <c:v>920.85700000000008</c:v>
                </c:pt>
                <c:pt idx="53">
                  <c:v>773.01519999999994</c:v>
                </c:pt>
                <c:pt idx="54">
                  <c:v>1440</c:v>
                </c:pt>
                <c:pt idx="55">
                  <c:v>1376.3394000000001</c:v>
                </c:pt>
                <c:pt idx="56">
                  <c:v>499.77647999999994</c:v>
                </c:pt>
                <c:pt idx="57">
                  <c:v>718.91199999999992</c:v>
                </c:pt>
                <c:pt idx="58">
                  <c:v>2118.4650000000001</c:v>
                </c:pt>
                <c:pt idx="59">
                  <c:v>221.94</c:v>
                </c:pt>
                <c:pt idx="60">
                  <c:v>852.89715000000001</c:v>
                </c:pt>
                <c:pt idx="61">
                  <c:v>1966.4999999999998</c:v>
                </c:pt>
                <c:pt idx="62">
                  <c:v>755.52749999999992</c:v>
                </c:pt>
                <c:pt idx="63">
                  <c:v>1289.6000000000001</c:v>
                </c:pt>
                <c:pt idx="64">
                  <c:v>2841.5755999999997</c:v>
                </c:pt>
                <c:pt idx="65">
                  <c:v>380</c:v>
                </c:pt>
                <c:pt idx="66">
                  <c:v>466.20000000000005</c:v>
                </c:pt>
                <c:pt idx="67">
                  <c:v>270.2448</c:v>
                </c:pt>
                <c:pt idx="68">
                  <c:v>665.351</c:v>
                </c:pt>
                <c:pt idx="69">
                  <c:v>647.68000000000006</c:v>
                </c:pt>
                <c:pt idx="70">
                  <c:v>4223.6318700000002</c:v>
                </c:pt>
                <c:pt idx="71">
                  <c:v>2599.2415999999998</c:v>
                </c:pt>
                <c:pt idx="72">
                  <c:v>2679.2280000000001</c:v>
                </c:pt>
                <c:pt idx="73">
                  <c:v>943.10400000000004</c:v>
                </c:pt>
                <c:pt idx="74">
                  <c:v>2724.2513749999998</c:v>
                </c:pt>
                <c:pt idx="75">
                  <c:v>3978.2589676190473</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36BA-43ED-8B79-E89E5BD4B779}"/>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Paris_data4Graph!$C$5:$C$126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139.01118750000001</c:v>
                </c:pt>
                <c:pt idx="77">
                  <c:v>3232.2500000000005</c:v>
                </c:pt>
                <c:pt idx="78">
                  <c:v>238.09139999999999</c:v>
                </c:pt>
                <c:pt idx="79">
                  <c:v>#N/A</c:v>
                </c:pt>
                <c:pt idx="80">
                  <c:v>429.67500000000001</c:v>
                </c:pt>
                <c:pt idx="81">
                  <c:v>#N/A</c:v>
                </c:pt>
                <c:pt idx="82">
                  <c:v>411.64056000000005</c:v>
                </c:pt>
                <c:pt idx="83">
                  <c:v>#N/A</c:v>
                </c:pt>
                <c:pt idx="84">
                  <c:v>163.3905</c:v>
                </c:pt>
                <c:pt idx="85">
                  <c:v>2386.8000000000002</c:v>
                </c:pt>
                <c:pt idx="86">
                  <c:v>557.32319999999993</c:v>
                </c:pt>
                <c:pt idx="87">
                  <c:v>#N/A</c:v>
                </c:pt>
                <c:pt idx="88">
                  <c:v>990.86579999999992</c:v>
                </c:pt>
                <c:pt idx="89">
                  <c:v>745.44200000000001</c:v>
                </c:pt>
                <c:pt idx="90">
                  <c:v>241.5</c:v>
                </c:pt>
                <c:pt idx="91">
                  <c:v>3764.0699999999997</c:v>
                </c:pt>
                <c:pt idx="92">
                  <c:v>400.94499999999999</c:v>
                </c:pt>
                <c:pt idx="93">
                  <c:v>773.01519999999994</c:v>
                </c:pt>
                <c:pt idx="94">
                  <c:v>1440</c:v>
                </c:pt>
                <c:pt idx="95">
                  <c:v>1271.0394000000001</c:v>
                </c:pt>
                <c:pt idx="96">
                  <c:v>430.58735999999993</c:v>
                </c:pt>
                <c:pt idx="97">
                  <c:v>718.91199999999992</c:v>
                </c:pt>
                <c:pt idx="98">
                  <c:v>1902.4649999999999</c:v>
                </c:pt>
                <c:pt idx="99">
                  <c:v>221.94</c:v>
                </c:pt>
                <c:pt idx="100">
                  <c:v>852.89715000000001</c:v>
                </c:pt>
                <c:pt idx="101">
                  <c:v>1966.4999999999998</c:v>
                </c:pt>
                <c:pt idx="102">
                  <c:v>755.52749999999992</c:v>
                </c:pt>
                <c:pt idx="103">
                  <c:v>1058.4000000000001</c:v>
                </c:pt>
                <c:pt idx="104">
                  <c:v>2732.2795999999998</c:v>
                </c:pt>
                <c:pt idx="105">
                  <c:v>380</c:v>
                </c:pt>
                <c:pt idx="106">
                  <c:v>466.20000000000005</c:v>
                </c:pt>
                <c:pt idx="107">
                  <c:v>270.2448</c:v>
                </c:pt>
                <c:pt idx="108">
                  <c:v>496.31099999999998</c:v>
                </c:pt>
                <c:pt idx="109">
                  <c:v>647.68000000000006</c:v>
                </c:pt>
                <c:pt idx="110">
                  <c:v>4157.1321699999999</c:v>
                </c:pt>
                <c:pt idx="111">
                  <c:v>2599.2415999999998</c:v>
                </c:pt>
                <c:pt idx="112">
                  <c:v>2630.2280000000001</c:v>
                </c:pt>
                <c:pt idx="113">
                  <c:v>663.16800000000001</c:v>
                </c:pt>
                <c:pt idx="114">
                  <c:v>2339.0963750000001</c:v>
                </c:pt>
                <c:pt idx="115">
                  <c:v>2055.8690476190473</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36BA-43ED-8B79-E89E5BD4B779}"/>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Paris_data4Graph!$H$5:$H$126</c:f>
              <c:numCache>
                <c:formatCode>_-* #,##0_-;\-* #,##0_-;_-* "-"??_-;_-@_-</c:formatCode>
                <c:ptCount val="122"/>
                <c:pt idx="0">
                  <c:v>#N/A</c:v>
                </c:pt>
                <c:pt idx="1">
                  <c:v>#N/A</c:v>
                </c:pt>
                <c:pt idx="2">
                  <c:v>#N/A</c:v>
                </c:pt>
                <c:pt idx="3">
                  <c:v>#N/A</c:v>
                </c:pt>
                <c:pt idx="4">
                  <c:v>#N/A</c:v>
                </c:pt>
                <c:pt idx="5">
                  <c:v>#N/A</c:v>
                </c:pt>
                <c:pt idx="6">
                  <c:v>#N/A</c:v>
                </c:pt>
                <c:pt idx="7">
                  <c:v>13.2</c:v>
                </c:pt>
                <c:pt idx="8">
                  <c:v>#N/A</c:v>
                </c:pt>
                <c:pt idx="9">
                  <c:v>#N/A</c:v>
                </c:pt>
                <c:pt idx="10">
                  <c:v>#N/A</c:v>
                </c:pt>
                <c:pt idx="11">
                  <c:v>14.48048</c:v>
                </c:pt>
                <c:pt idx="12">
                  <c:v>#N/A</c:v>
                </c:pt>
                <c:pt idx="13">
                  <c:v>78.126000000000005</c:v>
                </c:pt>
                <c:pt idx="14">
                  <c:v>#N/A</c:v>
                </c:pt>
                <c:pt idx="15">
                  <c:v>#N/A</c:v>
                </c:pt>
                <c:pt idx="16">
                  <c:v>33.984000000000002</c:v>
                </c:pt>
                <c:pt idx="17">
                  <c:v>19.364800000000002</c:v>
                </c:pt>
                <c:pt idx="18">
                  <c:v>7.7492800000000006</c:v>
                </c:pt>
                <c:pt idx="19">
                  <c:v>18.999999999999996</c:v>
                </c:pt>
                <c:pt idx="20">
                  <c:v>46.395000000000003</c:v>
                </c:pt>
                <c:pt idx="21">
                  <c:v>13.804</c:v>
                </c:pt>
                <c:pt idx="22">
                  <c:v>59.177000000000007</c:v>
                </c:pt>
                <c:pt idx="23">
                  <c:v>50.253333333333337</c:v>
                </c:pt>
                <c:pt idx="24">
                  <c:v>259.57946666666669</c:v>
                </c:pt>
                <c:pt idx="25">
                  <c:v>91.237953846153843</c:v>
                </c:pt>
                <c:pt idx="26">
                  <c:v>35.632972307692313</c:v>
                </c:pt>
                <c:pt idx="27">
                  <c:v>#N/A</c:v>
                </c:pt>
                <c:pt idx="28">
                  <c:v>29.75</c:v>
                </c:pt>
                <c:pt idx="29">
                  <c:v>#N/A</c:v>
                </c:pt>
                <c:pt idx="30">
                  <c:v>10.5924</c:v>
                </c:pt>
                <c:pt idx="31">
                  <c:v>25.824999999999999</c:v>
                </c:pt>
                <c:pt idx="32">
                  <c:v>40.691900000000004</c:v>
                </c:pt>
                <c:pt idx="33">
                  <c:v>41.081531764705879</c:v>
                </c:pt>
                <c:pt idx="34">
                  <c:v>41.762285714285717</c:v>
                </c:pt>
                <c:pt idx="35">
                  <c:v>242.43727999999999</c:v>
                </c:pt>
                <c:pt idx="36">
                  <c:v>120.66305000000001</c:v>
                </c:pt>
                <c:pt idx="37">
                  <c:v>#N/A</c:v>
                </c:pt>
                <c:pt idx="38">
                  <c:v>77.58972</c:v>
                </c:pt>
                <c:pt idx="39">
                  <c:v>77.212800000000001</c:v>
                </c:pt>
                <c:pt idx="40">
                  <c:v>67.356233766233771</c:v>
                </c:pt>
                <c:pt idx="41">
                  <c:v>#N/A</c:v>
                </c:pt>
                <c:pt idx="42">
                  <c:v>67.628786666666656</c:v>
                </c:pt>
                <c:pt idx="43">
                  <c:v>4.9933333333333341</c:v>
                </c:pt>
                <c:pt idx="44">
                  <c:v>21.475999999999999</c:v>
                </c:pt>
                <c:pt idx="45">
                  <c:v>97.92</c:v>
                </c:pt>
                <c:pt idx="46">
                  <c:v>52.771007999999995</c:v>
                </c:pt>
                <c:pt idx="47">
                  <c:v>#N/A</c:v>
                </c:pt>
                <c:pt idx="48">
                  <c:v>103.85296</c:v>
                </c:pt>
                <c:pt idx="49">
                  <c:v>59.210840000000005</c:v>
                </c:pt>
                <c:pt idx="50">
                  <c:v>16.28</c:v>
                </c:pt>
                <c:pt idx="51">
                  <c:v>214.16849999999997</c:v>
                </c:pt>
                <c:pt idx="52">
                  <c:v>58.3264</c:v>
                </c:pt>
                <c:pt idx="53">
                  <c:v>71.603000000000009</c:v>
                </c:pt>
                <c:pt idx="54">
                  <c:v>75.314666666666668</c:v>
                </c:pt>
                <c:pt idx="55">
                  <c:v>50.075280000000006</c:v>
                </c:pt>
                <c:pt idx="56">
                  <c:v>45.430199999999999</c:v>
                </c:pt>
                <c:pt idx="57">
                  <c:v>48.974533333333341</c:v>
                </c:pt>
                <c:pt idx="58">
                  <c:v>137.2839619047619</c:v>
                </c:pt>
                <c:pt idx="59">
                  <c:v>10.521600000000001</c:v>
                </c:pt>
                <c:pt idx="60">
                  <c:v>79.408000000000001</c:v>
                </c:pt>
                <c:pt idx="61">
                  <c:v>119.05185185185184</c:v>
                </c:pt>
                <c:pt idx="62">
                  <c:v>66.42</c:v>
                </c:pt>
                <c:pt idx="63">
                  <c:v>22.819555555555553</c:v>
                </c:pt>
                <c:pt idx="64">
                  <c:v>115.4928888888889</c:v>
                </c:pt>
                <c:pt idx="65">
                  <c:v>22</c:v>
                </c:pt>
                <c:pt idx="66">
                  <c:v>11.016</c:v>
                </c:pt>
                <c:pt idx="67">
                  <c:v>77.212800000000001</c:v>
                </c:pt>
                <c:pt idx="68">
                  <c:v>70.259205333333341</c:v>
                </c:pt>
                <c:pt idx="69">
                  <c:v>53.061866666666667</c:v>
                </c:pt>
                <c:pt idx="70">
                  <c:v>298.24272000000002</c:v>
                </c:pt>
                <c:pt idx="71">
                  <c:v>89.518946666666679</c:v>
                </c:pt>
                <c:pt idx="72">
                  <c:v>134.1198</c:v>
                </c:pt>
                <c:pt idx="73">
                  <c:v>46.897411764705879</c:v>
                </c:pt>
                <c:pt idx="74">
                  <c:v>197.63813333333331</c:v>
                </c:pt>
                <c:pt idx="75">
                  <c:v>378.84013714285709</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10D0-4088-8684-8526510A0BA8}"/>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Paris_data4Graph!$I$5:$I$126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5.4918000000000005</c:v>
                </c:pt>
                <c:pt idx="77">
                  <c:v>195.64602564102566</c:v>
                </c:pt>
                <c:pt idx="78">
                  <c:v>11.16972</c:v>
                </c:pt>
                <c:pt idx="79">
                  <c:v>#N/A</c:v>
                </c:pt>
                <c:pt idx="80">
                  <c:v>67.356233766233771</c:v>
                </c:pt>
                <c:pt idx="81">
                  <c:v>#N/A</c:v>
                </c:pt>
                <c:pt idx="82">
                  <c:v>18.357119999999998</c:v>
                </c:pt>
                <c:pt idx="83">
                  <c:v>#N/A</c:v>
                </c:pt>
                <c:pt idx="84">
                  <c:v>21.475999999999999</c:v>
                </c:pt>
                <c:pt idx="85">
                  <c:v>97.92</c:v>
                </c:pt>
                <c:pt idx="86">
                  <c:v>36.226007999999993</c:v>
                </c:pt>
                <c:pt idx="87">
                  <c:v>#N/A</c:v>
                </c:pt>
                <c:pt idx="88">
                  <c:v>84.488159999999993</c:v>
                </c:pt>
                <c:pt idx="89">
                  <c:v>59.210840000000005</c:v>
                </c:pt>
                <c:pt idx="90">
                  <c:v>16.28</c:v>
                </c:pt>
                <c:pt idx="91">
                  <c:v>214.16849999999997</c:v>
                </c:pt>
                <c:pt idx="92">
                  <c:v>29.929600000000001</c:v>
                </c:pt>
                <c:pt idx="93">
                  <c:v>71.603000000000009</c:v>
                </c:pt>
                <c:pt idx="94">
                  <c:v>75.314666666666668</c:v>
                </c:pt>
                <c:pt idx="95">
                  <c:v>36.875280000000004</c:v>
                </c:pt>
                <c:pt idx="96">
                  <c:v>45.430199999999999</c:v>
                </c:pt>
                <c:pt idx="97">
                  <c:v>48.974533333333341</c:v>
                </c:pt>
                <c:pt idx="98">
                  <c:v>137.2839619047619</c:v>
                </c:pt>
                <c:pt idx="99">
                  <c:v>10.521600000000001</c:v>
                </c:pt>
                <c:pt idx="100">
                  <c:v>79.408000000000001</c:v>
                </c:pt>
                <c:pt idx="101">
                  <c:v>119.05185185185184</c:v>
                </c:pt>
                <c:pt idx="102">
                  <c:v>66.42</c:v>
                </c:pt>
                <c:pt idx="103">
                  <c:v>22.819555555555553</c:v>
                </c:pt>
                <c:pt idx="104">
                  <c:v>115.4928888888889</c:v>
                </c:pt>
                <c:pt idx="105">
                  <c:v>22</c:v>
                </c:pt>
                <c:pt idx="106">
                  <c:v>11.016</c:v>
                </c:pt>
                <c:pt idx="107">
                  <c:v>77.212800000000001</c:v>
                </c:pt>
                <c:pt idx="108">
                  <c:v>70.259205333333341</c:v>
                </c:pt>
                <c:pt idx="109">
                  <c:v>53.061866666666667</c:v>
                </c:pt>
                <c:pt idx="110">
                  <c:v>298.24272000000002</c:v>
                </c:pt>
                <c:pt idx="111">
                  <c:v>89.518946666666679</c:v>
                </c:pt>
                <c:pt idx="112">
                  <c:v>134.1198</c:v>
                </c:pt>
                <c:pt idx="113">
                  <c:v>27</c:v>
                </c:pt>
                <c:pt idx="114">
                  <c:v>183.59013333333331</c:v>
                </c:pt>
                <c:pt idx="115">
                  <c:v>146.84285714285713</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10D0-4088-8684-8526510A0BA8}"/>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Paris_data4Graph!$J$5:$J$126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20.16</c:v>
                </c:pt>
                <c:pt idx="17">
                  <c:v>11.460799999999999</c:v>
                </c:pt>
                <c:pt idx="18">
                  <c:v>7.7492800000000006</c:v>
                </c:pt>
                <c:pt idx="19">
                  <c:v>18.999999999999996</c:v>
                </c:pt>
                <c:pt idx="20">
                  <c:v>41.61333333333333</c:v>
                </c:pt>
                <c:pt idx="21">
                  <c:v>14.459733333333334</c:v>
                </c:pt>
                <c:pt idx="22">
                  <c:v>68.650666666666666</c:v>
                </c:pt>
                <c:pt idx="23">
                  <c:v>38.706666666666663</c:v>
                </c:pt>
                <c:pt idx="24">
                  <c:v>165.9008</c:v>
                </c:pt>
                <c:pt idx="25">
                  <c:v>74.891800000000003</c:v>
                </c:pt>
                <c:pt idx="26">
                  <c:v>8.3149999999999995</c:v>
                </c:pt>
                <c:pt idx="27">
                  <c:v>#N/A</c:v>
                </c:pt>
                <c:pt idx="28">
                  <c:v>14.875</c:v>
                </c:pt>
                <c:pt idx="29">
                  <c:v>#N/A</c:v>
                </c:pt>
                <c:pt idx="30">
                  <c:v>5.2961999999999998</c:v>
                </c:pt>
                <c:pt idx="31">
                  <c:v>21.85</c:v>
                </c:pt>
                <c:pt idx="32">
                  <c:v>40.691900000000004</c:v>
                </c:pt>
                <c:pt idx="33">
                  <c:v>41.081531764705879</c:v>
                </c:pt>
                <c:pt idx="34">
                  <c:v>41.762285714285717</c:v>
                </c:pt>
                <c:pt idx="35">
                  <c:v>142.80568</c:v>
                </c:pt>
                <c:pt idx="36">
                  <c:v>65.938050000000004</c:v>
                </c:pt>
                <c:pt idx="37">
                  <c:v>#N/A</c:v>
                </c:pt>
                <c:pt idx="38">
                  <c:v>44.379719999999999</c:v>
                </c:pt>
                <c:pt idx="39">
                  <c:v>38.606400000000001</c:v>
                </c:pt>
                <c:pt idx="40">
                  <c:v>33.678116883116886</c:v>
                </c:pt>
                <c:pt idx="41">
                  <c:v>#N/A</c:v>
                </c:pt>
                <c:pt idx="42">
                  <c:v>33.814393333333328</c:v>
                </c:pt>
                <c:pt idx="43">
                  <c:v>2.496666666666667</c:v>
                </c:pt>
                <c:pt idx="44">
                  <c:v>12.375999999999999</c:v>
                </c:pt>
                <c:pt idx="45">
                  <c:v>48.96</c:v>
                </c:pt>
                <c:pt idx="46">
                  <c:v>34.658003999999998</c:v>
                </c:pt>
                <c:pt idx="47">
                  <c:v>#N/A</c:v>
                </c:pt>
                <c:pt idx="48">
                  <c:v>62.980399999999996</c:v>
                </c:pt>
                <c:pt idx="49">
                  <c:v>36.493400000000001</c:v>
                </c:pt>
                <c:pt idx="50">
                  <c:v>11.714</c:v>
                </c:pt>
                <c:pt idx="51">
                  <c:v>126.53549999999998</c:v>
                </c:pt>
                <c:pt idx="52">
                  <c:v>44.128</c:v>
                </c:pt>
                <c:pt idx="53">
                  <c:v>37.414999999999999</c:v>
                </c:pt>
                <c:pt idx="54">
                  <c:v>54.557333333333332</c:v>
                </c:pt>
                <c:pt idx="55">
                  <c:v>50.075280000000006</c:v>
                </c:pt>
                <c:pt idx="56">
                  <c:v>33.061800000000005</c:v>
                </c:pt>
                <c:pt idx="57">
                  <c:v>40.304533333333339</c:v>
                </c:pt>
                <c:pt idx="58">
                  <c:v>84.560152380952388</c:v>
                </c:pt>
                <c:pt idx="59">
                  <c:v>10.521600000000001</c:v>
                </c:pt>
                <c:pt idx="60">
                  <c:v>47.404000000000003</c:v>
                </c:pt>
                <c:pt idx="61">
                  <c:v>59.525925925925918</c:v>
                </c:pt>
                <c:pt idx="62">
                  <c:v>33.21</c:v>
                </c:pt>
                <c:pt idx="63">
                  <c:v>34.229333333333329</c:v>
                </c:pt>
                <c:pt idx="64">
                  <c:v>82.635333333333335</c:v>
                </c:pt>
                <c:pt idx="65">
                  <c:v>22</c:v>
                </c:pt>
                <c:pt idx="66">
                  <c:v>6.48</c:v>
                </c:pt>
                <c:pt idx="67">
                  <c:v>38.606400000000001</c:v>
                </c:pt>
                <c:pt idx="68">
                  <c:v>50.185146666666668</c:v>
                </c:pt>
                <c:pt idx="69">
                  <c:v>37.901333333333334</c:v>
                </c:pt>
                <c:pt idx="70">
                  <c:v>149.12136000000001</c:v>
                </c:pt>
                <c:pt idx="71">
                  <c:v>71.738333333333344</c:v>
                </c:pt>
                <c:pt idx="72">
                  <c:v>113.6773</c:v>
                </c:pt>
                <c:pt idx="73">
                  <c:v>46.897411764705879</c:v>
                </c:pt>
                <c:pt idx="74">
                  <c:v>134.40306666666666</c:v>
                </c:pt>
                <c:pt idx="75">
                  <c:v>199.41870857142857</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B7B5-4F7B-A798-3342C2BDE758}"/>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Paris_data4Graph!$K$5:$K$126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5.4918000000000005</c:v>
                </c:pt>
                <c:pt idx="77">
                  <c:v>166.60435897435897</c:v>
                </c:pt>
                <c:pt idx="78">
                  <c:v>11.16972</c:v>
                </c:pt>
                <c:pt idx="79">
                  <c:v>#N/A</c:v>
                </c:pt>
                <c:pt idx="80">
                  <c:v>33.678116883116886</c:v>
                </c:pt>
                <c:pt idx="81">
                  <c:v>#N/A</c:v>
                </c:pt>
                <c:pt idx="82">
                  <c:v>9.1785599999999992</c:v>
                </c:pt>
                <c:pt idx="83">
                  <c:v>#N/A</c:v>
                </c:pt>
                <c:pt idx="84">
                  <c:v>12.375999999999999</c:v>
                </c:pt>
                <c:pt idx="85">
                  <c:v>48.96</c:v>
                </c:pt>
                <c:pt idx="86">
                  <c:v>18.113003999999997</c:v>
                </c:pt>
                <c:pt idx="87">
                  <c:v>#N/A</c:v>
                </c:pt>
                <c:pt idx="88">
                  <c:v>53.297999999999995</c:v>
                </c:pt>
                <c:pt idx="89">
                  <c:v>36.493400000000001</c:v>
                </c:pt>
                <c:pt idx="90">
                  <c:v>11.714</c:v>
                </c:pt>
                <c:pt idx="91">
                  <c:v>126.53549999999998</c:v>
                </c:pt>
                <c:pt idx="92">
                  <c:v>29.929600000000001</c:v>
                </c:pt>
                <c:pt idx="93">
                  <c:v>37.414999999999999</c:v>
                </c:pt>
                <c:pt idx="94">
                  <c:v>54.557333333333332</c:v>
                </c:pt>
                <c:pt idx="95">
                  <c:v>36.875280000000004</c:v>
                </c:pt>
                <c:pt idx="96">
                  <c:v>33.061800000000005</c:v>
                </c:pt>
                <c:pt idx="97">
                  <c:v>40.304533333333339</c:v>
                </c:pt>
                <c:pt idx="98">
                  <c:v>84.560152380952388</c:v>
                </c:pt>
                <c:pt idx="99">
                  <c:v>10.521600000000001</c:v>
                </c:pt>
                <c:pt idx="100">
                  <c:v>47.404000000000003</c:v>
                </c:pt>
                <c:pt idx="101">
                  <c:v>59.525925925925918</c:v>
                </c:pt>
                <c:pt idx="102">
                  <c:v>33.21</c:v>
                </c:pt>
                <c:pt idx="103">
                  <c:v>34.229333333333329</c:v>
                </c:pt>
                <c:pt idx="104">
                  <c:v>82.635333333333335</c:v>
                </c:pt>
                <c:pt idx="105">
                  <c:v>22</c:v>
                </c:pt>
                <c:pt idx="106">
                  <c:v>6.48</c:v>
                </c:pt>
                <c:pt idx="107">
                  <c:v>38.606400000000001</c:v>
                </c:pt>
                <c:pt idx="108">
                  <c:v>50.185146666666668</c:v>
                </c:pt>
                <c:pt idx="109">
                  <c:v>37.901333333333334</c:v>
                </c:pt>
                <c:pt idx="110">
                  <c:v>149.12136000000001</c:v>
                </c:pt>
                <c:pt idx="111">
                  <c:v>71.738333333333344</c:v>
                </c:pt>
                <c:pt idx="112">
                  <c:v>113.6773</c:v>
                </c:pt>
                <c:pt idx="113">
                  <c:v>27</c:v>
                </c:pt>
                <c:pt idx="114">
                  <c:v>120.35506666666666</c:v>
                </c:pt>
                <c:pt idx="115">
                  <c:v>73.421428571428564</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B7B5-4F7B-A798-3342C2BDE758}"/>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Paris_Stock!$C$2</c:f>
              <c:strCache>
                <c:ptCount val="1"/>
                <c:pt idx="0">
                  <c:v>total mass of glass</c:v>
                </c:pt>
              </c:strCache>
            </c:strRef>
          </c:tx>
          <c:spPr>
            <a:ln w="19050" cap="rnd">
              <a:solidFill>
                <a:schemeClr val="tx1"/>
              </a:solidFill>
              <a:round/>
            </a:ln>
            <a:effectLst/>
          </c:spPr>
          <c:marker>
            <c:symbol val="none"/>
          </c:marker>
          <c:xVal>
            <c:numRef>
              <c:f>Paris_Stock!$A$4:$A$79</c:f>
              <c:numCache>
                <c:formatCode>General</c:formatCode>
                <c:ptCount val="76"/>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numCache>
            </c:numRef>
          </c:xVal>
          <c:yVal>
            <c:numRef>
              <c:f>Paris_Stock!$C$4:$C$79</c:f>
              <c:numCache>
                <c:formatCode>#,##0</c:formatCode>
                <c:ptCount val="76"/>
                <c:pt idx="0">
                  <c:v>0</c:v>
                </c:pt>
                <c:pt idx="1">
                  <c:v>0</c:v>
                </c:pt>
                <c:pt idx="2">
                  <c:v>0</c:v>
                </c:pt>
                <c:pt idx="3">
                  <c:v>0</c:v>
                </c:pt>
                <c:pt idx="4">
                  <c:v>0</c:v>
                </c:pt>
                <c:pt idx="5">
                  <c:v>0</c:v>
                </c:pt>
                <c:pt idx="6">
                  <c:v>0</c:v>
                </c:pt>
                <c:pt idx="7">
                  <c:v>61.875</c:v>
                </c:pt>
                <c:pt idx="8">
                  <c:v>61.875</c:v>
                </c:pt>
                <c:pt idx="9">
                  <c:v>61.875</c:v>
                </c:pt>
                <c:pt idx="10">
                  <c:v>61.875</c:v>
                </c:pt>
                <c:pt idx="11">
                  <c:v>143.75700000000001</c:v>
                </c:pt>
                <c:pt idx="12">
                  <c:v>143.75700000000001</c:v>
                </c:pt>
                <c:pt idx="13">
                  <c:v>1330.2045000000001</c:v>
                </c:pt>
                <c:pt idx="14">
                  <c:v>1330.2045000000001</c:v>
                </c:pt>
                <c:pt idx="15">
                  <c:v>1330.2045000000001</c:v>
                </c:pt>
                <c:pt idx="16">
                  <c:v>1730.2797</c:v>
                </c:pt>
                <c:pt idx="17">
                  <c:v>1919.9757</c:v>
                </c:pt>
                <c:pt idx="18">
                  <c:v>2058.2060999999999</c:v>
                </c:pt>
                <c:pt idx="19">
                  <c:v>2305.2060999999999</c:v>
                </c:pt>
                <c:pt idx="20">
                  <c:v>2995.6310999999996</c:v>
                </c:pt>
                <c:pt idx="21">
                  <c:v>3273.6190999999994</c:v>
                </c:pt>
                <c:pt idx="22">
                  <c:v>4438.244099999999</c:v>
                </c:pt>
                <c:pt idx="23">
                  <c:v>5006.7940999999992</c:v>
                </c:pt>
                <c:pt idx="24">
                  <c:v>7873.0466499999993</c:v>
                </c:pt>
                <c:pt idx="25">
                  <c:v>9447.1451500000003</c:v>
                </c:pt>
                <c:pt idx="26">
                  <c:v>9737.8398500000003</c:v>
                </c:pt>
                <c:pt idx="27">
                  <c:v>9737.8398500000003</c:v>
                </c:pt>
                <c:pt idx="28">
                  <c:v>10053.78485</c:v>
                </c:pt>
                <c:pt idx="29">
                  <c:v>10053.78485</c:v>
                </c:pt>
                <c:pt idx="30">
                  <c:v>10181.50475</c:v>
                </c:pt>
                <c:pt idx="31">
                  <c:v>10730.8035</c:v>
                </c:pt>
                <c:pt idx="32">
                  <c:v>11272.6343</c:v>
                </c:pt>
                <c:pt idx="33">
                  <c:v>11984.029699999999</c:v>
                </c:pt>
                <c:pt idx="34">
                  <c:v>12925.1847</c:v>
                </c:pt>
                <c:pt idx="35">
                  <c:v>15086.071019999999</c:v>
                </c:pt>
                <c:pt idx="36">
                  <c:v>16212.370957499999</c:v>
                </c:pt>
                <c:pt idx="37">
                  <c:v>16212.370957499999</c:v>
                </c:pt>
                <c:pt idx="38">
                  <c:v>17205.989857500001</c:v>
                </c:pt>
                <c:pt idx="39">
                  <c:v>18221.524657500002</c:v>
                </c:pt>
                <c:pt idx="40">
                  <c:v>19219.887157500001</c:v>
                </c:pt>
                <c:pt idx="41">
                  <c:v>19219.887157500001</c:v>
                </c:pt>
                <c:pt idx="42">
                  <c:v>20572.4677175</c:v>
                </c:pt>
                <c:pt idx="43">
                  <c:v>19448.420217499999</c:v>
                </c:pt>
                <c:pt idx="44">
                  <c:v>19434.906717499998</c:v>
                </c:pt>
                <c:pt idx="45">
                  <c:v>21872.706717499997</c:v>
                </c:pt>
                <c:pt idx="46">
                  <c:v>22297.585017499998</c:v>
                </c:pt>
                <c:pt idx="47">
                  <c:v>22297.585017499998</c:v>
                </c:pt>
                <c:pt idx="48">
                  <c:v>23099.008917499999</c:v>
                </c:pt>
                <c:pt idx="49">
                  <c:v>23582.6209175</c:v>
                </c:pt>
                <c:pt idx="50">
                  <c:v>23680.6209175</c:v>
                </c:pt>
                <c:pt idx="51">
                  <c:v>27444.6909175</c:v>
                </c:pt>
                <c:pt idx="52">
                  <c:v>28072.4949175</c:v>
                </c:pt>
                <c:pt idx="53">
                  <c:v>28167.446917500001</c:v>
                </c:pt>
                <c:pt idx="54">
                  <c:v>29347.2969175</c:v>
                </c:pt>
                <c:pt idx="55">
                  <c:v>30521.2416175</c:v>
                </c:pt>
                <c:pt idx="56">
                  <c:v>30946.5993475</c:v>
                </c:pt>
                <c:pt idx="57">
                  <c:v>31136.049847499999</c:v>
                </c:pt>
                <c:pt idx="58">
                  <c:v>32486.8778475</c:v>
                </c:pt>
                <c:pt idx="59">
                  <c:v>32635.6370475</c:v>
                </c:pt>
                <c:pt idx="60">
                  <c:v>32613.624847499999</c:v>
                </c:pt>
                <c:pt idx="61">
                  <c:v>34500.124847499996</c:v>
                </c:pt>
                <c:pt idx="62">
                  <c:v>34500.124847499996</c:v>
                </c:pt>
                <c:pt idx="63">
                  <c:v>35789.724847499994</c:v>
                </c:pt>
                <c:pt idx="64">
                  <c:v>38441.604447499994</c:v>
                </c:pt>
                <c:pt idx="65">
                  <c:v>38263.044447499997</c:v>
                </c:pt>
                <c:pt idx="66">
                  <c:v>38529.144447499995</c:v>
                </c:pt>
                <c:pt idx="67">
                  <c:v>37563.742047499996</c:v>
                </c:pt>
                <c:pt idx="68">
                  <c:v>38229.093047499999</c:v>
                </c:pt>
                <c:pt idx="69">
                  <c:v>38876.773047499999</c:v>
                </c:pt>
                <c:pt idx="70">
                  <c:v>42113.116167499997</c:v>
                </c:pt>
                <c:pt idx="71">
                  <c:v>43570.240667499995</c:v>
                </c:pt>
                <c:pt idx="72">
                  <c:v>44389.238667499994</c:v>
                </c:pt>
                <c:pt idx="73">
                  <c:v>44664.256667499998</c:v>
                </c:pt>
                <c:pt idx="74">
                  <c:v>46483.441042499995</c:v>
                </c:pt>
                <c:pt idx="75">
                  <c:v>48539.310090119041</c:v>
                </c:pt>
              </c:numCache>
            </c:numRef>
          </c:yVal>
          <c:smooth val="0"/>
          <c:extLst>
            <c:ext xmlns:c16="http://schemas.microsoft.com/office/drawing/2014/chart" uri="{C3380CC4-5D6E-409C-BE32-E72D297353CC}">
              <c16:uniqueId val="{00000000-AB8F-491F-BB7D-5D64D87C3D71}"/>
            </c:ext>
          </c:extLst>
        </c:ser>
        <c:dLbls>
          <c:showLegendKey val="0"/>
          <c:showVal val="0"/>
          <c:showCatName val="0"/>
          <c:showSerName val="0"/>
          <c:showPercent val="0"/>
          <c:showBubbleSize val="0"/>
        </c:dLbls>
        <c:axId val="1859657056"/>
        <c:axId val="1859657888"/>
        <c:extLst>
          <c:ext xmlns:c15="http://schemas.microsoft.com/office/drawing/2012/chart" uri="{02D57815-91ED-43cb-92C2-25804820EDAC}">
            <c15:filteredScatterSeries>
              <c15:ser>
                <c:idx val="1"/>
                <c:order val="1"/>
                <c:tx>
                  <c:v>future</c:v>
                </c:tx>
                <c:spPr>
                  <a:ln w="19050" cap="rnd">
                    <a:solidFill>
                      <a:schemeClr val="accent2"/>
                    </a:solidFill>
                    <a:round/>
                  </a:ln>
                  <a:effectLst/>
                </c:spPr>
                <c:marker>
                  <c:symbol val="none"/>
                </c:marker>
                <c:xVal>
                  <c:numRef>
                    <c:extLst>
                      <c:ext uri="{02D57815-91ED-43cb-92C2-25804820EDAC}">
                        <c15:formulaRef>
                          <c15:sqref>Paris_Stock!$A$79:$A$124</c15:sqref>
                        </c15:formulaRef>
                      </c:ext>
                    </c:extLst>
                    <c:numCache>
                      <c:formatCode>General</c:formatCode>
                      <c:ptCount val="46"/>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pt idx="28">
                        <c:v>2053</c:v>
                      </c:pt>
                      <c:pt idx="29">
                        <c:v>2054</c:v>
                      </c:pt>
                      <c:pt idx="30">
                        <c:v>2055</c:v>
                      </c:pt>
                      <c:pt idx="31">
                        <c:v>2056</c:v>
                      </c:pt>
                      <c:pt idx="32">
                        <c:v>2057</c:v>
                      </c:pt>
                      <c:pt idx="33">
                        <c:v>2058</c:v>
                      </c:pt>
                      <c:pt idx="34">
                        <c:v>2059</c:v>
                      </c:pt>
                      <c:pt idx="35">
                        <c:v>2060</c:v>
                      </c:pt>
                      <c:pt idx="36">
                        <c:v>2061</c:v>
                      </c:pt>
                      <c:pt idx="37">
                        <c:v>2062</c:v>
                      </c:pt>
                      <c:pt idx="38">
                        <c:v>2063</c:v>
                      </c:pt>
                      <c:pt idx="39">
                        <c:v>2064</c:v>
                      </c:pt>
                      <c:pt idx="40">
                        <c:v>2065</c:v>
                      </c:pt>
                      <c:pt idx="41">
                        <c:v>2066</c:v>
                      </c:pt>
                      <c:pt idx="42">
                        <c:v>2067</c:v>
                      </c:pt>
                      <c:pt idx="43">
                        <c:v>2068</c:v>
                      </c:pt>
                      <c:pt idx="44">
                        <c:v>2069</c:v>
                      </c:pt>
                      <c:pt idx="45">
                        <c:v>2070</c:v>
                      </c:pt>
                    </c:numCache>
                  </c:numRef>
                </c:xVal>
                <c:yVal>
                  <c:numRef>
                    <c:extLst>
                      <c:ext uri="{02D57815-91ED-43cb-92C2-25804820EDAC}">
                        <c15:formulaRef>
                          <c15:sqref>Paris_Stock!$C$79:$C$124</c15:sqref>
                        </c15:formulaRef>
                      </c:ext>
                    </c:extLst>
                    <c:numCache>
                      <c:formatCode>#,##0</c:formatCode>
                      <c:ptCount val="46"/>
                      <c:pt idx="0">
                        <c:v>48539.310090119041</c:v>
                      </c:pt>
                      <c:pt idx="1">
                        <c:v>48539.310090119041</c:v>
                      </c:pt>
                      <c:pt idx="2">
                        <c:v>49993.21509011904</c:v>
                      </c:pt>
                      <c:pt idx="3">
                        <c:v>49993.21509011904</c:v>
                      </c:pt>
                      <c:pt idx="4">
                        <c:v>49993.21509011904</c:v>
                      </c:pt>
                      <c:pt idx="5">
                        <c:v>49424.52759011904</c:v>
                      </c:pt>
                      <c:pt idx="6">
                        <c:v>49424.52759011904</c:v>
                      </c:pt>
                      <c:pt idx="7">
                        <c:v>49424.52759011904</c:v>
                      </c:pt>
                      <c:pt idx="8">
                        <c:v>49424.52759011904</c:v>
                      </c:pt>
                      <c:pt idx="9">
                        <c:v>49411.014090119039</c:v>
                      </c:pt>
                      <c:pt idx="10">
                        <c:v>49360.014090119039</c:v>
                      </c:pt>
                      <c:pt idx="11">
                        <c:v>49789.617390119041</c:v>
                      </c:pt>
                      <c:pt idx="12">
                        <c:v>49789.617390119041</c:v>
                      </c:pt>
                      <c:pt idx="13">
                        <c:v>49678.506990119044</c:v>
                      </c:pt>
                      <c:pt idx="14">
                        <c:v>49509.09699011904</c:v>
                      </c:pt>
                      <c:pt idx="15">
                        <c:v>49607.09699011904</c:v>
                      </c:pt>
                      <c:pt idx="16">
                        <c:v>49607.09699011904</c:v>
                      </c:pt>
                      <c:pt idx="17">
                        <c:v>49607.09699011904</c:v>
                      </c:pt>
                      <c:pt idx="18">
                        <c:v>49702.048990119038</c:v>
                      </c:pt>
                      <c:pt idx="19">
                        <c:v>49959.66899011904</c:v>
                      </c:pt>
                      <c:pt idx="20">
                        <c:v>50100.188690119037</c:v>
                      </c:pt>
                      <c:pt idx="21">
                        <c:v>50013.280820119035</c:v>
                      </c:pt>
                      <c:pt idx="22">
                        <c:v>50059.595320119035</c:v>
                      </c:pt>
                      <c:pt idx="23">
                        <c:v>49843.595320119035</c:v>
                      </c:pt>
                      <c:pt idx="24">
                        <c:v>49843.595320119035</c:v>
                      </c:pt>
                      <c:pt idx="25">
                        <c:v>49713.979120119038</c:v>
                      </c:pt>
                      <c:pt idx="26">
                        <c:v>49713.979120119038</c:v>
                      </c:pt>
                      <c:pt idx="27">
                        <c:v>49713.979120119038</c:v>
                      </c:pt>
                      <c:pt idx="28">
                        <c:v>49482.779120119041</c:v>
                      </c:pt>
                      <c:pt idx="29">
                        <c:v>49837.54672011904</c:v>
                      </c:pt>
                      <c:pt idx="30">
                        <c:v>49741.54672011904</c:v>
                      </c:pt>
                      <c:pt idx="31">
                        <c:v>50070.04672011904</c:v>
                      </c:pt>
                      <c:pt idx="32">
                        <c:v>49324.75672011904</c:v>
                      </c:pt>
                      <c:pt idx="33">
                        <c:v>49155.716720119039</c:v>
                      </c:pt>
                      <c:pt idx="34">
                        <c:v>49155.716720119039</c:v>
                      </c:pt>
                      <c:pt idx="35">
                        <c:v>49089.217020119038</c:v>
                      </c:pt>
                      <c:pt idx="36">
                        <c:v>50546.341520119036</c:v>
                      </c:pt>
                      <c:pt idx="37">
                        <c:v>50986.444520119039</c:v>
                      </c:pt>
                      <c:pt idx="38">
                        <c:v>51261.462520119036</c:v>
                      </c:pt>
                      <c:pt idx="39">
                        <c:v>51261.462520119036</c:v>
                      </c:pt>
                      <c:pt idx="40">
                        <c:v>51261.462520119036</c:v>
                      </c:pt>
                      <c:pt idx="41">
                        <c:v>51261.462520119036</c:v>
                      </c:pt>
                      <c:pt idx="42">
                        <c:v>51261.462520119036</c:v>
                      </c:pt>
                      <c:pt idx="43">
                        <c:v>51261.462520119036</c:v>
                      </c:pt>
                      <c:pt idx="44">
                        <c:v>51261.462520119036</c:v>
                      </c:pt>
                      <c:pt idx="45">
                        <c:v>51261.462520119036</c:v>
                      </c:pt>
                    </c:numCache>
                  </c:numRef>
                </c:yVal>
                <c:smooth val="0"/>
                <c:extLst>
                  <c:ext xmlns:c16="http://schemas.microsoft.com/office/drawing/2014/chart" uri="{C3380CC4-5D6E-409C-BE32-E72D297353CC}">
                    <c16:uniqueId val="{00000002-AB8F-491F-BB7D-5D64D87C3D71}"/>
                  </c:ext>
                </c:extLst>
              </c15:ser>
            </c15:filteredScatterSeries>
          </c:ext>
        </c:extLst>
      </c:scatterChart>
      <c:valAx>
        <c:axId val="1859657056"/>
        <c:scaling>
          <c:orientation val="minMax"/>
          <c:min val="19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autoZero"/>
        <c:crossBetween val="midCat"/>
      </c:valAx>
      <c:valAx>
        <c:axId val="1859657888"/>
        <c:scaling>
          <c:orientation val="minMax"/>
          <c:max val="5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Paris_data4Graph!$N$5:$N$126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1186.4475</c:v>
                </c:pt>
                <c:pt idx="44">
                  <c:v>36.855000000000004</c:v>
                </c:pt>
                <c:pt idx="45">
                  <c:v>#N/A</c:v>
                </c:pt>
                <c:pt idx="46">
                  <c:v>39.557699999999997</c:v>
                </c:pt>
                <c:pt idx="47">
                  <c:v>#N/A</c:v>
                </c:pt>
                <c:pt idx="48">
                  <c:v>57.024000000000001</c:v>
                </c:pt>
                <c:pt idx="49">
                  <c:v>36.299999999999997</c:v>
                </c:pt>
                <c:pt idx="50">
                  <c:v>#N/A</c:v>
                </c:pt>
                <c:pt idx="51">
                  <c:v>#N/A</c:v>
                </c:pt>
                <c:pt idx="52">
                  <c:v>#N/A</c:v>
                </c:pt>
                <c:pt idx="53">
                  <c:v>118.2456</c:v>
                </c:pt>
                <c:pt idx="54">
                  <c:v>19.350000000000001</c:v>
                </c:pt>
                <c:pt idx="55">
                  <c:v>202.3947</c:v>
                </c:pt>
                <c:pt idx="56">
                  <c:v>17.71875</c:v>
                </c:pt>
                <c:pt idx="57">
                  <c:v>29.4375</c:v>
                </c:pt>
                <c:pt idx="58">
                  <c:v>127.93950000000002</c:v>
                </c:pt>
                <c:pt idx="59">
                  <c:v>#N/A</c:v>
                </c:pt>
                <c:pt idx="60">
                  <c:v>129.61619999999999</c:v>
                </c:pt>
                <c:pt idx="61">
                  <c:v>#N/A</c:v>
                </c:pt>
                <c:pt idx="62">
                  <c:v>290.58749999999998</c:v>
                </c:pt>
                <c:pt idx="63">
                  <c:v>#N/A</c:v>
                </c:pt>
                <c:pt idx="64">
                  <c:v>39.519999999999996</c:v>
                </c:pt>
                <c:pt idx="65">
                  <c:v>96</c:v>
                </c:pt>
                <c:pt idx="66">
                  <c:v>14.25</c:v>
                </c:pt>
                <c:pt idx="67">
                  <c:v>827.17200000000003</c:v>
                </c:pt>
                <c:pt idx="68">
                  <c:v>#N/A</c:v>
                </c:pt>
                <c:pt idx="69">
                  <c:v>#N/A</c:v>
                </c:pt>
                <c:pt idx="70">
                  <c:v>261.93375000000003</c:v>
                </c:pt>
                <c:pt idx="71">
                  <c:v>84</c:v>
                </c:pt>
                <c:pt idx="72">
                  <c:v>462.42</c:v>
                </c:pt>
                <c:pt idx="73">
                  <c:v>#N/A</c:v>
                </c:pt>
                <c:pt idx="74">
                  <c:v>281.88</c:v>
                </c:pt>
                <c:pt idx="75">
                  <c:v>477</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352C-454E-84E3-1674E49C09C9}"/>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Paris_data4Graph!$O$5:$O$126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308.58999999999997</c:v>
                </c:pt>
                <c:pt idx="78">
                  <c:v>#N/A</c:v>
                </c:pt>
                <c:pt idx="79">
                  <c:v>#N/A</c:v>
                </c:pt>
                <c:pt idx="80">
                  <c:v>568.6875</c:v>
                </c:pt>
                <c:pt idx="81">
                  <c:v>#N/A</c:v>
                </c:pt>
                <c:pt idx="82">
                  <c:v>242.95320000000004</c:v>
                </c:pt>
                <c:pt idx="83">
                  <c:v>#N/A</c:v>
                </c:pt>
                <c:pt idx="84">
                  <c:v>36.855000000000004</c:v>
                </c:pt>
                <c:pt idx="85">
                  <c:v>968.99999999999989</c:v>
                </c:pt>
                <c:pt idx="86">
                  <c:v>34.832699999999996</c:v>
                </c:pt>
                <c:pt idx="87">
                  <c:v>#N/A</c:v>
                </c:pt>
                <c:pt idx="88">
                  <c:v>230.517</c:v>
                </c:pt>
                <c:pt idx="89">
                  <c:v>318.18</c:v>
                </c:pt>
                <c:pt idx="90">
                  <c:v>#N/A</c:v>
                </c:pt>
                <c:pt idx="91">
                  <c:v>1300.05</c:v>
                </c:pt>
                <c:pt idx="92">
                  <c:v>#N/A</c:v>
                </c:pt>
                <c:pt idx="93">
                  <c:v>118.2456</c:v>
                </c:pt>
                <c:pt idx="94">
                  <c:v>19.350000000000001</c:v>
                </c:pt>
                <c:pt idx="95">
                  <c:v>140.5197</c:v>
                </c:pt>
                <c:pt idx="96">
                  <c:v>86.907870000000003</c:v>
                </c:pt>
                <c:pt idx="97">
                  <c:v>29.4375</c:v>
                </c:pt>
                <c:pt idx="98">
                  <c:v>351</c:v>
                </c:pt>
                <c:pt idx="99">
                  <c:v>#N/A</c:v>
                </c:pt>
                <c:pt idx="100">
                  <c:v>129.61619999999999</c:v>
                </c:pt>
                <c:pt idx="101">
                  <c:v>675</c:v>
                </c:pt>
                <c:pt idx="102">
                  <c:v>290.58749999999998</c:v>
                </c:pt>
                <c:pt idx="103">
                  <c:v>231.20000000000002</c:v>
                </c:pt>
                <c:pt idx="104">
                  <c:v>848.81600000000003</c:v>
                </c:pt>
                <c:pt idx="105">
                  <c:v>96</c:v>
                </c:pt>
                <c:pt idx="106">
                  <c:v>#N/A</c:v>
                </c:pt>
                <c:pt idx="107">
                  <c:v>745.29</c:v>
                </c:pt>
                <c:pt idx="108">
                  <c:v>169.04</c:v>
                </c:pt>
                <c:pt idx="109">
                  <c:v>#N/A</c:v>
                </c:pt>
                <c:pt idx="110">
                  <c:v>1346.2497000000001</c:v>
                </c:pt>
                <c:pt idx="111">
                  <c:v>84</c:v>
                </c:pt>
                <c:pt idx="112">
                  <c:v>457.69499999999999</c:v>
                </c:pt>
                <c:pt idx="113">
                  <c:v>#N/A</c:v>
                </c:pt>
                <c:pt idx="114">
                  <c:v>870.32</c:v>
                </c:pt>
                <c:pt idx="115">
                  <c:v>490.83333333333326</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352C-454E-84E3-1674E49C09C9}"/>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Paris_data4Graph!$P$5:$P$126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140.04900000000001</c:v>
                </c:pt>
                <c:pt idx="45">
                  <c:v>#N/A</c:v>
                </c:pt>
                <c:pt idx="46">
                  <c:v>296.28719999999998</c:v>
                </c:pt>
                <c:pt idx="47">
                  <c:v>#N/A</c:v>
                </c:pt>
                <c:pt idx="48">
                  <c:v>349.74719999999996</c:v>
                </c:pt>
                <c:pt idx="49">
                  <c:v>358.64</c:v>
                </c:pt>
                <c:pt idx="50">
                  <c:v>143.5</c:v>
                </c:pt>
                <c:pt idx="51">
                  <c:v>#N/A</c:v>
                </c:pt>
                <c:pt idx="52">
                  <c:v>293.053</c:v>
                </c:pt>
                <c:pt idx="53">
                  <c:v>559.81759999999997</c:v>
                </c:pt>
                <c:pt idx="54">
                  <c:v>240.8</c:v>
                </c:pt>
                <c:pt idx="55">
                  <c:v>#N/A</c:v>
                </c:pt>
                <c:pt idx="56">
                  <c:v>56.699999999999989</c:v>
                </c:pt>
                <c:pt idx="57">
                  <c:v>500.024</c:v>
                </c:pt>
                <c:pt idx="58">
                  <c:v>639.69749999999999</c:v>
                </c:pt>
                <c:pt idx="59">
                  <c:v>73.180800000000005</c:v>
                </c:pt>
                <c:pt idx="60">
                  <c:v>745.29314999999997</c:v>
                </c:pt>
                <c:pt idx="61">
                  <c:v>80</c:v>
                </c:pt>
                <c:pt idx="62">
                  <c:v>464.94</c:v>
                </c:pt>
                <c:pt idx="63">
                  <c:v>#N/A</c:v>
                </c:pt>
                <c:pt idx="64">
                  <c:v>150.17599999999999</c:v>
                </c:pt>
                <c:pt idx="65">
                  <c:v>462.56</c:v>
                </c:pt>
                <c:pt idx="66">
                  <c:v>185.84999999999997</c:v>
                </c:pt>
                <c:pt idx="67">
                  <c:v>408.47519999999997</c:v>
                </c:pt>
                <c:pt idx="68">
                  <c:v>#N/A</c:v>
                </c:pt>
                <c:pt idx="69">
                  <c:v>#N/A</c:v>
                </c:pt>
                <c:pt idx="70">
                  <c:v>725.35500000000002</c:v>
                </c:pt>
                <c:pt idx="71">
                  <c:v>1058.1170999999999</c:v>
                </c:pt>
                <c:pt idx="72">
                  <c:v>1397.81</c:v>
                </c:pt>
                <c:pt idx="73">
                  <c:v>668.08600000000001</c:v>
                </c:pt>
                <c:pt idx="74">
                  <c:v>623.1869999999999</c:v>
                </c:pt>
                <c:pt idx="75">
                  <c:v>1445.3899200000001</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A937-4F73-A4C2-AE4ED6FF76AE}"/>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Paris_data4Graph!$Q$5:$Q$126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139.01118750000001</c:v>
                </c:pt>
                <c:pt idx="77">
                  <c:v>1469.7549999999999</c:v>
                </c:pt>
                <c:pt idx="78">
                  <c:v>238.09139999999999</c:v>
                </c:pt>
                <c:pt idx="79">
                  <c:v>#N/A</c:v>
                </c:pt>
                <c:pt idx="80">
                  <c:v>429.67500000000001</c:v>
                </c:pt>
                <c:pt idx="81">
                  <c:v>#N/A</c:v>
                </c:pt>
                <c:pt idx="82">
                  <c:v>168.68736000000001</c:v>
                </c:pt>
                <c:pt idx="83">
                  <c:v>#N/A</c:v>
                </c:pt>
                <c:pt idx="84">
                  <c:v>140.04900000000001</c:v>
                </c:pt>
                <c:pt idx="85">
                  <c:v>1468.8</c:v>
                </c:pt>
                <c:pt idx="86">
                  <c:v>92.887199999999993</c:v>
                </c:pt>
                <c:pt idx="87">
                  <c:v>#N/A</c:v>
                </c:pt>
                <c:pt idx="88">
                  <c:v>871.45920000000001</c:v>
                </c:pt>
                <c:pt idx="89">
                  <c:v>596.67200000000003</c:v>
                </c:pt>
                <c:pt idx="90">
                  <c:v>143.5</c:v>
                </c:pt>
                <c:pt idx="91">
                  <c:v>2464.02</c:v>
                </c:pt>
                <c:pt idx="92">
                  <c:v>400.94499999999999</c:v>
                </c:pt>
                <c:pt idx="93">
                  <c:v>559.81759999999997</c:v>
                </c:pt>
                <c:pt idx="94">
                  <c:v>1163.03</c:v>
                </c:pt>
                <c:pt idx="95">
                  <c:v>990</c:v>
                </c:pt>
                <c:pt idx="96">
                  <c:v>430.58735999999993</c:v>
                </c:pt>
                <c:pt idx="97">
                  <c:v>643.16</c:v>
                </c:pt>
                <c:pt idx="98">
                  <c:v>1767.4649999999999</c:v>
                </c:pt>
                <c:pt idx="99">
                  <c:v>221.94</c:v>
                </c:pt>
                <c:pt idx="100">
                  <c:v>852.89715000000001</c:v>
                </c:pt>
                <c:pt idx="101">
                  <c:v>1291.4999999999998</c:v>
                </c:pt>
                <c:pt idx="102">
                  <c:v>464.94</c:v>
                </c:pt>
                <c:pt idx="103">
                  <c:v>#N/A</c:v>
                </c:pt>
                <c:pt idx="104">
                  <c:v>1528.6959999999999</c:v>
                </c:pt>
                <c:pt idx="105">
                  <c:v>380</c:v>
                </c:pt>
                <c:pt idx="106">
                  <c:v>137.69999999999999</c:v>
                </c:pt>
                <c:pt idx="107">
                  <c:v>270.2448</c:v>
                </c:pt>
                <c:pt idx="108">
                  <c:v>496.31099999999998</c:v>
                </c:pt>
                <c:pt idx="109">
                  <c:v>647.68000000000006</c:v>
                </c:pt>
                <c:pt idx="110">
                  <c:v>2877.3821699999999</c:v>
                </c:pt>
                <c:pt idx="111">
                  <c:v>1058.1170999999999</c:v>
                </c:pt>
                <c:pt idx="112">
                  <c:v>1732.4299999999998</c:v>
                </c:pt>
                <c:pt idx="113">
                  <c:v>388.15</c:v>
                </c:pt>
                <c:pt idx="114">
                  <c:v>1468.7763749999999</c:v>
                </c:pt>
                <c:pt idx="115">
                  <c:v>1565.035714285714</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A937-4F73-A4C2-AE4ED6FF76AE}"/>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Paris_data4Graph!$L$5:$L$126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1186.4475</c:v>
                </c:pt>
                <c:pt idx="44">
                  <c:v>176.904</c:v>
                </c:pt>
                <c:pt idx="45">
                  <c:v>#N/A</c:v>
                </c:pt>
                <c:pt idx="46">
                  <c:v>335.8449</c:v>
                </c:pt>
                <c:pt idx="47">
                  <c:v>#N/A</c:v>
                </c:pt>
                <c:pt idx="48">
                  <c:v>406.77119999999996</c:v>
                </c:pt>
                <c:pt idx="49">
                  <c:v>394.94</c:v>
                </c:pt>
                <c:pt idx="50">
                  <c:v>143.5</c:v>
                </c:pt>
                <c:pt idx="51">
                  <c:v>#N/A</c:v>
                </c:pt>
                <c:pt idx="52">
                  <c:v>293.053</c:v>
                </c:pt>
                <c:pt idx="53">
                  <c:v>678.06319999999994</c:v>
                </c:pt>
                <c:pt idx="54">
                  <c:v>260.15000000000003</c:v>
                </c:pt>
                <c:pt idx="55">
                  <c:v>202.3947</c:v>
                </c:pt>
                <c:pt idx="56">
                  <c:v>74.418749999999989</c:v>
                </c:pt>
                <c:pt idx="57">
                  <c:v>529.4615</c:v>
                </c:pt>
                <c:pt idx="58">
                  <c:v>767.63700000000006</c:v>
                </c:pt>
                <c:pt idx="59">
                  <c:v>73.180800000000005</c:v>
                </c:pt>
                <c:pt idx="60">
                  <c:v>874.9093499999999</c:v>
                </c:pt>
                <c:pt idx="61">
                  <c:v>80</c:v>
                </c:pt>
                <c:pt idx="62">
                  <c:v>755.52749999999992</c:v>
                </c:pt>
                <c:pt idx="63">
                  <c:v>#N/A</c:v>
                </c:pt>
                <c:pt idx="64">
                  <c:v>189.69599999999997</c:v>
                </c:pt>
                <c:pt idx="65">
                  <c:v>558.55999999999995</c:v>
                </c:pt>
                <c:pt idx="66">
                  <c:v>200.09999999999997</c:v>
                </c:pt>
                <c:pt idx="67">
                  <c:v>1235.6471999999999</c:v>
                </c:pt>
                <c:pt idx="68">
                  <c:v>#N/A</c:v>
                </c:pt>
                <c:pt idx="69">
                  <c:v>#N/A</c:v>
                </c:pt>
                <c:pt idx="70">
                  <c:v>987.28875000000005</c:v>
                </c:pt>
                <c:pt idx="71">
                  <c:v>1142.1170999999999</c:v>
                </c:pt>
                <c:pt idx="72">
                  <c:v>1860.23</c:v>
                </c:pt>
                <c:pt idx="73">
                  <c:v>668.08600000000001</c:v>
                </c:pt>
                <c:pt idx="74">
                  <c:v>905.06700000000001</c:v>
                </c:pt>
                <c:pt idx="75">
                  <c:v>1922.3899200000001</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EBA4-49CA-8D9B-F2284417664A}"/>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Paris_data4Graph!$M$5:$M$126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139.01118750000001</c:v>
                </c:pt>
                <c:pt idx="77">
                  <c:v>1778.3449999999998</c:v>
                </c:pt>
                <c:pt idx="78">
                  <c:v>238.09139999999999</c:v>
                </c:pt>
                <c:pt idx="79">
                  <c:v>#N/A</c:v>
                </c:pt>
                <c:pt idx="80">
                  <c:v>998.36249999999995</c:v>
                </c:pt>
                <c:pt idx="81">
                  <c:v>#N/A</c:v>
                </c:pt>
                <c:pt idx="82">
                  <c:v>411.64056000000005</c:v>
                </c:pt>
                <c:pt idx="83">
                  <c:v>#N/A</c:v>
                </c:pt>
                <c:pt idx="84">
                  <c:v>176.904</c:v>
                </c:pt>
                <c:pt idx="85">
                  <c:v>2437.7999999999997</c:v>
                </c:pt>
                <c:pt idx="86">
                  <c:v>127.7199</c:v>
                </c:pt>
                <c:pt idx="87">
                  <c:v>#N/A</c:v>
                </c:pt>
                <c:pt idx="88">
                  <c:v>1101.9761999999998</c:v>
                </c:pt>
                <c:pt idx="89">
                  <c:v>914.85200000000009</c:v>
                </c:pt>
                <c:pt idx="90">
                  <c:v>143.5</c:v>
                </c:pt>
                <c:pt idx="91">
                  <c:v>3764.0699999999997</c:v>
                </c:pt>
                <c:pt idx="92">
                  <c:v>400.94499999999999</c:v>
                </c:pt>
                <c:pt idx="93">
                  <c:v>678.06319999999994</c:v>
                </c:pt>
                <c:pt idx="94">
                  <c:v>1182.3800000000001</c:v>
                </c:pt>
                <c:pt idx="95">
                  <c:v>1130.5197000000001</c:v>
                </c:pt>
                <c:pt idx="96">
                  <c:v>517.49522999999999</c:v>
                </c:pt>
                <c:pt idx="97">
                  <c:v>672.59749999999997</c:v>
                </c:pt>
                <c:pt idx="98">
                  <c:v>2118.4650000000001</c:v>
                </c:pt>
                <c:pt idx="99">
                  <c:v>221.94</c:v>
                </c:pt>
                <c:pt idx="100">
                  <c:v>982.51334999999995</c:v>
                </c:pt>
                <c:pt idx="101">
                  <c:v>1966.4999999999998</c:v>
                </c:pt>
                <c:pt idx="102">
                  <c:v>755.52749999999992</c:v>
                </c:pt>
                <c:pt idx="103">
                  <c:v>1289.6000000000001</c:v>
                </c:pt>
                <c:pt idx="104">
                  <c:v>2377.5119999999997</c:v>
                </c:pt>
                <c:pt idx="105">
                  <c:v>476</c:v>
                </c:pt>
                <c:pt idx="106">
                  <c:v>137.69999999999999</c:v>
                </c:pt>
                <c:pt idx="107">
                  <c:v>1015.5347999999999</c:v>
                </c:pt>
                <c:pt idx="108">
                  <c:v>665.351</c:v>
                </c:pt>
                <c:pt idx="109">
                  <c:v>647.68000000000006</c:v>
                </c:pt>
                <c:pt idx="110">
                  <c:v>4223.6318700000002</c:v>
                </c:pt>
                <c:pt idx="111">
                  <c:v>1142.1170999999999</c:v>
                </c:pt>
                <c:pt idx="112">
                  <c:v>2190.125</c:v>
                </c:pt>
                <c:pt idx="113">
                  <c:v>388.15</c:v>
                </c:pt>
                <c:pt idx="114">
                  <c:v>2339.0963750000001</c:v>
                </c:pt>
                <c:pt idx="115">
                  <c:v>2055.8690476190473</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EBA4-49CA-8D9B-F2284417664A}"/>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Paris_data4Graph!$R$5:$R$126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78.126000000000005</c:v>
                </c:pt>
                <c:pt idx="44">
                  <c:v>21.475999999999999</c:v>
                </c:pt>
                <c:pt idx="45">
                  <c:v>#N/A</c:v>
                </c:pt>
                <c:pt idx="46">
                  <c:v>27.1374</c:v>
                </c:pt>
                <c:pt idx="47">
                  <c:v>#N/A</c:v>
                </c:pt>
                <c:pt idx="48">
                  <c:v>44.774399999999993</c:v>
                </c:pt>
                <c:pt idx="49">
                  <c:v>22.295000000000002</c:v>
                </c:pt>
                <c:pt idx="50">
                  <c:v>14.78</c:v>
                </c:pt>
                <c:pt idx="51">
                  <c:v>#N/A</c:v>
                </c:pt>
                <c:pt idx="52">
                  <c:v>24.140799999999999</c:v>
                </c:pt>
                <c:pt idx="53">
                  <c:v>47.788000000000004</c:v>
                </c:pt>
                <c:pt idx="54">
                  <c:v>16.053333333333335</c:v>
                </c:pt>
                <c:pt idx="55">
                  <c:v>41.810280000000006</c:v>
                </c:pt>
                <c:pt idx="56">
                  <c:v>8.3249999999999993</c:v>
                </c:pt>
                <c:pt idx="57">
                  <c:v>33.899487179487174</c:v>
                </c:pt>
                <c:pt idx="58">
                  <c:v>81.432000000000002</c:v>
                </c:pt>
                <c:pt idx="59">
                  <c:v>5.7833999999999994</c:v>
                </c:pt>
                <c:pt idx="60">
                  <c:v>72.542400000000001</c:v>
                </c:pt>
                <c:pt idx="61">
                  <c:v>5.7142857142857144</c:v>
                </c:pt>
                <c:pt idx="62">
                  <c:v>66.42</c:v>
                </c:pt>
                <c:pt idx="63">
                  <c:v>#N/A</c:v>
                </c:pt>
                <c:pt idx="64">
                  <c:v>19.364800000000002</c:v>
                </c:pt>
                <c:pt idx="65">
                  <c:v>26.815999999999999</c:v>
                </c:pt>
                <c:pt idx="66">
                  <c:v>15.433333333333334</c:v>
                </c:pt>
                <c:pt idx="67">
                  <c:v>99.44256</c:v>
                </c:pt>
                <c:pt idx="68">
                  <c:v>#N/A</c:v>
                </c:pt>
                <c:pt idx="69">
                  <c:v>#N/A</c:v>
                </c:pt>
                <c:pt idx="70">
                  <c:v>115.17125000000001</c:v>
                </c:pt>
                <c:pt idx="71">
                  <c:v>67.284586666666669</c:v>
                </c:pt>
                <c:pt idx="72">
                  <c:v>110.19999999999999</c:v>
                </c:pt>
                <c:pt idx="73">
                  <c:v>49.285911764705887</c:v>
                </c:pt>
                <c:pt idx="74">
                  <c:v>42.444800000000001</c:v>
                </c:pt>
                <c:pt idx="75">
                  <c:v>231.99727999999999</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49D5-4B0D-937A-B049F62B1714}"/>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Paris_data4Graph!$S$5:$S$126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5.4918000000000005</c:v>
                </c:pt>
                <c:pt idx="77">
                  <c:v>115.92035897435898</c:v>
                </c:pt>
                <c:pt idx="78">
                  <c:v>11.16972</c:v>
                </c:pt>
                <c:pt idx="79">
                  <c:v>#N/A</c:v>
                </c:pt>
                <c:pt idx="80">
                  <c:v>67.356233766233771</c:v>
                </c:pt>
                <c:pt idx="81">
                  <c:v>#N/A</c:v>
                </c:pt>
                <c:pt idx="82">
                  <c:v>18.357119999999998</c:v>
                </c:pt>
                <c:pt idx="83">
                  <c:v>#N/A</c:v>
                </c:pt>
                <c:pt idx="84">
                  <c:v>21.475999999999999</c:v>
                </c:pt>
                <c:pt idx="85">
                  <c:v>97.92</c:v>
                </c:pt>
                <c:pt idx="86">
                  <c:v>10.5924</c:v>
                </c:pt>
                <c:pt idx="87">
                  <c:v>#N/A</c:v>
                </c:pt>
                <c:pt idx="88">
                  <c:v>84.488159999999993</c:v>
                </c:pt>
                <c:pt idx="89">
                  <c:v>59.210840000000005</c:v>
                </c:pt>
                <c:pt idx="90">
                  <c:v>14.78</c:v>
                </c:pt>
                <c:pt idx="91">
                  <c:v>214.16849999999997</c:v>
                </c:pt>
                <c:pt idx="92">
                  <c:v>29.929600000000001</c:v>
                </c:pt>
                <c:pt idx="93">
                  <c:v>47.788000000000004</c:v>
                </c:pt>
                <c:pt idx="94">
                  <c:v>49.853333333333339</c:v>
                </c:pt>
                <c:pt idx="95">
                  <c:v>36.875280000000004</c:v>
                </c:pt>
                <c:pt idx="96">
                  <c:v>45.430199999999999</c:v>
                </c:pt>
                <c:pt idx="97">
                  <c:v>42.804020512820507</c:v>
                </c:pt>
                <c:pt idx="98">
                  <c:v>137.2839619047619</c:v>
                </c:pt>
                <c:pt idx="99">
                  <c:v>10.521600000000001</c:v>
                </c:pt>
                <c:pt idx="100">
                  <c:v>79.408000000000001</c:v>
                </c:pt>
                <c:pt idx="101">
                  <c:v>119.05185185185184</c:v>
                </c:pt>
                <c:pt idx="102">
                  <c:v>66.42</c:v>
                </c:pt>
                <c:pt idx="103">
                  <c:v>22.819555555555553</c:v>
                </c:pt>
                <c:pt idx="104">
                  <c:v>91.780888888888882</c:v>
                </c:pt>
                <c:pt idx="105">
                  <c:v>22</c:v>
                </c:pt>
                <c:pt idx="106">
                  <c:v>10.44</c:v>
                </c:pt>
                <c:pt idx="107">
                  <c:v>77.212800000000001</c:v>
                </c:pt>
                <c:pt idx="108">
                  <c:v>70.259205333333341</c:v>
                </c:pt>
                <c:pt idx="109">
                  <c:v>53.061866666666667</c:v>
                </c:pt>
                <c:pt idx="110">
                  <c:v>298.24272000000002</c:v>
                </c:pt>
                <c:pt idx="111">
                  <c:v>67.284586666666669</c:v>
                </c:pt>
                <c:pt idx="112">
                  <c:v>133.27499999999998</c:v>
                </c:pt>
                <c:pt idx="113">
                  <c:v>29.388500000000001</c:v>
                </c:pt>
                <c:pt idx="114">
                  <c:v>183.59013333333331</c:v>
                </c:pt>
                <c:pt idx="115">
                  <c:v>146.84285714285713</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49D5-4B0D-937A-B049F62B1714}"/>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Paris_data4Graph!$T$5:$T$126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12.375999999999999</c:v>
                </c:pt>
                <c:pt idx="45">
                  <c:v>#N/A</c:v>
                </c:pt>
                <c:pt idx="46">
                  <c:v>18.856200000000001</c:v>
                </c:pt>
                <c:pt idx="47">
                  <c:v>#N/A</c:v>
                </c:pt>
                <c:pt idx="48">
                  <c:v>27.878399999999999</c:v>
                </c:pt>
                <c:pt idx="49">
                  <c:v>23.909333333333333</c:v>
                </c:pt>
                <c:pt idx="50">
                  <c:v>14.78</c:v>
                </c:pt>
                <c:pt idx="51">
                  <c:v>#N/A</c:v>
                </c:pt>
                <c:pt idx="52">
                  <c:v>24.140799999999999</c:v>
                </c:pt>
                <c:pt idx="53">
                  <c:v>34.619733333333336</c:v>
                </c:pt>
                <c:pt idx="54">
                  <c:v>16.053333333333335</c:v>
                </c:pt>
                <c:pt idx="55">
                  <c:v>13.2</c:v>
                </c:pt>
                <c:pt idx="56">
                  <c:v>4.3499999999999996</c:v>
                </c:pt>
                <c:pt idx="57">
                  <c:v>26.653333333333332</c:v>
                </c:pt>
                <c:pt idx="58">
                  <c:v>47.735999999999997</c:v>
                </c:pt>
                <c:pt idx="59">
                  <c:v>5.7833999999999994</c:v>
                </c:pt>
                <c:pt idx="60">
                  <c:v>40.538400000000003</c:v>
                </c:pt>
                <c:pt idx="61">
                  <c:v>5.7142857142857144</c:v>
                </c:pt>
                <c:pt idx="62">
                  <c:v>33.21</c:v>
                </c:pt>
                <c:pt idx="63">
                  <c:v>#N/A</c:v>
                </c:pt>
                <c:pt idx="64">
                  <c:v>11.460799999999999</c:v>
                </c:pt>
                <c:pt idx="65">
                  <c:v>26.815999999999999</c:v>
                </c:pt>
                <c:pt idx="66">
                  <c:v>12.936666666666667</c:v>
                </c:pt>
                <c:pt idx="67">
                  <c:v>46.35568</c:v>
                </c:pt>
                <c:pt idx="68">
                  <c:v>#N/A</c:v>
                </c:pt>
                <c:pt idx="69">
                  <c:v>#N/A</c:v>
                </c:pt>
                <c:pt idx="70">
                  <c:v>60.446249999999999</c:v>
                </c:pt>
                <c:pt idx="71">
                  <c:v>57.247253333333333</c:v>
                </c:pt>
                <c:pt idx="72">
                  <c:v>74.882499999999993</c:v>
                </c:pt>
                <c:pt idx="73">
                  <c:v>49.285911764705887</c:v>
                </c:pt>
                <c:pt idx="74">
                  <c:v>28.246400000000001</c:v>
                </c:pt>
                <c:pt idx="75">
                  <c:v>125.99728</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B63A-4ADF-B8E2-E66B04614C2B}"/>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Paris_data4Graph!$U$5:$U$126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5.4918000000000005</c:v>
                </c:pt>
                <c:pt idx="77">
                  <c:v>93.815999999999988</c:v>
                </c:pt>
                <c:pt idx="78">
                  <c:v>11.16972</c:v>
                </c:pt>
                <c:pt idx="79">
                  <c:v>#N/A</c:v>
                </c:pt>
                <c:pt idx="80">
                  <c:v>33.678116883116886</c:v>
                </c:pt>
                <c:pt idx="81">
                  <c:v>#N/A</c:v>
                </c:pt>
                <c:pt idx="82">
                  <c:v>9.1785599999999992</c:v>
                </c:pt>
                <c:pt idx="83">
                  <c:v>#N/A</c:v>
                </c:pt>
                <c:pt idx="84">
                  <c:v>12.375999999999999</c:v>
                </c:pt>
                <c:pt idx="85">
                  <c:v>48.96</c:v>
                </c:pt>
                <c:pt idx="86">
                  <c:v>5.2961999999999998</c:v>
                </c:pt>
                <c:pt idx="87">
                  <c:v>#N/A</c:v>
                </c:pt>
                <c:pt idx="88">
                  <c:v>53.297999999999995</c:v>
                </c:pt>
                <c:pt idx="89">
                  <c:v>38.107733333333329</c:v>
                </c:pt>
                <c:pt idx="90">
                  <c:v>14.78</c:v>
                </c:pt>
                <c:pt idx="91">
                  <c:v>126.53549999999998</c:v>
                </c:pt>
                <c:pt idx="92">
                  <c:v>29.929600000000001</c:v>
                </c:pt>
                <c:pt idx="93">
                  <c:v>34.619733333333336</c:v>
                </c:pt>
                <c:pt idx="94">
                  <c:v>49.853333333333339</c:v>
                </c:pt>
                <c:pt idx="95">
                  <c:v>17.625</c:v>
                </c:pt>
                <c:pt idx="96">
                  <c:v>29.086800000000004</c:v>
                </c:pt>
                <c:pt idx="97">
                  <c:v>35.557866666666669</c:v>
                </c:pt>
                <c:pt idx="98">
                  <c:v>84.560152380952388</c:v>
                </c:pt>
                <c:pt idx="99">
                  <c:v>10.521600000000001</c:v>
                </c:pt>
                <c:pt idx="100">
                  <c:v>47.404000000000003</c:v>
                </c:pt>
                <c:pt idx="101">
                  <c:v>59.525925925925918</c:v>
                </c:pt>
                <c:pt idx="102">
                  <c:v>33.21</c:v>
                </c:pt>
                <c:pt idx="103">
                  <c:v>34.229333333333329</c:v>
                </c:pt>
                <c:pt idx="104">
                  <c:v>72.557733333333331</c:v>
                </c:pt>
                <c:pt idx="105">
                  <c:v>22</c:v>
                </c:pt>
                <c:pt idx="106">
                  <c:v>10.44</c:v>
                </c:pt>
                <c:pt idx="107">
                  <c:v>38.606400000000001</c:v>
                </c:pt>
                <c:pt idx="108">
                  <c:v>50.185146666666668</c:v>
                </c:pt>
                <c:pt idx="109">
                  <c:v>37.901333333333334</c:v>
                </c:pt>
                <c:pt idx="110">
                  <c:v>149.12136000000001</c:v>
                </c:pt>
                <c:pt idx="111">
                  <c:v>57.247253333333333</c:v>
                </c:pt>
                <c:pt idx="112">
                  <c:v>97.957499999999982</c:v>
                </c:pt>
                <c:pt idx="113">
                  <c:v>29.388500000000001</c:v>
                </c:pt>
                <c:pt idx="114">
                  <c:v>120.35506666666666</c:v>
                </c:pt>
                <c:pt idx="115">
                  <c:v>73.421428571428564</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B63A-4ADF-B8E2-E66B04614C2B}"/>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Paris_Outflow!$AH$3</c:f>
              <c:strCache>
                <c:ptCount val="1"/>
                <c:pt idx="0">
                  <c:v>raw materials, min</c:v>
                </c:pt>
              </c:strCache>
            </c:strRef>
          </c:tx>
          <c:spPr>
            <a:ln w="19050" cap="rnd">
              <a:solidFill>
                <a:schemeClr val="accent1"/>
              </a:solidFill>
              <a:round/>
            </a:ln>
            <a:effectLst/>
          </c:spPr>
          <c:marker>
            <c:symbol val="none"/>
          </c:marker>
          <c:xVal>
            <c:numRef>
              <c:f>Paris_Outflow!$A$80:$A$125</c:f>
              <c:numCache>
                <c:formatCode>General</c:formatCode>
                <c:ptCount val="46"/>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pt idx="28">
                  <c:v>2053</c:v>
                </c:pt>
                <c:pt idx="29">
                  <c:v>2054</c:v>
                </c:pt>
                <c:pt idx="30">
                  <c:v>2055</c:v>
                </c:pt>
                <c:pt idx="31">
                  <c:v>2056</c:v>
                </c:pt>
                <c:pt idx="32">
                  <c:v>2057</c:v>
                </c:pt>
                <c:pt idx="33">
                  <c:v>2058</c:v>
                </c:pt>
                <c:pt idx="34">
                  <c:v>2059</c:v>
                </c:pt>
                <c:pt idx="35">
                  <c:v>2060</c:v>
                </c:pt>
                <c:pt idx="36">
                  <c:v>2061</c:v>
                </c:pt>
                <c:pt idx="37">
                  <c:v>2062</c:v>
                </c:pt>
                <c:pt idx="38">
                  <c:v>2063</c:v>
                </c:pt>
                <c:pt idx="39">
                  <c:v>2064</c:v>
                </c:pt>
                <c:pt idx="40">
                  <c:v>2065</c:v>
                </c:pt>
                <c:pt idx="41">
                  <c:v>2066</c:v>
                </c:pt>
                <c:pt idx="42">
                  <c:v>2067</c:v>
                </c:pt>
                <c:pt idx="43">
                  <c:v>2068</c:v>
                </c:pt>
                <c:pt idx="44">
                  <c:v>2069</c:v>
                </c:pt>
                <c:pt idx="45">
                  <c:v>2070</c:v>
                </c:pt>
              </c:numCache>
            </c:numRef>
          </c:xVal>
          <c:yVal>
            <c:numRef>
              <c:f>Paris_Outflow!$AH$81:$AH$125</c:f>
              <c:numCache>
                <c:formatCode>#,##0</c:formatCode>
                <c:ptCount val="45"/>
                <c:pt idx="0">
                  <c:v>-8.3406712499999998</c:v>
                </c:pt>
                <c:pt idx="1">
                  <c:v>-115.04137124999998</c:v>
                </c:pt>
                <c:pt idx="2">
                  <c:v>-129.32685524999999</c:v>
                </c:pt>
                <c:pt idx="3">
                  <c:v>-129.32685524999999</c:v>
                </c:pt>
                <c:pt idx="4">
                  <c:v>-189.22860524999999</c:v>
                </c:pt>
                <c:pt idx="5">
                  <c:v>-189.22860524999999</c:v>
                </c:pt>
                <c:pt idx="6">
                  <c:v>-213.92703884999997</c:v>
                </c:pt>
                <c:pt idx="7">
                  <c:v>-213.92703884999997</c:v>
                </c:pt>
                <c:pt idx="8">
                  <c:v>-224.54127884999997</c:v>
                </c:pt>
                <c:pt idx="9">
                  <c:v>-370.80927884999994</c:v>
                </c:pt>
                <c:pt idx="10">
                  <c:v>-378.47247284999992</c:v>
                </c:pt>
                <c:pt idx="11">
                  <c:v>-378.47247284999992</c:v>
                </c:pt>
                <c:pt idx="12">
                  <c:v>-444.59104484999989</c:v>
                </c:pt>
                <c:pt idx="13">
                  <c:v>-499.48216484999989</c:v>
                </c:pt>
                <c:pt idx="14">
                  <c:v>-508.0921648499999</c:v>
                </c:pt>
                <c:pt idx="15">
                  <c:v>-733.9363648499999</c:v>
                </c:pt>
                <c:pt idx="16">
                  <c:v>-757.99306484999988</c:v>
                </c:pt>
                <c:pt idx="17">
                  <c:v>-798.67685684999992</c:v>
                </c:pt>
                <c:pt idx="18">
                  <c:v>-869.61965684999996</c:v>
                </c:pt>
                <c:pt idx="19">
                  <c:v>-937.45083884999997</c:v>
                </c:pt>
                <c:pt idx="20">
                  <c:v>-968.50055264999992</c:v>
                </c:pt>
                <c:pt idx="21">
                  <c:v>-1008.8564026499999</c:v>
                </c:pt>
                <c:pt idx="22">
                  <c:v>-1135.96430265</c:v>
                </c:pt>
                <c:pt idx="23">
                  <c:v>-1149.28070265</c:v>
                </c:pt>
                <c:pt idx="24">
                  <c:v>-1208.2315036499999</c:v>
                </c:pt>
                <c:pt idx="25">
                  <c:v>-1326.2215036499999</c:v>
                </c:pt>
                <c:pt idx="26">
                  <c:v>-1371.55315365</c:v>
                </c:pt>
                <c:pt idx="27">
                  <c:v>-1448.92915365</c:v>
                </c:pt>
                <c:pt idx="28">
                  <c:v>-1591.5798736500001</c:v>
                </c:pt>
                <c:pt idx="29">
                  <c:v>-1620.13987365</c:v>
                </c:pt>
                <c:pt idx="30">
                  <c:v>-1628.40187365</c:v>
                </c:pt>
                <c:pt idx="31">
                  <c:v>-1689.33396165</c:v>
                </c:pt>
                <c:pt idx="32">
                  <c:v>-1729.2550216499999</c:v>
                </c:pt>
                <c:pt idx="33">
                  <c:v>-1768.1158216499998</c:v>
                </c:pt>
                <c:pt idx="34">
                  <c:v>-2021.5337338499999</c:v>
                </c:pt>
                <c:pt idx="35">
                  <c:v>-2090.0607598500001</c:v>
                </c:pt>
                <c:pt idx="36">
                  <c:v>-2221.4682598499999</c:v>
                </c:pt>
                <c:pt idx="37">
                  <c:v>-2244.7572598500001</c:v>
                </c:pt>
                <c:pt idx="38">
                  <c:v>-2385.1030423500001</c:v>
                </c:pt>
                <c:pt idx="39">
                  <c:v>-2508.4551852071431</c:v>
                </c:pt>
                <c:pt idx="40">
                  <c:v>-2508.4551852071431</c:v>
                </c:pt>
                <c:pt idx="41">
                  <c:v>-2508.4551852071431</c:v>
                </c:pt>
                <c:pt idx="42">
                  <c:v>-2508.4551852071431</c:v>
                </c:pt>
                <c:pt idx="43">
                  <c:v>-2508.4551852071431</c:v>
                </c:pt>
                <c:pt idx="44">
                  <c:v>-2508.4551852071431</c:v>
                </c:pt>
              </c:numCache>
            </c:numRef>
          </c:yVal>
          <c:smooth val="0"/>
          <c:extLst>
            <c:ext xmlns:c16="http://schemas.microsoft.com/office/drawing/2014/chart" uri="{C3380CC4-5D6E-409C-BE32-E72D297353CC}">
              <c16:uniqueId val="{00000003-94BE-4389-B0BE-5590EA3DE3D6}"/>
            </c:ext>
          </c:extLst>
        </c:ser>
        <c:ser>
          <c:idx val="1"/>
          <c:order val="1"/>
          <c:tx>
            <c:strRef>
              <c:f>Paris_Outflow!$AI$3</c:f>
              <c:strCache>
                <c:ptCount val="1"/>
                <c:pt idx="0">
                  <c:v>raw materials, average</c:v>
                </c:pt>
              </c:strCache>
            </c:strRef>
          </c:tx>
          <c:spPr>
            <a:ln w="19050" cap="rnd">
              <a:solidFill>
                <a:schemeClr val="accent2"/>
              </a:solidFill>
              <a:round/>
            </a:ln>
            <a:effectLst/>
          </c:spPr>
          <c:marker>
            <c:symbol val="none"/>
          </c:marker>
          <c:xVal>
            <c:numRef>
              <c:f>Paris_Outflow!$A$81:$A$125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Paris_Outflow!$AI$81:$AI$125</c:f>
              <c:numCache>
                <c:formatCode>#,##0</c:formatCode>
                <c:ptCount val="45"/>
                <c:pt idx="0">
                  <c:v>-8.707225156097552</c:v>
                </c:pt>
                <c:pt idx="1">
                  <c:v>-123.08448992930612</c:v>
                </c:pt>
                <c:pt idx="2">
                  <c:v>-139.04493154291734</c:v>
                </c:pt>
                <c:pt idx="3">
                  <c:v>-139.04493154291734</c:v>
                </c:pt>
                <c:pt idx="4">
                  <c:v>-217.12283248326744</c:v>
                </c:pt>
                <c:pt idx="5">
                  <c:v>-217.12283248326744</c:v>
                </c:pt>
                <c:pt idx="6">
                  <c:v>-259.84376482997351</c:v>
                </c:pt>
                <c:pt idx="7">
                  <c:v>-259.84376482997351</c:v>
                </c:pt>
                <c:pt idx="8">
                  <c:v>-286.4872339035096</c:v>
                </c:pt>
                <c:pt idx="9">
                  <c:v>-725.29123390350969</c:v>
                </c:pt>
                <c:pt idx="10">
                  <c:v>-752.0345343519499</c:v>
                </c:pt>
                <c:pt idx="11">
                  <c:v>-752.0345343519499</c:v>
                </c:pt>
                <c:pt idx="12">
                  <c:v>-1034.3805338302368</c:v>
                </c:pt>
                <c:pt idx="13">
                  <c:v>-1282.6634062419701</c:v>
                </c:pt>
                <c:pt idx="14">
                  <c:v>-1323.1008505220384</c:v>
                </c:pt>
                <c:pt idx="15">
                  <c:v>-2409.4784169736822</c:v>
                </c:pt>
                <c:pt idx="16">
                  <c:v>-2526.9412948076174</c:v>
                </c:pt>
                <c:pt idx="17">
                  <c:v>-2727.4332659077531</c:v>
                </c:pt>
                <c:pt idx="18">
                  <c:v>-3079.0294880131387</c:v>
                </c:pt>
                <c:pt idx="19">
                  <c:v>-3416.3694620565625</c:v>
                </c:pt>
                <c:pt idx="20">
                  <c:v>-3571.1125246117417</c:v>
                </c:pt>
                <c:pt idx="21">
                  <c:v>-3772.4926353748788</c:v>
                </c:pt>
                <c:pt idx="22">
                  <c:v>-4407.2688868781943</c:v>
                </c:pt>
                <c:pt idx="23">
                  <c:v>-4473.8023591896936</c:v>
                </c:pt>
                <c:pt idx="24">
                  <c:v>-4768.4260172160039</c:v>
                </c:pt>
                <c:pt idx="25">
                  <c:v>-5358.217745368429</c:v>
                </c:pt>
                <c:pt idx="26">
                  <c:v>-5584.8391086461497</c:v>
                </c:pt>
                <c:pt idx="27">
                  <c:v>-5971.6809175313037</c:v>
                </c:pt>
                <c:pt idx="28">
                  <c:v>-6684.8918100583287</c:v>
                </c:pt>
                <c:pt idx="29">
                  <c:v>-6827.6866238058083</c:v>
                </c:pt>
                <c:pt idx="30">
                  <c:v>-6868.9957138062882</c:v>
                </c:pt>
                <c:pt idx="31">
                  <c:v>-7173.6520831962653</c:v>
                </c:pt>
                <c:pt idx="32">
                  <c:v>-7373.2557655963546</c:v>
                </c:pt>
                <c:pt idx="33">
                  <c:v>-7567.5588105261932</c:v>
                </c:pt>
                <c:pt idx="34">
                  <c:v>-8834.6445939376063</c:v>
                </c:pt>
                <c:pt idx="35">
                  <c:v>-9177.2791043643992</c:v>
                </c:pt>
                <c:pt idx="36">
                  <c:v>-9834.3158837481624</c:v>
                </c:pt>
                <c:pt idx="37">
                  <c:v>-9950.7608062863383</c:v>
                </c:pt>
                <c:pt idx="38">
                  <c:v>-10652.489435654212</c:v>
                </c:pt>
                <c:pt idx="39">
                  <c:v>-11269.249999005146</c:v>
                </c:pt>
                <c:pt idx="40">
                  <c:v>-11269.249999005146</c:v>
                </c:pt>
                <c:pt idx="41">
                  <c:v>-11269.249999005146</c:v>
                </c:pt>
                <c:pt idx="42">
                  <c:v>-11269.249999005146</c:v>
                </c:pt>
                <c:pt idx="43">
                  <c:v>-11269.249999005146</c:v>
                </c:pt>
                <c:pt idx="44">
                  <c:v>-11269.249999005146</c:v>
                </c:pt>
              </c:numCache>
            </c:numRef>
          </c:yVal>
          <c:smooth val="0"/>
          <c:extLst>
            <c:ext xmlns:c16="http://schemas.microsoft.com/office/drawing/2014/chart" uri="{C3380CC4-5D6E-409C-BE32-E72D297353CC}">
              <c16:uniqueId val="{00000004-94BE-4389-B0BE-5590EA3DE3D6}"/>
            </c:ext>
          </c:extLst>
        </c:ser>
        <c:ser>
          <c:idx val="2"/>
          <c:order val="2"/>
          <c:tx>
            <c:strRef>
              <c:f>Paris_Outflow!$AJ$3</c:f>
              <c:strCache>
                <c:ptCount val="1"/>
                <c:pt idx="0">
                  <c:v>raw materials, max</c:v>
                </c:pt>
              </c:strCache>
            </c:strRef>
          </c:tx>
          <c:spPr>
            <a:ln w="19050" cap="rnd">
              <a:solidFill>
                <a:schemeClr val="accent3"/>
              </a:solidFill>
              <a:round/>
            </a:ln>
            <a:effectLst/>
          </c:spPr>
          <c:marker>
            <c:symbol val="none"/>
          </c:marker>
          <c:xVal>
            <c:numRef>
              <c:f>Paris_Outflow!$A$81:$A$125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Paris_Outflow!$AJ$81:$AJ$125</c:f>
              <c:numCache>
                <c:formatCode>#,##0</c:formatCode>
                <c:ptCount val="45"/>
                <c:pt idx="0">
                  <c:v>-9.1654175387194918</c:v>
                </c:pt>
                <c:pt idx="1">
                  <c:v>-133.13838827843875</c:v>
                </c:pt>
                <c:pt idx="2">
                  <c:v>-151.19252690906404</c:v>
                </c:pt>
                <c:pt idx="3">
                  <c:v>-151.19252690906404</c:v>
                </c:pt>
                <c:pt idx="4">
                  <c:v>-251.99061652485176</c:v>
                </c:pt>
                <c:pt idx="5">
                  <c:v>-251.99061652485176</c:v>
                </c:pt>
                <c:pt idx="6">
                  <c:v>-317.23967230494037</c:v>
                </c:pt>
                <c:pt idx="7">
                  <c:v>-317.23967230494037</c:v>
                </c:pt>
                <c:pt idx="8">
                  <c:v>-363.91967772039663</c:v>
                </c:pt>
                <c:pt idx="9">
                  <c:v>-1168.3936777203967</c:v>
                </c:pt>
                <c:pt idx="10">
                  <c:v>-1218.9871112293872</c:v>
                </c:pt>
                <c:pt idx="11">
                  <c:v>-1218.9871112293872</c:v>
                </c:pt>
                <c:pt idx="12">
                  <c:v>-1771.6173950555326</c:v>
                </c:pt>
                <c:pt idx="13">
                  <c:v>-2261.6399579819322</c:v>
                </c:pt>
                <c:pt idx="14">
                  <c:v>-2341.8617076120859</c:v>
                </c:pt>
                <c:pt idx="15">
                  <c:v>-4503.9059821282844</c:v>
                </c:pt>
                <c:pt idx="16">
                  <c:v>-4738.1265822546393</c:v>
                </c:pt>
                <c:pt idx="17">
                  <c:v>-5138.3787772299447</c:v>
                </c:pt>
                <c:pt idx="18">
                  <c:v>-5840.7917769670621</c:v>
                </c:pt>
                <c:pt idx="19">
                  <c:v>-6515.0177410647657</c:v>
                </c:pt>
                <c:pt idx="20">
                  <c:v>-6824.377489563919</c:v>
                </c:pt>
                <c:pt idx="21">
                  <c:v>-7227.0379262809774</c:v>
                </c:pt>
                <c:pt idx="22">
                  <c:v>-8496.3996171634371</c:v>
                </c:pt>
                <c:pt idx="23">
                  <c:v>-8629.4544298643104</c:v>
                </c:pt>
                <c:pt idx="24">
                  <c:v>-9218.6691591735089</c:v>
                </c:pt>
                <c:pt idx="25">
                  <c:v>-10398.213047516465</c:v>
                </c:pt>
                <c:pt idx="26">
                  <c:v>-10851.446552391337</c:v>
                </c:pt>
                <c:pt idx="27">
                  <c:v>-11625.120622382934</c:v>
                </c:pt>
                <c:pt idx="28">
                  <c:v>-13051.53173056874</c:v>
                </c:pt>
                <c:pt idx="29">
                  <c:v>-13337.120061500569</c:v>
                </c:pt>
                <c:pt idx="30">
                  <c:v>-13419.738014001648</c:v>
                </c:pt>
                <c:pt idx="31">
                  <c:v>-14029.049735129096</c:v>
                </c:pt>
                <c:pt idx="32">
                  <c:v>-14428.256695529297</c:v>
                </c:pt>
                <c:pt idx="33">
                  <c:v>-14816.862546621433</c:v>
                </c:pt>
                <c:pt idx="34">
                  <c:v>-17351.03316904711</c:v>
                </c:pt>
                <c:pt idx="35">
                  <c:v>-18036.302035007393</c:v>
                </c:pt>
                <c:pt idx="36">
                  <c:v>-19350.375413620859</c:v>
                </c:pt>
                <c:pt idx="37">
                  <c:v>-19583.265239331751</c:v>
                </c:pt>
                <c:pt idx="38">
                  <c:v>-20986.722427284465</c:v>
                </c:pt>
                <c:pt idx="39">
                  <c:v>-22220.243516252638</c:v>
                </c:pt>
                <c:pt idx="40">
                  <c:v>-22220.243516252638</c:v>
                </c:pt>
                <c:pt idx="41">
                  <c:v>-22220.243516252638</c:v>
                </c:pt>
                <c:pt idx="42">
                  <c:v>-22220.243516252638</c:v>
                </c:pt>
                <c:pt idx="43">
                  <c:v>-22220.243516252638</c:v>
                </c:pt>
                <c:pt idx="44">
                  <c:v>-22220.243516252638</c:v>
                </c:pt>
              </c:numCache>
            </c:numRef>
          </c:yVal>
          <c:smooth val="0"/>
          <c:extLst>
            <c:ext xmlns:c16="http://schemas.microsoft.com/office/drawing/2014/chart" uri="{C3380CC4-5D6E-409C-BE32-E72D297353CC}">
              <c16:uniqueId val="{00000005-94BE-4389-B0BE-5590EA3DE3D6}"/>
            </c:ext>
          </c:extLst>
        </c:ser>
        <c:dLbls>
          <c:showLegendKey val="0"/>
          <c:showVal val="0"/>
          <c:showCatName val="0"/>
          <c:showSerName val="0"/>
          <c:showPercent val="0"/>
          <c:showBubbleSize val="0"/>
        </c:dLbls>
        <c:axId val="1859657056"/>
        <c:axId val="1859657888"/>
        <c:extLst/>
      </c:scatterChart>
      <c:valAx>
        <c:axId val="1859657056"/>
        <c:scaling>
          <c:orientation val="minMax"/>
          <c:max val="207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max"/>
        <c:crossBetween val="midCat"/>
      </c:valAx>
      <c:valAx>
        <c:axId val="18596578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Paris_Outflow!$AW$3</c:f>
              <c:strCache>
                <c:ptCount val="1"/>
                <c:pt idx="0">
                  <c:v>CO2 emissions, min</c:v>
                </c:pt>
              </c:strCache>
            </c:strRef>
          </c:tx>
          <c:spPr>
            <a:ln w="19050" cap="rnd">
              <a:solidFill>
                <a:schemeClr val="accent1"/>
              </a:solidFill>
              <a:round/>
            </a:ln>
            <a:effectLst/>
          </c:spPr>
          <c:marker>
            <c:symbol val="none"/>
          </c:marker>
          <c:xVal>
            <c:numRef>
              <c:f>Paris_Outflow!$A$80:$A$125</c:f>
              <c:numCache>
                <c:formatCode>General</c:formatCode>
                <c:ptCount val="46"/>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pt idx="28">
                  <c:v>2053</c:v>
                </c:pt>
                <c:pt idx="29">
                  <c:v>2054</c:v>
                </c:pt>
                <c:pt idx="30">
                  <c:v>2055</c:v>
                </c:pt>
                <c:pt idx="31">
                  <c:v>2056</c:v>
                </c:pt>
                <c:pt idx="32">
                  <c:v>2057</c:v>
                </c:pt>
                <c:pt idx="33">
                  <c:v>2058</c:v>
                </c:pt>
                <c:pt idx="34">
                  <c:v>2059</c:v>
                </c:pt>
                <c:pt idx="35">
                  <c:v>2060</c:v>
                </c:pt>
                <c:pt idx="36">
                  <c:v>2061</c:v>
                </c:pt>
                <c:pt idx="37">
                  <c:v>2062</c:v>
                </c:pt>
                <c:pt idx="38">
                  <c:v>2063</c:v>
                </c:pt>
                <c:pt idx="39">
                  <c:v>2064</c:v>
                </c:pt>
                <c:pt idx="40">
                  <c:v>2065</c:v>
                </c:pt>
                <c:pt idx="41">
                  <c:v>2066</c:v>
                </c:pt>
                <c:pt idx="42">
                  <c:v>2067</c:v>
                </c:pt>
                <c:pt idx="43">
                  <c:v>2068</c:v>
                </c:pt>
                <c:pt idx="44">
                  <c:v>2069</c:v>
                </c:pt>
                <c:pt idx="45">
                  <c:v>2070</c:v>
                </c:pt>
              </c:numCache>
            </c:numRef>
          </c:xVal>
          <c:yVal>
            <c:numRef>
              <c:f>Paris_Outflow!$AW$81:$AW$125</c:f>
              <c:numCache>
                <c:formatCode>#,##0</c:formatCode>
                <c:ptCount val="45"/>
                <c:pt idx="0">
                  <c:v>-0.45873691874999989</c:v>
                </c:pt>
                <c:pt idx="1">
                  <c:v>-6.3272754187499949</c:v>
                </c:pt>
                <c:pt idx="2">
                  <c:v>-7.112977038749996</c:v>
                </c:pt>
                <c:pt idx="3">
                  <c:v>-7.112977038749996</c:v>
                </c:pt>
                <c:pt idx="4">
                  <c:v>-10.407573288749994</c:v>
                </c:pt>
                <c:pt idx="5">
                  <c:v>-10.407573288749994</c:v>
                </c:pt>
                <c:pt idx="6">
                  <c:v>-11.765987136749992</c:v>
                </c:pt>
                <c:pt idx="7">
                  <c:v>-11.765987136749992</c:v>
                </c:pt>
                <c:pt idx="8">
                  <c:v>-12.349770336749991</c:v>
                </c:pt>
                <c:pt idx="9">
                  <c:v>-20.394510336749988</c:v>
                </c:pt>
                <c:pt idx="10">
                  <c:v>-20.815986006749981</c:v>
                </c:pt>
                <c:pt idx="11">
                  <c:v>-20.815986006749981</c:v>
                </c:pt>
                <c:pt idx="12">
                  <c:v>-24.452507466749978</c:v>
                </c:pt>
                <c:pt idx="13">
                  <c:v>-27.471519066749977</c:v>
                </c:pt>
                <c:pt idx="14">
                  <c:v>-27.94506906674998</c:v>
                </c:pt>
                <c:pt idx="15">
                  <c:v>-40.366500066749978</c:v>
                </c:pt>
                <c:pt idx="16">
                  <c:v>-41.689618566749971</c:v>
                </c:pt>
                <c:pt idx="17">
                  <c:v>-43.927227126749983</c:v>
                </c:pt>
                <c:pt idx="18">
                  <c:v>-47.829081126749998</c:v>
                </c:pt>
                <c:pt idx="19">
                  <c:v>-51.559796136750009</c:v>
                </c:pt>
                <c:pt idx="20">
                  <c:v>-53.267530395749986</c:v>
                </c:pt>
                <c:pt idx="21">
                  <c:v>-55.487102145749986</c:v>
                </c:pt>
                <c:pt idx="22">
                  <c:v>-62.478036645749995</c:v>
                </c:pt>
                <c:pt idx="23">
                  <c:v>-63.210438645749974</c:v>
                </c:pt>
                <c:pt idx="24">
                  <c:v>-66.452732700749976</c:v>
                </c:pt>
                <c:pt idx="25">
                  <c:v>-72.942182700749981</c:v>
                </c:pt>
                <c:pt idx="26">
                  <c:v>-75.435423450750022</c:v>
                </c:pt>
                <c:pt idx="27">
                  <c:v>-79.691103450750006</c:v>
                </c:pt>
                <c:pt idx="28">
                  <c:v>-87.536893050750052</c:v>
                </c:pt>
                <c:pt idx="29">
                  <c:v>-89.107693050750015</c:v>
                </c:pt>
                <c:pt idx="30">
                  <c:v>-89.562103050750011</c:v>
                </c:pt>
                <c:pt idx="31">
                  <c:v>-92.91336789075001</c:v>
                </c:pt>
                <c:pt idx="32">
                  <c:v>-95.109026190750001</c:v>
                </c:pt>
                <c:pt idx="33">
                  <c:v>-97.246370190749985</c:v>
                </c:pt>
                <c:pt idx="34">
                  <c:v>-111.18435536175002</c:v>
                </c:pt>
                <c:pt idx="35">
                  <c:v>-114.95334179175006</c:v>
                </c:pt>
                <c:pt idx="36">
                  <c:v>-122.18075429175002</c:v>
                </c:pt>
                <c:pt idx="37">
                  <c:v>-123.46164929175006</c:v>
                </c:pt>
                <c:pt idx="38">
                  <c:v>-131.18066732925007</c:v>
                </c:pt>
                <c:pt idx="39">
                  <c:v>-137.96503518639298</c:v>
                </c:pt>
                <c:pt idx="40">
                  <c:v>-137.96503518639298</c:v>
                </c:pt>
                <c:pt idx="41">
                  <c:v>-137.96503518639298</c:v>
                </c:pt>
                <c:pt idx="42">
                  <c:v>-137.96503518639298</c:v>
                </c:pt>
                <c:pt idx="43">
                  <c:v>-137.96503518639298</c:v>
                </c:pt>
                <c:pt idx="44">
                  <c:v>-137.96503518639298</c:v>
                </c:pt>
              </c:numCache>
            </c:numRef>
          </c:yVal>
          <c:smooth val="0"/>
          <c:extLst>
            <c:ext xmlns:c16="http://schemas.microsoft.com/office/drawing/2014/chart" uri="{C3380CC4-5D6E-409C-BE32-E72D297353CC}">
              <c16:uniqueId val="{00000000-AAF8-4D03-939C-FB2CC56A3C56}"/>
            </c:ext>
          </c:extLst>
        </c:ser>
        <c:ser>
          <c:idx val="1"/>
          <c:order val="1"/>
          <c:tx>
            <c:strRef>
              <c:f>Paris_Outflow!$AX$3</c:f>
              <c:strCache>
                <c:ptCount val="1"/>
                <c:pt idx="0">
                  <c:v>CO2 emissions, average</c:v>
                </c:pt>
              </c:strCache>
            </c:strRef>
          </c:tx>
          <c:spPr>
            <a:ln w="19050" cap="rnd">
              <a:solidFill>
                <a:schemeClr val="accent2"/>
              </a:solidFill>
              <a:round/>
            </a:ln>
            <a:effectLst/>
          </c:spPr>
          <c:marker>
            <c:symbol val="none"/>
          </c:marker>
          <c:xVal>
            <c:numRef>
              <c:f>Paris_Outflow!$A$81:$A$125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Paris_Outflow!$AX$81:$AX$125</c:f>
              <c:numCache>
                <c:formatCode>#,##0</c:formatCode>
                <c:ptCount val="45"/>
                <c:pt idx="0">
                  <c:v>-0.55220816480487556</c:v>
                </c:pt>
                <c:pt idx="1">
                  <c:v>-8.3782706819730599</c:v>
                </c:pt>
                <c:pt idx="2">
                  <c:v>-9.5910864934439211</c:v>
                </c:pt>
                <c:pt idx="3">
                  <c:v>-9.5910864934439211</c:v>
                </c:pt>
                <c:pt idx="4">
                  <c:v>-17.520601233233201</c:v>
                </c:pt>
                <c:pt idx="5">
                  <c:v>-17.520601233233201</c:v>
                </c:pt>
                <c:pt idx="6">
                  <c:v>-23.474752261643246</c:v>
                </c:pt>
                <c:pt idx="7">
                  <c:v>-23.474752261643246</c:v>
                </c:pt>
                <c:pt idx="8">
                  <c:v>-28.145988875394949</c:v>
                </c:pt>
                <c:pt idx="9">
                  <c:v>-110.78740887539497</c:v>
                </c:pt>
                <c:pt idx="10">
                  <c:v>-116.07431168974723</c:v>
                </c:pt>
                <c:pt idx="11">
                  <c:v>-116.07431168974723</c:v>
                </c:pt>
                <c:pt idx="12">
                  <c:v>-174.8488271567104</c:v>
                </c:pt>
                <c:pt idx="13">
                  <c:v>-227.18273562170236</c:v>
                </c:pt>
                <c:pt idx="14">
                  <c:v>-235.77228391311979</c:v>
                </c:pt>
                <c:pt idx="15">
                  <c:v>-467.62972335828897</c:v>
                </c:pt>
                <c:pt idx="16">
                  <c:v>-492.77141720594244</c:v>
                </c:pt>
                <c:pt idx="17">
                  <c:v>-535.76011143647702</c:v>
                </c:pt>
                <c:pt idx="18">
                  <c:v>-611.22858807335035</c:v>
                </c:pt>
                <c:pt idx="19">
                  <c:v>-683.68404505442345</c:v>
                </c:pt>
                <c:pt idx="20">
                  <c:v>-716.9335832459941</c:v>
                </c:pt>
                <c:pt idx="21">
                  <c:v>-760.21434149059405</c:v>
                </c:pt>
                <c:pt idx="22">
                  <c:v>-896.66070562393952</c:v>
                </c:pt>
                <c:pt idx="23">
                  <c:v>-910.96346106337182</c:v>
                </c:pt>
                <c:pt idx="24">
                  <c:v>-974.30233366008099</c:v>
                </c:pt>
                <c:pt idx="25">
                  <c:v>-1101.1012243389494</c:v>
                </c:pt>
                <c:pt idx="26">
                  <c:v>-1149.8233419747683</c:v>
                </c:pt>
                <c:pt idx="27">
                  <c:v>-1232.9928032404823</c:v>
                </c:pt>
                <c:pt idx="28">
                  <c:v>-1386.3314368348738</c:v>
                </c:pt>
                <c:pt idx="29">
                  <c:v>-1417.032114340481</c:v>
                </c:pt>
                <c:pt idx="30">
                  <c:v>-1425.9135322906036</c:v>
                </c:pt>
                <c:pt idx="31">
                  <c:v>-1491.4144888850476</c:v>
                </c:pt>
                <c:pt idx="32">
                  <c:v>-1534.3292158970703</c:v>
                </c:pt>
                <c:pt idx="33">
                  <c:v>-1576.1043323541792</c:v>
                </c:pt>
                <c:pt idx="34">
                  <c:v>-1848.5276246840895</c:v>
                </c:pt>
                <c:pt idx="35">
                  <c:v>-1922.1940196429218</c:v>
                </c:pt>
                <c:pt idx="36">
                  <c:v>-2063.4568983857812</c:v>
                </c:pt>
                <c:pt idx="37">
                  <c:v>-2088.4925536330161</c:v>
                </c:pt>
                <c:pt idx="38">
                  <c:v>-2239.3641976218241</c:v>
                </c:pt>
                <c:pt idx="39">
                  <c:v>-2371.9677127048835</c:v>
                </c:pt>
                <c:pt idx="40">
                  <c:v>-2371.9677127048835</c:v>
                </c:pt>
                <c:pt idx="41">
                  <c:v>-2371.9677127048835</c:v>
                </c:pt>
                <c:pt idx="42">
                  <c:v>-2371.9677127048835</c:v>
                </c:pt>
                <c:pt idx="43">
                  <c:v>-2371.9677127048835</c:v>
                </c:pt>
                <c:pt idx="44">
                  <c:v>-2371.9677127048835</c:v>
                </c:pt>
              </c:numCache>
            </c:numRef>
          </c:yVal>
          <c:smooth val="0"/>
          <c:extLst>
            <c:ext xmlns:c16="http://schemas.microsoft.com/office/drawing/2014/chart" uri="{C3380CC4-5D6E-409C-BE32-E72D297353CC}">
              <c16:uniqueId val="{00000001-AAF8-4D03-939C-FB2CC56A3C56}"/>
            </c:ext>
          </c:extLst>
        </c:ser>
        <c:ser>
          <c:idx val="2"/>
          <c:order val="2"/>
          <c:tx>
            <c:strRef>
              <c:f>Paris_Outflow!$AY$3</c:f>
              <c:strCache>
                <c:ptCount val="1"/>
                <c:pt idx="0">
                  <c:v>CO2 emissions, max</c:v>
                </c:pt>
              </c:strCache>
            </c:strRef>
          </c:tx>
          <c:spPr>
            <a:ln w="19050" cap="rnd">
              <a:solidFill>
                <a:schemeClr val="accent3"/>
              </a:solidFill>
              <a:round/>
            </a:ln>
            <a:effectLst/>
          </c:spPr>
          <c:marker>
            <c:symbol val="none"/>
          </c:marker>
          <c:xVal>
            <c:numRef>
              <c:f>Paris_Outflow!$A$81:$A$125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Paris_Outflow!$AY$81:$AY$125</c:f>
              <c:numCache>
                <c:formatCode>#,##0</c:formatCode>
                <c:ptCount val="45"/>
                <c:pt idx="0">
                  <c:v>-0.66904722237347025</c:v>
                </c:pt>
                <c:pt idx="1">
                  <c:v>-10.942014761001882</c:v>
                </c:pt>
                <c:pt idx="2">
                  <c:v>-12.68872331181133</c:v>
                </c:pt>
                <c:pt idx="3">
                  <c:v>-12.68872331181133</c:v>
                </c:pt>
                <c:pt idx="4">
                  <c:v>-26.411886163837195</c:v>
                </c:pt>
                <c:pt idx="5">
                  <c:v>-26.411886163837195</c:v>
                </c:pt>
                <c:pt idx="6">
                  <c:v>-38.110708667759795</c:v>
                </c:pt>
                <c:pt idx="7">
                  <c:v>-38.110708667759795</c:v>
                </c:pt>
                <c:pt idx="8">
                  <c:v>-47.891262048701144</c:v>
                </c:pt>
                <c:pt idx="9">
                  <c:v>-223.77853204870115</c:v>
                </c:pt>
                <c:pt idx="10">
                  <c:v>-235.14721879349372</c:v>
                </c:pt>
                <c:pt idx="11">
                  <c:v>-235.14721879349372</c:v>
                </c:pt>
                <c:pt idx="12">
                  <c:v>-362.8442267691608</c:v>
                </c:pt>
                <c:pt idx="13">
                  <c:v>-476.82175631539269</c:v>
                </c:pt>
                <c:pt idx="14">
                  <c:v>-495.55630247108189</c:v>
                </c:pt>
                <c:pt idx="15">
                  <c:v>-1001.7087524727125</c:v>
                </c:pt>
                <c:pt idx="16">
                  <c:v>-1056.6236655049331</c:v>
                </c:pt>
                <c:pt idx="17">
                  <c:v>-1150.551216823636</c:v>
                </c:pt>
                <c:pt idx="18">
                  <c:v>-1315.4779717566009</c:v>
                </c:pt>
                <c:pt idx="19">
                  <c:v>-1473.8393562015153</c:v>
                </c:pt>
                <c:pt idx="20">
                  <c:v>-1546.5161493087994</c:v>
                </c:pt>
                <c:pt idx="21">
                  <c:v>-1641.1233906716493</c:v>
                </c:pt>
                <c:pt idx="22">
                  <c:v>-1939.3890418466765</c:v>
                </c:pt>
                <c:pt idx="23">
                  <c:v>-1970.6547390853991</c:v>
                </c:pt>
                <c:pt idx="24">
                  <c:v>-2109.114334859245</c:v>
                </c:pt>
                <c:pt idx="25">
                  <c:v>-2386.3000263866984</c:v>
                </c:pt>
                <c:pt idx="26">
                  <c:v>-2492.8082401297911</c:v>
                </c:pt>
                <c:pt idx="27">
                  <c:v>-2674.6199279776483</c:v>
                </c:pt>
                <c:pt idx="28">
                  <c:v>-3009.8246165650289</c:v>
                </c:pt>
                <c:pt idx="29">
                  <c:v>-3076.9376409526453</c:v>
                </c:pt>
                <c:pt idx="30">
                  <c:v>-3096.3528188404202</c:v>
                </c:pt>
                <c:pt idx="31">
                  <c:v>-3239.5408901279197</c:v>
                </c:pt>
                <c:pt idx="32">
                  <c:v>-3333.3544530299705</c:v>
                </c:pt>
                <c:pt idx="33">
                  <c:v>-3424.6767850584652</c:v>
                </c:pt>
                <c:pt idx="34">
                  <c:v>-4020.2067113370131</c:v>
                </c:pt>
                <c:pt idx="35">
                  <c:v>-4181.2448669568848</c:v>
                </c:pt>
                <c:pt idx="36">
                  <c:v>-4490.0520785033186</c:v>
                </c:pt>
                <c:pt idx="37">
                  <c:v>-4544.7811840595969</c:v>
                </c:pt>
                <c:pt idx="38">
                  <c:v>-4874.5936104875382</c:v>
                </c:pt>
                <c:pt idx="39">
                  <c:v>-5164.4710596029945</c:v>
                </c:pt>
                <c:pt idx="40">
                  <c:v>-5164.4710596029945</c:v>
                </c:pt>
                <c:pt idx="41">
                  <c:v>-5164.4710596029945</c:v>
                </c:pt>
                <c:pt idx="42">
                  <c:v>-5164.4710596029945</c:v>
                </c:pt>
                <c:pt idx="43">
                  <c:v>-5164.4710596029945</c:v>
                </c:pt>
                <c:pt idx="44">
                  <c:v>-5164.4710596029945</c:v>
                </c:pt>
              </c:numCache>
            </c:numRef>
          </c:yVal>
          <c:smooth val="0"/>
          <c:extLst>
            <c:ext xmlns:c16="http://schemas.microsoft.com/office/drawing/2014/chart" uri="{C3380CC4-5D6E-409C-BE32-E72D297353CC}">
              <c16:uniqueId val="{00000002-AAF8-4D03-939C-FB2CC56A3C56}"/>
            </c:ext>
          </c:extLst>
        </c:ser>
        <c:dLbls>
          <c:showLegendKey val="0"/>
          <c:showVal val="0"/>
          <c:showCatName val="0"/>
          <c:showSerName val="0"/>
          <c:showPercent val="0"/>
          <c:showBubbleSize val="0"/>
        </c:dLbls>
        <c:axId val="1859657056"/>
        <c:axId val="1859657888"/>
        <c:extLst/>
      </c:scatterChart>
      <c:valAx>
        <c:axId val="1859657056"/>
        <c:scaling>
          <c:orientation val="minMax"/>
          <c:max val="207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max"/>
        <c:crossBetween val="midCat"/>
      </c:valAx>
      <c:valAx>
        <c:axId val="1859657888"/>
        <c:scaling>
          <c:orientation val="minMax"/>
          <c:min val="-6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Paris_Outflow!$BA$3</c:f>
              <c:strCache>
                <c:ptCount val="1"/>
                <c:pt idx="0">
                  <c:v>CO2 emissions, min</c:v>
                </c:pt>
              </c:strCache>
            </c:strRef>
          </c:tx>
          <c:spPr>
            <a:ln w="19050" cap="rnd">
              <a:solidFill>
                <a:schemeClr val="accent1"/>
              </a:solidFill>
              <a:round/>
            </a:ln>
            <a:effectLst/>
          </c:spPr>
          <c:marker>
            <c:symbol val="none"/>
          </c:marker>
          <c:xVal>
            <c:numRef>
              <c:f>Paris_Outflow!$A$80:$A$125</c:f>
              <c:numCache>
                <c:formatCode>General</c:formatCode>
                <c:ptCount val="46"/>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pt idx="28">
                  <c:v>2053</c:v>
                </c:pt>
                <c:pt idx="29">
                  <c:v>2054</c:v>
                </c:pt>
                <c:pt idx="30">
                  <c:v>2055</c:v>
                </c:pt>
                <c:pt idx="31">
                  <c:v>2056</c:v>
                </c:pt>
                <c:pt idx="32">
                  <c:v>2057</c:v>
                </c:pt>
                <c:pt idx="33">
                  <c:v>2058</c:v>
                </c:pt>
                <c:pt idx="34">
                  <c:v>2059</c:v>
                </c:pt>
                <c:pt idx="35">
                  <c:v>2060</c:v>
                </c:pt>
                <c:pt idx="36">
                  <c:v>2061</c:v>
                </c:pt>
                <c:pt idx="37">
                  <c:v>2062</c:v>
                </c:pt>
                <c:pt idx="38">
                  <c:v>2063</c:v>
                </c:pt>
                <c:pt idx="39">
                  <c:v>2064</c:v>
                </c:pt>
                <c:pt idx="40">
                  <c:v>2065</c:v>
                </c:pt>
                <c:pt idx="41">
                  <c:v>2066</c:v>
                </c:pt>
                <c:pt idx="42">
                  <c:v>2067</c:v>
                </c:pt>
                <c:pt idx="43">
                  <c:v>2068</c:v>
                </c:pt>
                <c:pt idx="44">
                  <c:v>2069</c:v>
                </c:pt>
                <c:pt idx="45">
                  <c:v>2070</c:v>
                </c:pt>
              </c:numCache>
            </c:numRef>
          </c:xVal>
          <c:yVal>
            <c:numRef>
              <c:f>Paris_Outflow!$BA$81:$BA$125</c:f>
              <c:numCache>
                <c:formatCode>#,##0</c:formatCode>
                <c:ptCount val="45"/>
                <c:pt idx="0">
                  <c:v>-0.33362684999999992</c:v>
                </c:pt>
                <c:pt idx="1">
                  <c:v>-4.6016548499999992</c:v>
                </c:pt>
                <c:pt idx="2">
                  <c:v>-5.1730742100000029</c:v>
                </c:pt>
                <c:pt idx="3">
                  <c:v>-5.1730742100000029</c:v>
                </c:pt>
                <c:pt idx="4">
                  <c:v>-7.5691442100000046</c:v>
                </c:pt>
                <c:pt idx="5">
                  <c:v>-7.5691442100000046</c:v>
                </c:pt>
                <c:pt idx="6">
                  <c:v>-8.5570815539999998</c:v>
                </c:pt>
                <c:pt idx="7">
                  <c:v>-8.5570815539999998</c:v>
                </c:pt>
                <c:pt idx="8">
                  <c:v>-8.9816511539999979</c:v>
                </c:pt>
                <c:pt idx="9">
                  <c:v>-14.832371153999986</c:v>
                </c:pt>
                <c:pt idx="10">
                  <c:v>-15.138898913999981</c:v>
                </c:pt>
                <c:pt idx="11">
                  <c:v>-15.138898913999981</c:v>
                </c:pt>
                <c:pt idx="12">
                  <c:v>-17.783641793999976</c:v>
                </c:pt>
                <c:pt idx="13">
                  <c:v>-19.979286593999973</c:v>
                </c:pt>
                <c:pt idx="14">
                  <c:v>-20.32368659399998</c:v>
                </c:pt>
                <c:pt idx="15">
                  <c:v>-29.357454593999989</c:v>
                </c:pt>
                <c:pt idx="16">
                  <c:v>-30.319722593999984</c:v>
                </c:pt>
                <c:pt idx="17">
                  <c:v>-31.947074273999988</c:v>
                </c:pt>
                <c:pt idx="18">
                  <c:v>-34.784786273999998</c:v>
                </c:pt>
                <c:pt idx="19">
                  <c:v>-37.498033553999988</c:v>
                </c:pt>
                <c:pt idx="20">
                  <c:v>-38.740022105999969</c:v>
                </c:pt>
                <c:pt idx="21">
                  <c:v>-40.35425610599998</c:v>
                </c:pt>
                <c:pt idx="22">
                  <c:v>-45.438572106000009</c:v>
                </c:pt>
                <c:pt idx="23">
                  <c:v>-45.971228105999984</c:v>
                </c:pt>
                <c:pt idx="24">
                  <c:v>-48.329260145999967</c:v>
                </c:pt>
                <c:pt idx="25">
                  <c:v>-53.048860145999981</c:v>
                </c:pt>
                <c:pt idx="26">
                  <c:v>-54.86212614599998</c:v>
                </c:pt>
                <c:pt idx="27">
                  <c:v>-57.957166145999963</c:v>
                </c:pt>
                <c:pt idx="28">
                  <c:v>-63.663194945999976</c:v>
                </c:pt>
                <c:pt idx="29">
                  <c:v>-64.805594945999985</c:v>
                </c:pt>
                <c:pt idx="30">
                  <c:v>-65.136074945999951</c:v>
                </c:pt>
                <c:pt idx="31">
                  <c:v>-67.573358465999945</c:v>
                </c:pt>
                <c:pt idx="32">
                  <c:v>-69.170200865999902</c:v>
                </c:pt>
                <c:pt idx="33">
                  <c:v>-70.724632865999865</c:v>
                </c:pt>
                <c:pt idx="34">
                  <c:v>-80.861349353999856</c:v>
                </c:pt>
                <c:pt idx="35">
                  <c:v>-83.602430393999896</c:v>
                </c:pt>
                <c:pt idx="36">
                  <c:v>-88.858730393999849</c:v>
                </c:pt>
                <c:pt idx="37">
                  <c:v>-89.790290393999896</c:v>
                </c:pt>
                <c:pt idx="38">
                  <c:v>-95.404121693999912</c:v>
                </c:pt>
                <c:pt idx="39">
                  <c:v>-100.33820740828571</c:v>
                </c:pt>
                <c:pt idx="40">
                  <c:v>-100.33820740828571</c:v>
                </c:pt>
                <c:pt idx="41">
                  <c:v>-100.33820740828571</c:v>
                </c:pt>
                <c:pt idx="42">
                  <c:v>-100.33820740828571</c:v>
                </c:pt>
                <c:pt idx="43">
                  <c:v>-100.33820740828571</c:v>
                </c:pt>
                <c:pt idx="44">
                  <c:v>-100.33820740828571</c:v>
                </c:pt>
              </c:numCache>
            </c:numRef>
          </c:yVal>
          <c:smooth val="0"/>
          <c:extLst>
            <c:ext xmlns:c16="http://schemas.microsoft.com/office/drawing/2014/chart" uri="{C3380CC4-5D6E-409C-BE32-E72D297353CC}">
              <c16:uniqueId val="{00000000-A5C1-4378-B920-854774BC3C99}"/>
            </c:ext>
          </c:extLst>
        </c:ser>
        <c:ser>
          <c:idx val="1"/>
          <c:order val="1"/>
          <c:tx>
            <c:strRef>
              <c:f>Paris_Outflow!$BB$3</c:f>
              <c:strCache>
                <c:ptCount val="1"/>
                <c:pt idx="0">
                  <c:v>CO2 emissions, average</c:v>
                </c:pt>
              </c:strCache>
            </c:strRef>
          </c:tx>
          <c:spPr>
            <a:ln w="19050" cap="rnd">
              <a:solidFill>
                <a:schemeClr val="accent2"/>
              </a:solidFill>
              <a:round/>
            </a:ln>
            <a:effectLst/>
          </c:spPr>
          <c:marker>
            <c:symbol val="none"/>
          </c:marker>
          <c:xVal>
            <c:numRef>
              <c:f>Paris_Outflow!$A$81:$A$125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Paris_Outflow!$BB$81:$BB$125</c:f>
              <c:numCache>
                <c:formatCode>#,##0</c:formatCode>
                <c:ptCount val="45"/>
                <c:pt idx="0">
                  <c:v>-0.42159978746341209</c:v>
                </c:pt>
                <c:pt idx="1">
                  <c:v>-6.5320033330334653</c:v>
                </c:pt>
                <c:pt idx="2">
                  <c:v>-7.5054125203001583</c:v>
                </c:pt>
                <c:pt idx="3">
                  <c:v>-7.5054125203001583</c:v>
                </c:pt>
                <c:pt idx="4">
                  <c:v>-14.263758745984184</c:v>
                </c:pt>
                <c:pt idx="5">
                  <c:v>-14.263758745984184</c:v>
                </c:pt>
                <c:pt idx="6">
                  <c:v>-19.577095789193635</c:v>
                </c:pt>
                <c:pt idx="7">
                  <c:v>-19.577095789193635</c:v>
                </c:pt>
                <c:pt idx="8">
                  <c:v>-23.848680366842295</c:v>
                </c:pt>
                <c:pt idx="9">
                  <c:v>-99.908040366842314</c:v>
                </c:pt>
                <c:pt idx="10">
                  <c:v>-104.79379367446796</c:v>
                </c:pt>
                <c:pt idx="11">
                  <c:v>-104.79379367446796</c:v>
                </c:pt>
                <c:pt idx="12">
                  <c:v>-159.33311914925682</c:v>
                </c:pt>
                <c:pt idx="13">
                  <c:v>-207.94278452807279</c:v>
                </c:pt>
                <c:pt idx="14">
                  <c:v>-215.9257711552892</c:v>
                </c:pt>
                <c:pt idx="15">
                  <c:v>-431.48754710368371</c:v>
                </c:pt>
                <c:pt idx="16">
                  <c:v>-454.86729778382812</c:v>
                </c:pt>
                <c:pt idx="17">
                  <c:v>-494.84861244786072</c:v>
                </c:pt>
                <c:pt idx="18">
                  <c:v>-565.04314575315323</c:v>
                </c:pt>
                <c:pt idx="19">
                  <c:v>-632.43850312357495</c:v>
                </c:pt>
                <c:pt idx="20">
                  <c:v>-663.36689537681798</c:v>
                </c:pt>
                <c:pt idx="21">
                  <c:v>-703.62695195997094</c:v>
                </c:pt>
                <c:pt idx="22">
                  <c:v>-830.55167232076656</c:v>
                </c:pt>
                <c:pt idx="23">
                  <c:v>-843.85642567552645</c:v>
                </c:pt>
                <c:pt idx="24">
                  <c:v>-902.775943401841</c:v>
                </c:pt>
                <c:pt idx="25">
                  <c:v>-1020.727958158423</c:v>
                </c:pt>
                <c:pt idx="26">
                  <c:v>-1066.0507553450759</c:v>
                </c:pt>
                <c:pt idx="27">
                  <c:v>-1143.4175894775128</c:v>
                </c:pt>
                <c:pt idx="28">
                  <c:v>-1286.0580596839989</c:v>
                </c:pt>
                <c:pt idx="29">
                  <c:v>-1314.6168149833939</c:v>
                </c:pt>
                <c:pt idx="30">
                  <c:v>-1322.8785965835091</c:v>
                </c:pt>
                <c:pt idx="31">
                  <c:v>-1383.8097076371037</c:v>
                </c:pt>
                <c:pt idx="32">
                  <c:v>-1423.7303794131251</c:v>
                </c:pt>
                <c:pt idx="33">
                  <c:v>-1462.5909501962863</c:v>
                </c:pt>
                <c:pt idx="34">
                  <c:v>-1716.0079557750255</c:v>
                </c:pt>
                <c:pt idx="35">
                  <c:v>-1784.5348330774559</c:v>
                </c:pt>
                <c:pt idx="36">
                  <c:v>-1915.9421601295589</c:v>
                </c:pt>
                <c:pt idx="37">
                  <c:v>-1939.2311415387212</c:v>
                </c:pt>
                <c:pt idx="38">
                  <c:v>-2079.576856087011</c:v>
                </c:pt>
                <c:pt idx="39">
                  <c:v>-2202.9289627198063</c:v>
                </c:pt>
                <c:pt idx="40">
                  <c:v>-2202.9289627198063</c:v>
                </c:pt>
                <c:pt idx="41">
                  <c:v>-2202.9289627198063</c:v>
                </c:pt>
                <c:pt idx="42">
                  <c:v>-2202.9289627198063</c:v>
                </c:pt>
                <c:pt idx="43">
                  <c:v>-2202.9289627198063</c:v>
                </c:pt>
                <c:pt idx="44">
                  <c:v>-2202.9289627198063</c:v>
                </c:pt>
              </c:numCache>
            </c:numRef>
          </c:yVal>
          <c:smooth val="0"/>
          <c:extLst>
            <c:ext xmlns:c16="http://schemas.microsoft.com/office/drawing/2014/chart" uri="{C3380CC4-5D6E-409C-BE32-E72D297353CC}">
              <c16:uniqueId val="{00000001-A5C1-4378-B920-854774BC3C99}"/>
            </c:ext>
          </c:extLst>
        </c:ser>
        <c:ser>
          <c:idx val="2"/>
          <c:order val="2"/>
          <c:tx>
            <c:strRef>
              <c:f>Paris_Outflow!$BC$3</c:f>
              <c:strCache>
                <c:ptCount val="1"/>
                <c:pt idx="0">
                  <c:v>CO2 emissions, max</c:v>
                </c:pt>
              </c:strCache>
            </c:strRef>
          </c:tx>
          <c:spPr>
            <a:ln w="19050" cap="rnd">
              <a:solidFill>
                <a:schemeClr val="accent3"/>
              </a:solidFill>
              <a:round/>
            </a:ln>
            <a:effectLst/>
          </c:spPr>
          <c:marker>
            <c:symbol val="none"/>
          </c:marker>
          <c:xVal>
            <c:numRef>
              <c:f>Paris_Outflow!$A$81:$A$125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Paris_Outflow!$BC$81:$BC$125</c:f>
              <c:numCache>
                <c:formatCode>#,##0</c:formatCode>
                <c:ptCount val="45"/>
                <c:pt idx="0">
                  <c:v>-0.53156595929267803</c:v>
                </c:pt>
                <c:pt idx="1">
                  <c:v>-8.9449389368253023</c:v>
                </c:pt>
                <c:pt idx="2">
                  <c:v>-10.420835408175371</c:v>
                </c:pt>
                <c:pt idx="3">
                  <c:v>-10.420835408175371</c:v>
                </c:pt>
                <c:pt idx="4">
                  <c:v>-22.632026915964424</c:v>
                </c:pt>
                <c:pt idx="5">
                  <c:v>-22.632026915964424</c:v>
                </c:pt>
                <c:pt idx="6">
                  <c:v>-33.352113583185691</c:v>
                </c:pt>
                <c:pt idx="7">
                  <c:v>-33.352113583185691</c:v>
                </c:pt>
                <c:pt idx="8">
                  <c:v>-42.432466882895199</c:v>
                </c:pt>
                <c:pt idx="9">
                  <c:v>-206.25262688289521</c:v>
                </c:pt>
                <c:pt idx="10">
                  <c:v>-216.86241212505294</c:v>
                </c:pt>
                <c:pt idx="11">
                  <c:v>-216.86241212505294</c:v>
                </c:pt>
                <c:pt idx="12">
                  <c:v>-336.26996584332784</c:v>
                </c:pt>
                <c:pt idx="13">
                  <c:v>-442.89715694566371</c:v>
                </c:pt>
                <c:pt idx="14">
                  <c:v>-460.42837685690063</c:v>
                </c:pt>
                <c:pt idx="15">
                  <c:v>-934.15016274078835</c:v>
                </c:pt>
                <c:pt idx="16">
                  <c:v>-985.55176677111342</c:v>
                </c:pt>
                <c:pt idx="17">
                  <c:v>-1073.4755351651868</c:v>
                </c:pt>
                <c:pt idx="18">
                  <c:v>-1227.866095102095</c:v>
                </c:pt>
                <c:pt idx="19">
                  <c:v>-1376.1140900855437</c:v>
                </c:pt>
                <c:pt idx="20">
                  <c:v>-1444.1504869653406</c:v>
                </c:pt>
                <c:pt idx="21">
                  <c:v>-1532.7178217774347</c:v>
                </c:pt>
                <c:pt idx="22">
                  <c:v>-1811.943047589225</c:v>
                </c:pt>
                <c:pt idx="23">
                  <c:v>-1841.2129226374345</c:v>
                </c:pt>
                <c:pt idx="24">
                  <c:v>-1970.8342974716422</c:v>
                </c:pt>
                <c:pt idx="25">
                  <c:v>-2230.3268306739515</c:v>
                </c:pt>
                <c:pt idx="26">
                  <c:v>-2330.036541843921</c:v>
                </c:pt>
                <c:pt idx="27">
                  <c:v>-2500.2431186419044</c:v>
                </c:pt>
                <c:pt idx="28">
                  <c:v>-2814.0516406064976</c:v>
                </c:pt>
                <c:pt idx="29">
                  <c:v>-2876.8808400301368</c:v>
                </c:pt>
                <c:pt idx="30">
                  <c:v>-2895.0567486303958</c:v>
                </c:pt>
                <c:pt idx="31">
                  <c:v>-3029.1051441009831</c:v>
                </c:pt>
                <c:pt idx="32">
                  <c:v>-3116.9306025970313</c:v>
                </c:pt>
                <c:pt idx="33">
                  <c:v>-3202.4238468591439</c:v>
                </c:pt>
                <c:pt idx="34">
                  <c:v>-3759.9412138013067</c:v>
                </c:pt>
                <c:pt idx="35">
                  <c:v>-3910.7003364317743</c:v>
                </c:pt>
                <c:pt idx="36">
                  <c:v>-4199.7964472990061</c:v>
                </c:pt>
                <c:pt idx="37">
                  <c:v>-4251.0322054696198</c:v>
                </c:pt>
                <c:pt idx="38">
                  <c:v>-4559.7927740782716</c:v>
                </c:pt>
                <c:pt idx="39">
                  <c:v>-4831.1674068592047</c:v>
                </c:pt>
                <c:pt idx="40">
                  <c:v>-4831.1674068592047</c:v>
                </c:pt>
                <c:pt idx="41">
                  <c:v>-4831.1674068592047</c:v>
                </c:pt>
                <c:pt idx="42">
                  <c:v>-4831.1674068592047</c:v>
                </c:pt>
                <c:pt idx="43">
                  <c:v>-4831.1674068592047</c:v>
                </c:pt>
                <c:pt idx="44">
                  <c:v>-4831.1674068592047</c:v>
                </c:pt>
              </c:numCache>
            </c:numRef>
          </c:yVal>
          <c:smooth val="0"/>
          <c:extLst>
            <c:ext xmlns:c16="http://schemas.microsoft.com/office/drawing/2014/chart" uri="{C3380CC4-5D6E-409C-BE32-E72D297353CC}">
              <c16:uniqueId val="{00000002-A5C1-4378-B920-854774BC3C99}"/>
            </c:ext>
          </c:extLst>
        </c:ser>
        <c:dLbls>
          <c:showLegendKey val="0"/>
          <c:showVal val="0"/>
          <c:showCatName val="0"/>
          <c:showSerName val="0"/>
          <c:showPercent val="0"/>
          <c:showBubbleSize val="0"/>
        </c:dLbls>
        <c:axId val="1859657056"/>
        <c:axId val="1859657888"/>
        <c:extLst/>
      </c:scatterChart>
      <c:valAx>
        <c:axId val="1859657056"/>
        <c:scaling>
          <c:orientation val="minMax"/>
          <c:max val="207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max"/>
        <c:crossBetween val="midCat"/>
      </c:valAx>
      <c:valAx>
        <c:axId val="1859657888"/>
        <c:scaling>
          <c:orientation val="minMax"/>
          <c:min val="-6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Paris_Inflow!$S$3</c:f>
              <c:strCache>
                <c:ptCount val="1"/>
                <c:pt idx="0">
                  <c:v>raw materials</c:v>
                </c:pt>
              </c:strCache>
            </c:strRef>
          </c:tx>
          <c:spPr>
            <a:ln w="19050" cap="rnd">
              <a:solidFill>
                <a:schemeClr val="accent1"/>
              </a:solidFill>
              <a:round/>
            </a:ln>
            <a:effectLst/>
          </c:spPr>
          <c:marker>
            <c:symbol val="none"/>
          </c:marker>
          <c:xVal>
            <c:numRef>
              <c:f>Paris_Inflow!$A$5:$A$125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Paris_Inflow!$S$5:$S$80</c:f>
              <c:numCache>
                <c:formatCode>#,##0</c:formatCode>
                <c:ptCount val="76"/>
                <c:pt idx="0">
                  <c:v>0</c:v>
                </c:pt>
                <c:pt idx="1">
                  <c:v>0</c:v>
                </c:pt>
                <c:pt idx="2">
                  <c:v>0</c:v>
                </c:pt>
                <c:pt idx="3">
                  <c:v>0</c:v>
                </c:pt>
                <c:pt idx="4">
                  <c:v>0</c:v>
                </c:pt>
                <c:pt idx="5">
                  <c:v>0</c:v>
                </c:pt>
                <c:pt idx="6">
                  <c:v>0</c:v>
                </c:pt>
                <c:pt idx="7">
                  <c:v>90.700988524890974</c:v>
                </c:pt>
                <c:pt idx="8">
                  <c:v>90.700988524890974</c:v>
                </c:pt>
                <c:pt idx="9">
                  <c:v>90.700988524890974</c:v>
                </c:pt>
                <c:pt idx="10">
                  <c:v>90.700988524890974</c:v>
                </c:pt>
                <c:pt idx="11">
                  <c:v>209.36723331870826</c:v>
                </c:pt>
                <c:pt idx="12">
                  <c:v>209.36723331870826</c:v>
                </c:pt>
                <c:pt idx="13">
                  <c:v>1929.8752660545229</c:v>
                </c:pt>
                <c:pt idx="14">
                  <c:v>1929.8752660545229</c:v>
                </c:pt>
                <c:pt idx="15">
                  <c:v>1929.8752660545229</c:v>
                </c:pt>
                <c:pt idx="16">
                  <c:v>2478.0402395755236</c:v>
                </c:pt>
                <c:pt idx="17">
                  <c:v>2737.7278027800771</c:v>
                </c:pt>
                <c:pt idx="18">
                  <c:v>2926.9045275044418</c:v>
                </c:pt>
                <c:pt idx="19">
                  <c:v>3266.413936042326</c:v>
                </c:pt>
                <c:pt idx="20">
                  <c:v>4219.5477937852975</c:v>
                </c:pt>
                <c:pt idx="21">
                  <c:v>4601.798587712522</c:v>
                </c:pt>
                <c:pt idx="22">
                  <c:v>6195.2511165248834</c:v>
                </c:pt>
                <c:pt idx="23">
                  <c:v>6972.0787007976724</c:v>
                </c:pt>
                <c:pt idx="24">
                  <c:v>10883.222523910648</c:v>
                </c:pt>
                <c:pt idx="25">
                  <c:v>13025.183711158634</c:v>
                </c:pt>
                <c:pt idx="26">
                  <c:v>13419.144250822686</c:v>
                </c:pt>
                <c:pt idx="27">
                  <c:v>13419.144250822686</c:v>
                </c:pt>
                <c:pt idx="28">
                  <c:v>13843.109173196219</c:v>
                </c:pt>
                <c:pt idx="29">
                  <c:v>13843.109173196219</c:v>
                </c:pt>
                <c:pt idx="30">
                  <c:v>14012.266978497613</c:v>
                </c:pt>
                <c:pt idx="31">
                  <c:v>14734.246531131716</c:v>
                </c:pt>
                <c:pt idx="32">
                  <c:v>15440.583001077286</c:v>
                </c:pt>
                <c:pt idx="33">
                  <c:v>16359.952141088412</c:v>
                </c:pt>
                <c:pt idx="34">
                  <c:v>17565.327155855066</c:v>
                </c:pt>
                <c:pt idx="35">
                  <c:v>20307.406951665293</c:v>
                </c:pt>
                <c:pt idx="36">
                  <c:v>21723.363923437832</c:v>
                </c:pt>
                <c:pt idx="37">
                  <c:v>21723.363923437832</c:v>
                </c:pt>
                <c:pt idx="38">
                  <c:v>22949.749465252167</c:v>
                </c:pt>
                <c:pt idx="39">
                  <c:v>24192.223949197756</c:v>
                </c:pt>
                <c:pt idx="40">
                  <c:v>25403.578441057318</c:v>
                </c:pt>
                <c:pt idx="41">
                  <c:v>25403.578441057318</c:v>
                </c:pt>
                <c:pt idx="42">
                  <c:v>27020.939180648675</c:v>
                </c:pt>
                <c:pt idx="43">
                  <c:v>27095.110316648676</c:v>
                </c:pt>
                <c:pt idx="44">
                  <c:v>27288.253316930502</c:v>
                </c:pt>
                <c:pt idx="45">
                  <c:v>30153.779689130668</c:v>
                </c:pt>
                <c:pt idx="46">
                  <c:v>31042.903519264109</c:v>
                </c:pt>
                <c:pt idx="47">
                  <c:v>31042.903519264109</c:v>
                </c:pt>
                <c:pt idx="48">
                  <c:v>32439.111269360863</c:v>
                </c:pt>
                <c:pt idx="49">
                  <c:v>33448.774935419984</c:v>
                </c:pt>
                <c:pt idx="50">
                  <c:v>33724.828937110942</c:v>
                </c:pt>
                <c:pt idx="51">
                  <c:v>38005.373256864936</c:v>
                </c:pt>
                <c:pt idx="52">
                  <c:v>39047.499793133757</c:v>
                </c:pt>
                <c:pt idx="53">
                  <c:v>39918.367178928944</c:v>
                </c:pt>
                <c:pt idx="54">
                  <c:v>41533.980900641895</c:v>
                </c:pt>
                <c:pt idx="55">
                  <c:v>43072.538337637023</c:v>
                </c:pt>
                <c:pt idx="56">
                  <c:v>43629.47534754224</c:v>
                </c:pt>
                <c:pt idx="57">
                  <c:v>44428.580480474157</c:v>
                </c:pt>
                <c:pt idx="58">
                  <c:v>46778.916388616679</c:v>
                </c:pt>
                <c:pt idx="59">
                  <c:v>47024.858891993179</c:v>
                </c:pt>
                <c:pt idx="60">
                  <c:v>47969.613065048179</c:v>
                </c:pt>
                <c:pt idx="61">
                  <c:v>50147.905115048176</c:v>
                </c:pt>
                <c:pt idx="62">
                  <c:v>50984.802926798176</c:v>
                </c:pt>
                <c:pt idx="63">
                  <c:v>52413.292846798176</c:v>
                </c:pt>
                <c:pt idx="64">
                  <c:v>55560.906138918173</c:v>
                </c:pt>
                <c:pt idx="65">
                  <c:v>55981.832138918173</c:v>
                </c:pt>
                <c:pt idx="66">
                  <c:v>56498.241878918176</c:v>
                </c:pt>
                <c:pt idx="67">
                  <c:v>56797.592043878176</c:v>
                </c:pt>
                <c:pt idx="68">
                  <c:v>57534.601346578173</c:v>
                </c:pt>
                <c:pt idx="69">
                  <c:v>58252.036482578173</c:v>
                </c:pt>
                <c:pt idx="70">
                  <c:v>62930.553504977172</c:v>
                </c:pt>
                <c:pt idx="71">
                  <c:v>65809.733425297178</c:v>
                </c:pt>
                <c:pt idx="72">
                  <c:v>68777.514280897172</c:v>
                </c:pt>
                <c:pt idx="73">
                  <c:v>69822.19058169717</c:v>
                </c:pt>
                <c:pt idx="74">
                  <c:v>72839.843829784673</c:v>
                </c:pt>
                <c:pt idx="75">
                  <c:v>77246.561288216297</c:v>
                </c:pt>
              </c:numCache>
            </c:numRef>
          </c:yVal>
          <c:smooth val="0"/>
          <c:extLst>
            <c:ext xmlns:c16="http://schemas.microsoft.com/office/drawing/2014/chart" uri="{C3380CC4-5D6E-409C-BE32-E72D297353CC}">
              <c16:uniqueId val="{00000003-AB55-4AA2-A256-5AB34865DC64}"/>
            </c:ext>
          </c:extLst>
        </c:ser>
        <c:ser>
          <c:idx val="1"/>
          <c:order val="1"/>
          <c:tx>
            <c:strRef>
              <c:f>Paris_Inflow!$AI$3</c:f>
              <c:strCache>
                <c:ptCount val="1"/>
                <c:pt idx="0">
                  <c:v>raw materials, min</c:v>
                </c:pt>
              </c:strCache>
            </c:strRef>
          </c:tx>
          <c:spPr>
            <a:ln w="19050" cap="rnd">
              <a:solidFill>
                <a:schemeClr val="accent2"/>
              </a:solidFill>
              <a:round/>
            </a:ln>
            <a:effectLst/>
          </c:spPr>
          <c:marker>
            <c:symbol val="none"/>
          </c:marker>
          <c:xVal>
            <c:numRef>
              <c:f>Paris_Inflow!$A$5:$A$125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Paris_Inflow!$AI$5:$AI$125</c:f>
              <c:numCache>
                <c:formatCode>#,##0</c:formatCode>
                <c:ptCount val="121"/>
                <c:pt idx="75">
                  <c:v>77246.561288216297</c:v>
                </c:pt>
                <c:pt idx="76">
                  <c:v>77392.203309360048</c:v>
                </c:pt>
                <c:pt idx="77">
                  <c:v>80778.631634360048</c:v>
                </c:pt>
                <c:pt idx="78">
                  <c:v>81028.079994140047</c:v>
                </c:pt>
                <c:pt idx="79">
                  <c:v>81028.079994140047</c:v>
                </c:pt>
                <c:pt idx="80">
                  <c:v>81478.25049164005</c:v>
                </c:pt>
                <c:pt idx="81">
                  <c:v>81478.25049164005</c:v>
                </c:pt>
                <c:pt idx="82">
                  <c:v>81909.526306352054</c:v>
                </c:pt>
                <c:pt idx="83">
                  <c:v>81909.526306352054</c:v>
                </c:pt>
                <c:pt idx="84">
                  <c:v>82080.710533202058</c:v>
                </c:pt>
                <c:pt idx="85">
                  <c:v>84581.360893202058</c:v>
                </c:pt>
                <c:pt idx="86">
                  <c:v>85165.268409842058</c:v>
                </c:pt>
                <c:pt idx="87">
                  <c:v>85165.268409842058</c:v>
                </c:pt>
                <c:pt idx="88">
                  <c:v>86203.398508502054</c:v>
                </c:pt>
                <c:pt idx="89">
                  <c:v>86984.398091902054</c:v>
                </c:pt>
                <c:pt idx="90">
                  <c:v>87237.417641902051</c:v>
                </c:pt>
                <c:pt idx="91">
                  <c:v>91181.033780902057</c:v>
                </c:pt>
                <c:pt idx="92">
                  <c:v>91601.103857402049</c:v>
                </c:pt>
                <c:pt idx="93">
                  <c:v>92410.991882442046</c:v>
                </c:pt>
                <c:pt idx="94">
                  <c:v>93919.67988244204</c:v>
                </c:pt>
                <c:pt idx="95">
                  <c:v>95251.34786182204</c:v>
                </c:pt>
                <c:pt idx="96">
                  <c:v>95702.474238894036</c:v>
                </c:pt>
                <c:pt idx="97">
                  <c:v>96455.678341294042</c:v>
                </c:pt>
                <c:pt idx="98">
                  <c:v>98448.890921794038</c:v>
                </c:pt>
                <c:pt idx="99">
                  <c:v>98681.417459794044</c:v>
                </c:pt>
                <c:pt idx="100">
                  <c:v>99574.997803849037</c:v>
                </c:pt>
                <c:pt idx="101">
                  <c:v>101635.29985384904</c:v>
                </c:pt>
                <c:pt idx="102">
                  <c:v>102426.86601559904</c:v>
                </c:pt>
                <c:pt idx="103">
                  <c:v>103535.75169559904</c:v>
                </c:pt>
                <c:pt idx="104">
                  <c:v>106398.36103251904</c:v>
                </c:pt>
                <c:pt idx="105">
                  <c:v>106796.48703251904</c:v>
                </c:pt>
                <c:pt idx="106">
                  <c:v>107284.92477251904</c:v>
                </c:pt>
                <c:pt idx="107">
                  <c:v>107568.06024947904</c:v>
                </c:pt>
                <c:pt idx="108">
                  <c:v>108088.04528417904</c:v>
                </c:pt>
                <c:pt idx="109">
                  <c:v>108766.61962017904</c:v>
                </c:pt>
                <c:pt idx="110">
                  <c:v>113122.04699468805</c:v>
                </c:pt>
                <c:pt idx="111">
                  <c:v>115845.27241900805</c:v>
                </c:pt>
                <c:pt idx="112">
                  <c:v>118600.96229460805</c:v>
                </c:pt>
                <c:pt idx="113">
                  <c:v>119295.76340820805</c:v>
                </c:pt>
                <c:pt idx="114">
                  <c:v>121746.43468029554</c:v>
                </c:pt>
                <c:pt idx="115">
                  <c:v>123900.36868148601</c:v>
                </c:pt>
                <c:pt idx="116">
                  <c:v>123900.36868148601</c:v>
                </c:pt>
                <c:pt idx="117">
                  <c:v>123900.36868148601</c:v>
                </c:pt>
                <c:pt idx="118">
                  <c:v>123900.36868148601</c:v>
                </c:pt>
                <c:pt idx="119">
                  <c:v>123900.36868148601</c:v>
                </c:pt>
                <c:pt idx="120">
                  <c:v>123900.36868148601</c:v>
                </c:pt>
              </c:numCache>
            </c:numRef>
          </c:yVal>
          <c:smooth val="0"/>
          <c:extLst>
            <c:ext xmlns:c16="http://schemas.microsoft.com/office/drawing/2014/chart" uri="{C3380CC4-5D6E-409C-BE32-E72D297353CC}">
              <c16:uniqueId val="{00000004-AB55-4AA2-A256-5AB34865DC64}"/>
            </c:ext>
          </c:extLst>
        </c:ser>
        <c:ser>
          <c:idx val="2"/>
          <c:order val="2"/>
          <c:tx>
            <c:strRef>
              <c:f>Paris_Inflow!$AJ$3</c:f>
              <c:strCache>
                <c:ptCount val="1"/>
                <c:pt idx="0">
                  <c:v>raw materials, average</c:v>
                </c:pt>
              </c:strCache>
            </c:strRef>
          </c:tx>
          <c:spPr>
            <a:ln w="19050" cap="rnd">
              <a:solidFill>
                <a:schemeClr val="accent3"/>
              </a:solidFill>
              <a:round/>
            </a:ln>
            <a:effectLst/>
          </c:spPr>
          <c:marker>
            <c:symbol val="none"/>
          </c:marker>
          <c:xVal>
            <c:numRef>
              <c:f>Paris_Inflow!$A$5:$A$125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Paris_Inflow!$AJ$5:$AJ$125</c:f>
              <c:numCache>
                <c:formatCode>#,##0</c:formatCode>
                <c:ptCount val="121"/>
                <c:pt idx="75">
                  <c:v>77246.561288216297</c:v>
                </c:pt>
                <c:pt idx="76">
                  <c:v>77391.836755453944</c:v>
                </c:pt>
                <c:pt idx="77">
                  <c:v>80764.312457937951</c:v>
                </c:pt>
                <c:pt idx="78">
                  <c:v>81012.085860104344</c:v>
                </c:pt>
                <c:pt idx="79">
                  <c:v>81012.085860104344</c:v>
                </c:pt>
                <c:pt idx="80">
                  <c:v>81454.433710364188</c:v>
                </c:pt>
                <c:pt idx="81">
                  <c:v>81454.433710364188</c:v>
                </c:pt>
                <c:pt idx="82">
                  <c:v>81867.687026329484</c:v>
                </c:pt>
                <c:pt idx="83">
                  <c:v>81867.687026329484</c:v>
                </c:pt>
                <c:pt idx="84">
                  <c:v>82024.066479104615</c:v>
                </c:pt>
                <c:pt idx="85">
                  <c:v>84238.300839104617</c:v>
                </c:pt>
                <c:pt idx="86">
                  <c:v>84738.949709424152</c:v>
                </c:pt>
                <c:pt idx="87">
                  <c:v>84738.949709424152</c:v>
                </c:pt>
                <c:pt idx="88">
                  <c:v>85582.654227104984</c:v>
                </c:pt>
                <c:pt idx="89">
                  <c:v>86206.073858008502</c:v>
                </c:pt>
                <c:pt idx="90">
                  <c:v>86405.530148122532</c:v>
                </c:pt>
                <c:pt idx="91">
                  <c:v>89488.612920670887</c:v>
                </c:pt>
                <c:pt idx="92">
                  <c:v>89815.276819336956</c:v>
                </c:pt>
                <c:pt idx="93">
                  <c:v>90442.978063662813</c:v>
                </c:pt>
                <c:pt idx="94">
                  <c:v>91609.863151035941</c:v>
                </c:pt>
                <c:pt idx="95">
                  <c:v>92638.523324949478</c:v>
                </c:pt>
                <c:pt idx="96">
                  <c:v>92986.729347586413</c:v>
                </c:pt>
                <c:pt idx="97">
                  <c:v>93567.821193616517</c:v>
                </c:pt>
                <c:pt idx="98">
                  <c:v>95105.127601325017</c:v>
                </c:pt>
                <c:pt idx="99">
                  <c:v>95284.43706701351</c:v>
                </c:pt>
                <c:pt idx="100">
                  <c:v>95973.435246266279</c:v>
                </c:pt>
                <c:pt idx="101">
                  <c:v>97561.935568113855</c:v>
                </c:pt>
                <c:pt idx="102">
                  <c:v>98172.212016586127</c:v>
                </c:pt>
                <c:pt idx="103">
                  <c:v>99027.113040782744</c:v>
                </c:pt>
                <c:pt idx="104">
                  <c:v>101234.02435389967</c:v>
                </c:pt>
                <c:pt idx="105">
                  <c:v>101540.95449418529</c:v>
                </c:pt>
                <c:pt idx="106">
                  <c:v>101917.5073150987</c:v>
                </c:pt>
                <c:pt idx="107">
                  <c:v>102135.78512329208</c:v>
                </c:pt>
                <c:pt idx="108">
                  <c:v>102536.65672462231</c:v>
                </c:pt>
                <c:pt idx="109">
                  <c:v>103059.78881569247</c:v>
                </c:pt>
                <c:pt idx="110">
                  <c:v>106417.50818751317</c:v>
                </c:pt>
                <c:pt idx="111">
                  <c:v>108516.91703786411</c:v>
                </c:pt>
                <c:pt idx="112">
                  <c:v>110641.35305888733</c:v>
                </c:pt>
                <c:pt idx="113">
                  <c:v>111176.99398483359</c:v>
                </c:pt>
                <c:pt idx="114">
                  <c:v>113066.28241005322</c:v>
                </c:pt>
                <c:pt idx="115">
                  <c:v>114726.80799074991</c:v>
                </c:pt>
                <c:pt idx="116">
                  <c:v>114726.80799074991</c:v>
                </c:pt>
                <c:pt idx="117">
                  <c:v>114726.80799074991</c:v>
                </c:pt>
                <c:pt idx="118">
                  <c:v>114726.80799074991</c:v>
                </c:pt>
                <c:pt idx="119">
                  <c:v>114726.80799074991</c:v>
                </c:pt>
                <c:pt idx="120">
                  <c:v>114726.80799074991</c:v>
                </c:pt>
              </c:numCache>
            </c:numRef>
          </c:yVal>
          <c:smooth val="0"/>
          <c:extLst>
            <c:ext xmlns:c16="http://schemas.microsoft.com/office/drawing/2014/chart" uri="{C3380CC4-5D6E-409C-BE32-E72D297353CC}">
              <c16:uniqueId val="{00000005-AB55-4AA2-A256-5AB34865DC64}"/>
            </c:ext>
          </c:extLst>
        </c:ser>
        <c:ser>
          <c:idx val="3"/>
          <c:order val="3"/>
          <c:tx>
            <c:strRef>
              <c:f>Paris_Inflow!$AK$3</c:f>
              <c:strCache>
                <c:ptCount val="1"/>
                <c:pt idx="0">
                  <c:v>raw materials, max</c:v>
                </c:pt>
              </c:strCache>
            </c:strRef>
          </c:tx>
          <c:spPr>
            <a:ln w="19050" cap="rnd">
              <a:solidFill>
                <a:schemeClr val="accent4"/>
              </a:solidFill>
              <a:round/>
            </a:ln>
            <a:effectLst/>
          </c:spPr>
          <c:marker>
            <c:symbol val="none"/>
          </c:marker>
          <c:xVal>
            <c:numRef>
              <c:f>Paris_Inflow!$A$5:$A$125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Paris_Inflow!$AK$5:$AK$125</c:f>
              <c:numCache>
                <c:formatCode>#,##0</c:formatCode>
                <c:ptCount val="121"/>
                <c:pt idx="75">
                  <c:v>77246.561288216297</c:v>
                </c:pt>
                <c:pt idx="76">
                  <c:v>77391.378563071325</c:v>
                </c:pt>
                <c:pt idx="77">
                  <c:v>80746.413487410347</c:v>
                </c:pt>
                <c:pt idx="78">
                  <c:v>80992.093192559725</c:v>
                </c:pt>
                <c:pt idx="79">
                  <c:v>80992.093192559725</c:v>
                </c:pt>
                <c:pt idx="80">
                  <c:v>81424.662733769379</c:v>
                </c:pt>
                <c:pt idx="81">
                  <c:v>81424.662733769379</c:v>
                </c:pt>
                <c:pt idx="82">
                  <c:v>81815.387926301293</c:v>
                </c:pt>
                <c:pt idx="83">
                  <c:v>81815.387926301293</c:v>
                </c:pt>
                <c:pt idx="84">
                  <c:v>81953.261411482847</c:v>
                </c:pt>
                <c:pt idx="85">
                  <c:v>83809.475771482845</c:v>
                </c:pt>
                <c:pt idx="86">
                  <c:v>84206.051333901793</c:v>
                </c:pt>
                <c:pt idx="87">
                  <c:v>84206.051333901793</c:v>
                </c:pt>
                <c:pt idx="88">
                  <c:v>84806.723875358672</c:v>
                </c:pt>
                <c:pt idx="89">
                  <c:v>85233.168565641594</c:v>
                </c:pt>
                <c:pt idx="90">
                  <c:v>85365.670780898159</c:v>
                </c:pt>
                <c:pt idx="91">
                  <c:v>87373.086845381957</c:v>
                </c:pt>
                <c:pt idx="92">
                  <c:v>87582.993021755596</c:v>
                </c:pt>
                <c:pt idx="93">
                  <c:v>87982.960790188779</c:v>
                </c:pt>
                <c:pt idx="94">
                  <c:v>88722.592236778335</c:v>
                </c:pt>
                <c:pt idx="95">
                  <c:v>89372.492653858804</c:v>
                </c:pt>
                <c:pt idx="96">
                  <c:v>89592.048233451918</c:v>
                </c:pt>
                <c:pt idx="97">
                  <c:v>89957.999759019658</c:v>
                </c:pt>
                <c:pt idx="98">
                  <c:v>90925.423450738774</c:v>
                </c:pt>
                <c:pt idx="99">
                  <c:v>91038.211576037895</c:v>
                </c:pt>
                <c:pt idx="100">
                  <c:v>91471.482049287864</c:v>
                </c:pt>
                <c:pt idx="101">
                  <c:v>92470.230210944908</c:v>
                </c:pt>
                <c:pt idx="102">
                  <c:v>92853.894517820037</c:v>
                </c:pt>
                <c:pt idx="103">
                  <c:v>93391.314722262425</c:v>
                </c:pt>
                <c:pt idx="104">
                  <c:v>94778.603505625535</c:v>
                </c:pt>
                <c:pt idx="105">
                  <c:v>94971.538821268186</c:v>
                </c:pt>
                <c:pt idx="106">
                  <c:v>95208.235493323358</c:v>
                </c:pt>
                <c:pt idx="107">
                  <c:v>95345.441215558458</c:v>
                </c:pt>
                <c:pt idx="108">
                  <c:v>95597.421025176474</c:v>
                </c:pt>
                <c:pt idx="109">
                  <c:v>95926.250310084331</c:v>
                </c:pt>
                <c:pt idx="110">
                  <c:v>98036.834678544634</c:v>
                </c:pt>
                <c:pt idx="111">
                  <c:v>99356.472811434258</c:v>
                </c:pt>
                <c:pt idx="112">
                  <c:v>100691.84151423647</c:v>
                </c:pt>
                <c:pt idx="113">
                  <c:v>101028.53220561557</c:v>
                </c:pt>
                <c:pt idx="114">
                  <c:v>102216.09207225035</c:v>
                </c:pt>
                <c:pt idx="115">
                  <c:v>103259.8571273298</c:v>
                </c:pt>
                <c:pt idx="116">
                  <c:v>103259.8571273298</c:v>
                </c:pt>
                <c:pt idx="117">
                  <c:v>103259.8571273298</c:v>
                </c:pt>
                <c:pt idx="118">
                  <c:v>103259.8571273298</c:v>
                </c:pt>
                <c:pt idx="119">
                  <c:v>103259.8571273298</c:v>
                </c:pt>
                <c:pt idx="120">
                  <c:v>103259.8571273298</c:v>
                </c:pt>
              </c:numCache>
            </c:numRef>
          </c:yVal>
          <c:smooth val="0"/>
          <c:extLst>
            <c:ext xmlns:c16="http://schemas.microsoft.com/office/drawing/2014/chart" uri="{C3380CC4-5D6E-409C-BE32-E72D297353CC}">
              <c16:uniqueId val="{00000006-AB55-4AA2-A256-5AB34865DC64}"/>
            </c:ext>
          </c:extLst>
        </c:ser>
        <c:dLbls>
          <c:showLegendKey val="0"/>
          <c:showVal val="0"/>
          <c:showCatName val="0"/>
          <c:showSerName val="0"/>
          <c:showPercent val="0"/>
          <c:showBubbleSize val="0"/>
        </c:dLbls>
        <c:axId val="1859657056"/>
        <c:axId val="1859657888"/>
        <c:extLst/>
      </c:scatterChart>
      <c:valAx>
        <c:axId val="1859657056"/>
        <c:scaling>
          <c:orientation val="minMax"/>
          <c:max val="2070"/>
          <c:min val="19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autoZero"/>
        <c:crossBetween val="midCat"/>
      </c:valAx>
      <c:valAx>
        <c:axId val="18596578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Paris_Inflow!$T$3</c:f>
              <c:strCache>
                <c:ptCount val="1"/>
                <c:pt idx="0">
                  <c:v>CO2 emissions</c:v>
                </c:pt>
              </c:strCache>
            </c:strRef>
          </c:tx>
          <c:spPr>
            <a:ln w="19050" cap="rnd">
              <a:solidFill>
                <a:schemeClr val="accent1"/>
              </a:solidFill>
              <a:round/>
            </a:ln>
            <a:effectLst/>
          </c:spPr>
          <c:marker>
            <c:symbol val="none"/>
          </c:marker>
          <c:xVal>
            <c:numRef>
              <c:f>Paris_Inflow!$A$5:$A$125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Paris_Inflow!$T$5:$T$80</c:f>
              <c:numCache>
                <c:formatCode>#,##0</c:formatCode>
                <c:ptCount val="76"/>
                <c:pt idx="0">
                  <c:v>0</c:v>
                </c:pt>
                <c:pt idx="1">
                  <c:v>0</c:v>
                </c:pt>
                <c:pt idx="2">
                  <c:v>0</c:v>
                </c:pt>
                <c:pt idx="3">
                  <c:v>0</c:v>
                </c:pt>
                <c:pt idx="4">
                  <c:v>0</c:v>
                </c:pt>
                <c:pt idx="5">
                  <c:v>0</c:v>
                </c:pt>
                <c:pt idx="6">
                  <c:v>0</c:v>
                </c:pt>
                <c:pt idx="7">
                  <c:v>144.19504202947161</c:v>
                </c:pt>
                <c:pt idx="8">
                  <c:v>144.19504202947161</c:v>
                </c:pt>
                <c:pt idx="9">
                  <c:v>144.19504202947161</c:v>
                </c:pt>
                <c:pt idx="10">
                  <c:v>144.19504202947161</c:v>
                </c:pt>
                <c:pt idx="11">
                  <c:v>307.8519286716683</c:v>
                </c:pt>
                <c:pt idx="12">
                  <c:v>307.8519286716683</c:v>
                </c:pt>
                <c:pt idx="13">
                  <c:v>2566.2745810235574</c:v>
                </c:pt>
                <c:pt idx="14">
                  <c:v>2566.2745810235574</c:v>
                </c:pt>
                <c:pt idx="15">
                  <c:v>2566.2745810235574</c:v>
                </c:pt>
                <c:pt idx="16">
                  <c:v>3274.8180604123686</c:v>
                </c:pt>
                <c:pt idx="17">
                  <c:v>3602.8731799772927</c:v>
                </c:pt>
                <c:pt idx="18">
                  <c:v>3836.1656157442685</c:v>
                </c:pt>
                <c:pt idx="19">
                  <c:v>4242.1581046024548</c:v>
                </c:pt>
                <c:pt idx="20">
                  <c:v>5343.3859796024544</c:v>
                </c:pt>
                <c:pt idx="21">
                  <c:v>5770.693461953706</c:v>
                </c:pt>
                <c:pt idx="22">
                  <c:v>7483.8644995331424</c:v>
                </c:pt>
                <c:pt idx="23">
                  <c:v>8281.1408680265959</c:v>
                </c:pt>
                <c:pt idx="24">
                  <c:v>12112.534906303808</c:v>
                </c:pt>
                <c:pt idx="25">
                  <c:v>14127.380986303808</c:v>
                </c:pt>
                <c:pt idx="26">
                  <c:v>14485.165486091879</c:v>
                </c:pt>
                <c:pt idx="27">
                  <c:v>14485.165486091879</c:v>
                </c:pt>
                <c:pt idx="28">
                  <c:v>14845.886441270059</c:v>
                </c:pt>
                <c:pt idx="29">
                  <c:v>14845.886441270059</c:v>
                </c:pt>
                <c:pt idx="30">
                  <c:v>14982.546734270059</c:v>
                </c:pt>
                <c:pt idx="31">
                  <c:v>15554.896536658054</c:v>
                </c:pt>
                <c:pt idx="32">
                  <c:v>16106.34378910233</c:v>
                </c:pt>
                <c:pt idx="33">
                  <c:v>16814.573039800627</c:v>
                </c:pt>
                <c:pt idx="34">
                  <c:v>17730.850609468991</c:v>
                </c:pt>
                <c:pt idx="35">
                  <c:v>19783.692613468993</c:v>
                </c:pt>
                <c:pt idx="36">
                  <c:v>20820.458013217394</c:v>
                </c:pt>
                <c:pt idx="37">
                  <c:v>20820.458013217394</c:v>
                </c:pt>
                <c:pt idx="38">
                  <c:v>21668.789162764275</c:v>
                </c:pt>
                <c:pt idx="39">
                  <c:v>22511.202089482995</c:v>
                </c:pt>
                <c:pt idx="40">
                  <c:v>23329.859339482995</c:v>
                </c:pt>
                <c:pt idx="41">
                  <c:v>23329.859339482995</c:v>
                </c:pt>
                <c:pt idx="42">
                  <c:v>24450.878107610995</c:v>
                </c:pt>
                <c:pt idx="43">
                  <c:v>24503.056987610995</c:v>
                </c:pt>
                <c:pt idx="44">
                  <c:v>24640.697144810994</c:v>
                </c:pt>
                <c:pt idx="45">
                  <c:v>26700.638144810993</c:v>
                </c:pt>
                <c:pt idx="46">
                  <c:v>27335.274664540542</c:v>
                </c:pt>
                <c:pt idx="47">
                  <c:v>27335.274664540542</c:v>
                </c:pt>
                <c:pt idx="48">
                  <c:v>28271.6788717288</c:v>
                </c:pt>
                <c:pt idx="49">
                  <c:v>28925.687717530091</c:v>
                </c:pt>
                <c:pt idx="50">
                  <c:v>29100.775217530092</c:v>
                </c:pt>
                <c:pt idx="51">
                  <c:v>31796.32953361312</c:v>
                </c:pt>
                <c:pt idx="52">
                  <c:v>32450.128033043638</c:v>
                </c:pt>
                <c:pt idx="53">
                  <c:v>32994.939084880141</c:v>
                </c:pt>
                <c:pt idx="54">
                  <c:v>34001.100489648721</c:v>
                </c:pt>
                <c:pt idx="55">
                  <c:v>34950.774675648718</c:v>
                </c:pt>
                <c:pt idx="56">
                  <c:v>35287.163077953068</c:v>
                </c:pt>
                <c:pt idx="57">
                  <c:v>35758.050437953068</c:v>
                </c:pt>
                <c:pt idx="58">
                  <c:v>37120.568812677258</c:v>
                </c:pt>
                <c:pt idx="59">
                  <c:v>37261.123719769457</c:v>
                </c:pt>
                <c:pt idx="60">
                  <c:v>37794.184438519456</c:v>
                </c:pt>
                <c:pt idx="61">
                  <c:v>39009.467378661924</c:v>
                </c:pt>
                <c:pt idx="62">
                  <c:v>39471.827573287468</c:v>
                </c:pt>
                <c:pt idx="63">
                  <c:v>40253.906531591339</c:v>
                </c:pt>
                <c:pt idx="64">
                  <c:v>41961.563834453875</c:v>
                </c:pt>
                <c:pt idx="65">
                  <c:v>42187.663834453873</c:v>
                </c:pt>
                <c:pt idx="66">
                  <c:v>42462.037671311438</c:v>
                </c:pt>
                <c:pt idx="67">
                  <c:v>42619.279491345507</c:v>
                </c:pt>
                <c:pt idx="68">
                  <c:v>43001.856316345504</c:v>
                </c:pt>
                <c:pt idx="69">
                  <c:v>43369.759585603133</c:v>
                </c:pt>
                <c:pt idx="70">
                  <c:v>45739.198802926592</c:v>
                </c:pt>
                <c:pt idx="71">
                  <c:v>47197.362102167579</c:v>
                </c:pt>
                <c:pt idx="72">
                  <c:v>48700.397425970812</c:v>
                </c:pt>
                <c:pt idx="73">
                  <c:v>49229.474692265474</c:v>
                </c:pt>
                <c:pt idx="74">
                  <c:v>50757.767934775824</c:v>
                </c:pt>
                <c:pt idx="75">
                  <c:v>52989.554014784095</c:v>
                </c:pt>
              </c:numCache>
            </c:numRef>
          </c:yVal>
          <c:smooth val="0"/>
          <c:extLst>
            <c:ext xmlns:c16="http://schemas.microsoft.com/office/drawing/2014/chart" uri="{C3380CC4-5D6E-409C-BE32-E72D297353CC}">
              <c16:uniqueId val="{00000000-3AFB-4879-B945-0D4814A092D3}"/>
            </c:ext>
          </c:extLst>
        </c:ser>
        <c:ser>
          <c:idx val="1"/>
          <c:order val="1"/>
          <c:tx>
            <c:strRef>
              <c:f>Paris_Inflow!$AQ$3</c:f>
              <c:strCache>
                <c:ptCount val="1"/>
                <c:pt idx="0">
                  <c:v>CO2 emissions, min</c:v>
                </c:pt>
              </c:strCache>
            </c:strRef>
          </c:tx>
          <c:spPr>
            <a:ln w="19050" cap="rnd">
              <a:solidFill>
                <a:schemeClr val="accent2"/>
              </a:solidFill>
              <a:round/>
            </a:ln>
            <a:effectLst/>
          </c:spPr>
          <c:marker>
            <c:symbol val="none"/>
          </c:marker>
          <c:xVal>
            <c:numRef>
              <c:f>Paris_Inflow!$A$5:$A$125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Paris_Inflow!$AQ$5:$AQ$125</c:f>
              <c:numCache>
                <c:formatCode>#,##0</c:formatCode>
                <c:ptCount val="121"/>
                <c:pt idx="75">
                  <c:v>52989.554014784095</c:v>
                </c:pt>
                <c:pt idx="76">
                  <c:v>53067.205063077956</c:v>
                </c:pt>
                <c:pt idx="77">
                  <c:v>54872.725937776115</c:v>
                </c:pt>
                <c:pt idx="78">
                  <c:v>55005.722764378668</c:v>
                </c:pt>
                <c:pt idx="79">
                  <c:v>55005.722764378668</c:v>
                </c:pt>
                <c:pt idx="80">
                  <c:v>55245.737361589876</c:v>
                </c:pt>
                <c:pt idx="81">
                  <c:v>55245.737361589876</c:v>
                </c:pt>
                <c:pt idx="82">
                  <c:v>55475.677998592721</c:v>
                </c:pt>
                <c:pt idx="83">
                  <c:v>55475.677998592721</c:v>
                </c:pt>
                <c:pt idx="84">
                  <c:v>55566.947225440075</c:v>
                </c:pt>
                <c:pt idx="85">
                  <c:v>56900.203385616289</c:v>
                </c:pt>
                <c:pt idx="86">
                  <c:v>57211.521715434086</c:v>
                </c:pt>
                <c:pt idx="87">
                  <c:v>57211.521715434086</c:v>
                </c:pt>
                <c:pt idx="88">
                  <c:v>57765.015067100721</c:v>
                </c:pt>
                <c:pt idx="89">
                  <c:v>58181.415745227954</c:v>
                </c:pt>
                <c:pt idx="90">
                  <c:v>58316.31660105272</c:v>
                </c:pt>
                <c:pt idx="91">
                  <c:v>60418.909828317039</c:v>
                </c:pt>
                <c:pt idx="92">
                  <c:v>60642.875971748348</c:v>
                </c:pt>
                <c:pt idx="93">
                  <c:v>61074.678920177139</c:v>
                </c:pt>
                <c:pt idx="94">
                  <c:v>61879.056694039107</c:v>
                </c:pt>
                <c:pt idx="95">
                  <c:v>62589.053807277196</c:v>
                </c:pt>
                <c:pt idx="96">
                  <c:v>62829.578044839625</c:v>
                </c:pt>
                <c:pt idx="97">
                  <c:v>63231.159179674803</c:v>
                </c:pt>
                <c:pt idx="98">
                  <c:v>64293.86790297363</c:v>
                </c:pt>
                <c:pt idx="99">
                  <c:v>64417.842627370104</c:v>
                </c:pt>
                <c:pt idx="100">
                  <c:v>64894.267287682756</c:v>
                </c:pt>
                <c:pt idx="101">
                  <c:v>65992.745685113012</c:v>
                </c:pt>
                <c:pt idx="102">
                  <c:v>66414.780079933495</c:v>
                </c:pt>
                <c:pt idx="103">
                  <c:v>67005.997743722037</c:v>
                </c:pt>
                <c:pt idx="104">
                  <c:v>68532.237314705693</c:v>
                </c:pt>
                <c:pt idx="105">
                  <c:v>68744.50367169705</c:v>
                </c:pt>
                <c:pt idx="106">
                  <c:v>69004.92097598486</c:v>
                </c:pt>
                <c:pt idx="107">
                  <c:v>69155.87855280553</c:v>
                </c:pt>
                <c:pt idx="108">
                  <c:v>69433.115731502199</c:v>
                </c:pt>
                <c:pt idx="109">
                  <c:v>69794.906979123669</c:v>
                </c:pt>
                <c:pt idx="110">
                  <c:v>72117.063035064348</c:v>
                </c:pt>
                <c:pt idx="111">
                  <c:v>73568.988154465333</c:v>
                </c:pt>
                <c:pt idx="112">
                  <c:v>75038.222142930201</c:v>
                </c:pt>
                <c:pt idx="113">
                  <c:v>75408.664920386102</c:v>
                </c:pt>
                <c:pt idx="114">
                  <c:v>76715.274041893805</c:v>
                </c:pt>
                <c:pt idx="115">
                  <c:v>77863.673602918483</c:v>
                </c:pt>
                <c:pt idx="116">
                  <c:v>77863.673602918483</c:v>
                </c:pt>
                <c:pt idx="117">
                  <c:v>77863.673602918483</c:v>
                </c:pt>
                <c:pt idx="118">
                  <c:v>77863.673602918483</c:v>
                </c:pt>
                <c:pt idx="119">
                  <c:v>77863.673602918483</c:v>
                </c:pt>
                <c:pt idx="120">
                  <c:v>77863.673602918483</c:v>
                </c:pt>
              </c:numCache>
            </c:numRef>
          </c:yVal>
          <c:smooth val="0"/>
          <c:extLst>
            <c:ext xmlns:c16="http://schemas.microsoft.com/office/drawing/2014/chart" uri="{C3380CC4-5D6E-409C-BE32-E72D297353CC}">
              <c16:uniqueId val="{00000001-3AFB-4879-B945-0D4814A092D3}"/>
            </c:ext>
          </c:extLst>
        </c:ser>
        <c:ser>
          <c:idx val="2"/>
          <c:order val="2"/>
          <c:tx>
            <c:strRef>
              <c:f>Paris_Inflow!$AR$3</c:f>
              <c:strCache>
                <c:ptCount val="1"/>
                <c:pt idx="0">
                  <c:v>CO2 emissions, average</c:v>
                </c:pt>
              </c:strCache>
            </c:strRef>
          </c:tx>
          <c:spPr>
            <a:ln w="19050" cap="rnd">
              <a:solidFill>
                <a:schemeClr val="accent3"/>
              </a:solidFill>
              <a:round/>
            </a:ln>
            <a:effectLst/>
          </c:spPr>
          <c:marker>
            <c:symbol val="none"/>
          </c:marker>
          <c:xVal>
            <c:numRef>
              <c:f>Paris_Inflow!$A$5:$A$125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Paris_Inflow!$AR$5:$AR$125</c:f>
              <c:numCache>
                <c:formatCode>#,##0</c:formatCode>
                <c:ptCount val="121"/>
                <c:pt idx="75">
                  <c:v>52989.554014784095</c:v>
                </c:pt>
                <c:pt idx="76">
                  <c:v>53067.117090140491</c:v>
                </c:pt>
                <c:pt idx="77">
                  <c:v>54869.289335434813</c:v>
                </c:pt>
                <c:pt idx="78">
                  <c:v>55001.884172210099</c:v>
                </c:pt>
                <c:pt idx="79">
                  <c:v>55001.884172210099</c:v>
                </c:pt>
                <c:pt idx="80">
                  <c:v>55240.021334083671</c:v>
                </c:pt>
                <c:pt idx="81">
                  <c:v>55240.021334083671</c:v>
                </c:pt>
                <c:pt idx="82">
                  <c:v>55465.636571387302</c:v>
                </c:pt>
                <c:pt idx="83">
                  <c:v>55465.636571387302</c:v>
                </c:pt>
                <c:pt idx="84">
                  <c:v>55553.352652456691</c:v>
                </c:pt>
                <c:pt idx="85">
                  <c:v>56817.868972632903</c:v>
                </c:pt>
                <c:pt idx="86">
                  <c:v>57109.20522733379</c:v>
                </c:pt>
                <c:pt idx="87">
                  <c:v>57109.20522733379</c:v>
                </c:pt>
                <c:pt idx="88">
                  <c:v>57616.036439565425</c:v>
                </c:pt>
                <c:pt idx="89">
                  <c:v>57994.617929093503</c:v>
                </c:pt>
                <c:pt idx="90">
                  <c:v>58116.663602545639</c:v>
                </c:pt>
                <c:pt idx="91">
                  <c:v>60012.728821861558</c:v>
                </c:pt>
                <c:pt idx="92">
                  <c:v>60214.277482612721</c:v>
                </c:pt>
                <c:pt idx="93">
                  <c:v>60602.355603670119</c:v>
                </c:pt>
                <c:pt idx="94">
                  <c:v>61324.700678501642</c:v>
                </c:pt>
                <c:pt idx="95">
                  <c:v>61961.975918427786</c:v>
                </c:pt>
                <c:pt idx="96">
                  <c:v>62177.799270925803</c:v>
                </c:pt>
                <c:pt idx="97">
                  <c:v>62538.073464232206</c:v>
                </c:pt>
                <c:pt idx="98">
                  <c:v>63491.364706061067</c:v>
                </c:pt>
                <c:pt idx="99">
                  <c:v>63602.567333102787</c:v>
                </c:pt>
                <c:pt idx="100">
                  <c:v>64029.892273862897</c:v>
                </c:pt>
                <c:pt idx="101">
                  <c:v>65015.138256536564</c:v>
                </c:pt>
                <c:pt idx="102">
                  <c:v>65393.663120170393</c:v>
                </c:pt>
                <c:pt idx="103">
                  <c:v>65923.924466566124</c:v>
                </c:pt>
                <c:pt idx="104">
                  <c:v>67292.796511837048</c:v>
                </c:pt>
                <c:pt idx="105">
                  <c:v>67483.175862496952</c:v>
                </c:pt>
                <c:pt idx="106">
                  <c:v>67716.740786203984</c:v>
                </c:pt>
                <c:pt idx="107">
                  <c:v>67852.132522520667</c:v>
                </c:pt>
                <c:pt idx="108">
                  <c:v>68100.782477208588</c:v>
                </c:pt>
                <c:pt idx="109">
                  <c:v>68425.267586046903</c:v>
                </c:pt>
                <c:pt idx="110">
                  <c:v>70507.97372134238</c:v>
                </c:pt>
                <c:pt idx="111">
                  <c:v>71810.182862990798</c:v>
                </c:pt>
                <c:pt idx="112">
                  <c:v>73127.915926357236</c:v>
                </c:pt>
                <c:pt idx="113">
                  <c:v>73460.160258776232</c:v>
                </c:pt>
                <c:pt idx="114">
                  <c:v>74632.03749703565</c:v>
                </c:pt>
                <c:pt idx="115">
                  <c:v>75662.019037141814</c:v>
                </c:pt>
                <c:pt idx="116">
                  <c:v>75662.019037141814</c:v>
                </c:pt>
                <c:pt idx="117">
                  <c:v>75662.019037141814</c:v>
                </c:pt>
                <c:pt idx="118">
                  <c:v>75662.019037141814</c:v>
                </c:pt>
                <c:pt idx="119">
                  <c:v>75662.019037141814</c:v>
                </c:pt>
                <c:pt idx="120">
                  <c:v>75662.019037141814</c:v>
                </c:pt>
              </c:numCache>
            </c:numRef>
          </c:yVal>
          <c:smooth val="0"/>
          <c:extLst>
            <c:ext xmlns:c16="http://schemas.microsoft.com/office/drawing/2014/chart" uri="{C3380CC4-5D6E-409C-BE32-E72D297353CC}">
              <c16:uniqueId val="{00000002-3AFB-4879-B945-0D4814A092D3}"/>
            </c:ext>
          </c:extLst>
        </c:ser>
        <c:ser>
          <c:idx val="3"/>
          <c:order val="3"/>
          <c:tx>
            <c:strRef>
              <c:f>Paris_Inflow!$AS$3</c:f>
              <c:strCache>
                <c:ptCount val="1"/>
                <c:pt idx="0">
                  <c:v>CO2 emissions, max</c:v>
                </c:pt>
              </c:strCache>
            </c:strRef>
          </c:tx>
          <c:spPr>
            <a:ln w="19050" cap="rnd">
              <a:solidFill>
                <a:schemeClr val="accent4"/>
              </a:solidFill>
              <a:round/>
            </a:ln>
            <a:effectLst/>
          </c:spPr>
          <c:marker>
            <c:symbol val="none"/>
          </c:marker>
          <c:xVal>
            <c:numRef>
              <c:f>Paris_Inflow!$A$5:$A$125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Paris_Inflow!$AS$5:$AS$125</c:f>
              <c:numCache>
                <c:formatCode>#,##0</c:formatCode>
                <c:ptCount val="121"/>
                <c:pt idx="75">
                  <c:v>52989.554014784095</c:v>
                </c:pt>
                <c:pt idx="76">
                  <c:v>53067.007123968659</c:v>
                </c:pt>
                <c:pt idx="77">
                  <c:v>54864.993582508177</c:v>
                </c:pt>
                <c:pt idx="78">
                  <c:v>54997.085931999383</c:v>
                </c:pt>
                <c:pt idx="79">
                  <c:v>54997.085931999383</c:v>
                </c:pt>
                <c:pt idx="80">
                  <c:v>55232.876299700911</c:v>
                </c:pt>
                <c:pt idx="81">
                  <c:v>55232.876299700911</c:v>
                </c:pt>
                <c:pt idx="82">
                  <c:v>55453.084787380532</c:v>
                </c:pt>
                <c:pt idx="83">
                  <c:v>55453.084787380532</c:v>
                </c:pt>
                <c:pt idx="84">
                  <c:v>55536.35943622746</c:v>
                </c:pt>
                <c:pt idx="85">
                  <c:v>56714.950956403671</c:v>
                </c:pt>
                <c:pt idx="86">
                  <c:v>56981.309617208419</c:v>
                </c:pt>
                <c:pt idx="87">
                  <c:v>56981.309617208419</c:v>
                </c:pt>
                <c:pt idx="88">
                  <c:v>57429.813155146308</c:v>
                </c:pt>
                <c:pt idx="89">
                  <c:v>57761.120658925443</c:v>
                </c:pt>
                <c:pt idx="90">
                  <c:v>57867.097354411788</c:v>
                </c:pt>
                <c:pt idx="91">
                  <c:v>59505.002563792215</c:v>
                </c:pt>
                <c:pt idx="92">
                  <c:v>59678.529371193203</c:v>
                </c:pt>
                <c:pt idx="93">
                  <c:v>60011.951458036361</c:v>
                </c:pt>
                <c:pt idx="94">
                  <c:v>60631.755659079819</c:v>
                </c:pt>
                <c:pt idx="95">
                  <c:v>61178.128557366021</c:v>
                </c:pt>
                <c:pt idx="96">
                  <c:v>61363.075803533524</c:v>
                </c:pt>
                <c:pt idx="97">
                  <c:v>61671.716319928957</c:v>
                </c:pt>
                <c:pt idx="98">
                  <c:v>62488.235709920373</c:v>
                </c:pt>
                <c:pt idx="99">
                  <c:v>62583.473215268641</c:v>
                </c:pt>
                <c:pt idx="100">
                  <c:v>62949.423506588086</c:v>
                </c:pt>
                <c:pt idx="101">
                  <c:v>63793.128970816026</c:v>
                </c:pt>
                <c:pt idx="102">
                  <c:v>64117.266920466544</c:v>
                </c:pt>
                <c:pt idx="103">
                  <c:v>64571.332870121259</c:v>
                </c:pt>
                <c:pt idx="104">
                  <c:v>65743.495508251261</c:v>
                </c:pt>
                <c:pt idx="105">
                  <c:v>65906.516100996858</c:v>
                </c:pt>
                <c:pt idx="106">
                  <c:v>66106.515548977914</c:v>
                </c:pt>
                <c:pt idx="107">
                  <c:v>66222.449984664607</c:v>
                </c:pt>
                <c:pt idx="108">
                  <c:v>66435.365909341606</c:v>
                </c:pt>
                <c:pt idx="109">
                  <c:v>66713.218344700959</c:v>
                </c:pt>
                <c:pt idx="110">
                  <c:v>68496.612079189945</c:v>
                </c:pt>
                <c:pt idx="111">
                  <c:v>69611.676248647636</c:v>
                </c:pt>
                <c:pt idx="112">
                  <c:v>70740.033155641038</c:v>
                </c:pt>
                <c:pt idx="113">
                  <c:v>71024.52943176392</c:v>
                </c:pt>
                <c:pt idx="114">
                  <c:v>72027.991815962974</c:v>
                </c:pt>
                <c:pt idx="115">
                  <c:v>72909.950829920999</c:v>
                </c:pt>
                <c:pt idx="116">
                  <c:v>72909.950829920999</c:v>
                </c:pt>
                <c:pt idx="117">
                  <c:v>72909.950829920999</c:v>
                </c:pt>
                <c:pt idx="118">
                  <c:v>72909.950829920999</c:v>
                </c:pt>
                <c:pt idx="119">
                  <c:v>72909.950829920999</c:v>
                </c:pt>
                <c:pt idx="120">
                  <c:v>72909.950829920999</c:v>
                </c:pt>
              </c:numCache>
            </c:numRef>
          </c:yVal>
          <c:smooth val="0"/>
          <c:extLst>
            <c:ext xmlns:c16="http://schemas.microsoft.com/office/drawing/2014/chart" uri="{C3380CC4-5D6E-409C-BE32-E72D297353CC}">
              <c16:uniqueId val="{00000003-3AFB-4879-B945-0D4814A092D3}"/>
            </c:ext>
          </c:extLst>
        </c:ser>
        <c:dLbls>
          <c:showLegendKey val="0"/>
          <c:showVal val="0"/>
          <c:showCatName val="0"/>
          <c:showSerName val="0"/>
          <c:showPercent val="0"/>
          <c:showBubbleSize val="0"/>
        </c:dLbls>
        <c:axId val="1859657056"/>
        <c:axId val="1859657888"/>
        <c:extLst/>
      </c:scatterChart>
      <c:valAx>
        <c:axId val="1859657056"/>
        <c:scaling>
          <c:orientation val="minMax"/>
          <c:max val="2070"/>
          <c:min val="19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autoZero"/>
        <c:crossBetween val="midCat"/>
      </c:valAx>
      <c:valAx>
        <c:axId val="1859657888"/>
        <c:scaling>
          <c:orientation val="minMax"/>
          <c:max val="8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Paris_Stock!$F$2</c:f>
              <c:strCache>
                <c:ptCount val="1"/>
                <c:pt idx="0">
                  <c:v>gasket, total lenght</c:v>
                </c:pt>
              </c:strCache>
            </c:strRef>
          </c:tx>
          <c:spPr>
            <a:ln w="19050" cap="rnd">
              <a:solidFill>
                <a:schemeClr val="accent1"/>
              </a:solidFill>
              <a:round/>
            </a:ln>
            <a:effectLst/>
          </c:spPr>
          <c:marker>
            <c:symbol val="none"/>
          </c:marker>
          <c:xVal>
            <c:numRef>
              <c:f>Paris_Stock!$A$4:$A$79</c:f>
              <c:numCache>
                <c:formatCode>General</c:formatCode>
                <c:ptCount val="76"/>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numCache>
            </c:numRef>
          </c:xVal>
          <c:yVal>
            <c:numRef>
              <c:f>Paris_Stock!$F$4:$F$79</c:f>
              <c:numCache>
                <c:formatCode>#,##0</c:formatCode>
                <c:ptCount val="76"/>
                <c:pt idx="0">
                  <c:v>0</c:v>
                </c:pt>
                <c:pt idx="1">
                  <c:v>0</c:v>
                </c:pt>
                <c:pt idx="2">
                  <c:v>0</c:v>
                </c:pt>
                <c:pt idx="3">
                  <c:v>0</c:v>
                </c:pt>
                <c:pt idx="4">
                  <c:v>0</c:v>
                </c:pt>
                <c:pt idx="5">
                  <c:v>0</c:v>
                </c:pt>
                <c:pt idx="6">
                  <c:v>0</c:v>
                </c:pt>
                <c:pt idx="7">
                  <c:v>13.2</c:v>
                </c:pt>
                <c:pt idx="8">
                  <c:v>13.2</c:v>
                </c:pt>
                <c:pt idx="9">
                  <c:v>13.2</c:v>
                </c:pt>
                <c:pt idx="10">
                  <c:v>13.2</c:v>
                </c:pt>
                <c:pt idx="11">
                  <c:v>27.680479999999999</c:v>
                </c:pt>
                <c:pt idx="12">
                  <c:v>27.680479999999999</c:v>
                </c:pt>
                <c:pt idx="13">
                  <c:v>105.80648000000001</c:v>
                </c:pt>
                <c:pt idx="14">
                  <c:v>105.80648000000001</c:v>
                </c:pt>
                <c:pt idx="15">
                  <c:v>105.80648000000001</c:v>
                </c:pt>
                <c:pt idx="16">
                  <c:v>139.79048</c:v>
                </c:pt>
                <c:pt idx="17">
                  <c:v>159.15528</c:v>
                </c:pt>
                <c:pt idx="18">
                  <c:v>166.90456</c:v>
                </c:pt>
                <c:pt idx="19">
                  <c:v>185.90456</c:v>
                </c:pt>
                <c:pt idx="20">
                  <c:v>232.29956000000001</c:v>
                </c:pt>
                <c:pt idx="21">
                  <c:v>246.10356000000002</c:v>
                </c:pt>
                <c:pt idx="22">
                  <c:v>305.28056000000004</c:v>
                </c:pt>
                <c:pt idx="23">
                  <c:v>355.53389333333337</c:v>
                </c:pt>
                <c:pt idx="24">
                  <c:v>615.11336000000006</c:v>
                </c:pt>
                <c:pt idx="25">
                  <c:v>706.35131384615386</c:v>
                </c:pt>
                <c:pt idx="26">
                  <c:v>741.98428615384614</c:v>
                </c:pt>
                <c:pt idx="27">
                  <c:v>741.98428615384614</c:v>
                </c:pt>
                <c:pt idx="28">
                  <c:v>771.73428615384614</c:v>
                </c:pt>
                <c:pt idx="29">
                  <c:v>771.73428615384614</c:v>
                </c:pt>
                <c:pt idx="30">
                  <c:v>782.32668615384614</c:v>
                </c:pt>
                <c:pt idx="31">
                  <c:v>808.15168615384619</c:v>
                </c:pt>
                <c:pt idx="32">
                  <c:v>848.84358615384622</c:v>
                </c:pt>
                <c:pt idx="33">
                  <c:v>889.92511791855213</c:v>
                </c:pt>
                <c:pt idx="34">
                  <c:v>931.6874036328378</c:v>
                </c:pt>
                <c:pt idx="35">
                  <c:v>1174.1246836328378</c:v>
                </c:pt>
                <c:pt idx="36">
                  <c:v>1294.7877336328379</c:v>
                </c:pt>
                <c:pt idx="37">
                  <c:v>1294.7877336328379</c:v>
                </c:pt>
                <c:pt idx="38">
                  <c:v>1372.3774536328378</c:v>
                </c:pt>
                <c:pt idx="39">
                  <c:v>1449.5902536328379</c:v>
                </c:pt>
                <c:pt idx="40">
                  <c:v>1516.9464873990717</c:v>
                </c:pt>
                <c:pt idx="41">
                  <c:v>1516.9464873990717</c:v>
                </c:pt>
                <c:pt idx="42">
                  <c:v>1584.5752740657383</c:v>
                </c:pt>
                <c:pt idx="43">
                  <c:v>1511.4426073990717</c:v>
                </c:pt>
                <c:pt idx="44">
                  <c:v>1511.4426073990717</c:v>
                </c:pt>
                <c:pt idx="45">
                  <c:v>1609.3626073990717</c:v>
                </c:pt>
                <c:pt idx="46">
                  <c:v>1634.9962153990718</c:v>
                </c:pt>
                <c:pt idx="47">
                  <c:v>1634.9962153990718</c:v>
                </c:pt>
                <c:pt idx="48">
                  <c:v>1694.0747753990718</c:v>
                </c:pt>
                <c:pt idx="49">
                  <c:v>1730.9906153990719</c:v>
                </c:pt>
                <c:pt idx="50">
                  <c:v>1732.4906153990719</c:v>
                </c:pt>
                <c:pt idx="51">
                  <c:v>1946.6591153990719</c:v>
                </c:pt>
                <c:pt idx="52">
                  <c:v>1980.8447153990719</c:v>
                </c:pt>
                <c:pt idx="53">
                  <c:v>2004.659715399072</c:v>
                </c:pt>
                <c:pt idx="54">
                  <c:v>2063.9210487324053</c:v>
                </c:pt>
                <c:pt idx="55">
                  <c:v>2072.1860487324052</c:v>
                </c:pt>
                <c:pt idx="56">
                  <c:v>2109.2912487324052</c:v>
                </c:pt>
                <c:pt idx="57">
                  <c:v>2124.3662948862511</c:v>
                </c:pt>
                <c:pt idx="58">
                  <c:v>2180.2182567910131</c:v>
                </c:pt>
                <c:pt idx="59">
                  <c:v>2184.9564567910129</c:v>
                </c:pt>
                <c:pt idx="60">
                  <c:v>2191.822056791013</c:v>
                </c:pt>
                <c:pt idx="61">
                  <c:v>2305.1596229285792</c:v>
                </c:pt>
                <c:pt idx="62">
                  <c:v>2305.1596229285792</c:v>
                </c:pt>
                <c:pt idx="63">
                  <c:v>2327.9791784841345</c:v>
                </c:pt>
                <c:pt idx="64">
                  <c:v>2424.1072673730232</c:v>
                </c:pt>
                <c:pt idx="65">
                  <c:v>2419.2912673730234</c:v>
                </c:pt>
                <c:pt idx="66">
                  <c:v>2414.8739340396901</c:v>
                </c:pt>
                <c:pt idx="67">
                  <c:v>2392.6441740396899</c:v>
                </c:pt>
                <c:pt idx="68">
                  <c:v>2462.9033793730232</c:v>
                </c:pt>
                <c:pt idx="69">
                  <c:v>2515.9652460396896</c:v>
                </c:pt>
                <c:pt idx="70">
                  <c:v>2699.0367160396895</c:v>
                </c:pt>
                <c:pt idx="71">
                  <c:v>2721.2710760396894</c:v>
                </c:pt>
                <c:pt idx="72">
                  <c:v>2745.1908760396896</c:v>
                </c:pt>
                <c:pt idx="73">
                  <c:v>2742.8023760396895</c:v>
                </c:pt>
                <c:pt idx="74">
                  <c:v>2897.9957093730227</c:v>
                </c:pt>
                <c:pt idx="75">
                  <c:v>3044.8385665158798</c:v>
                </c:pt>
              </c:numCache>
            </c:numRef>
          </c:yVal>
          <c:smooth val="0"/>
          <c:extLst>
            <c:ext xmlns:c16="http://schemas.microsoft.com/office/drawing/2014/chart" uri="{C3380CC4-5D6E-409C-BE32-E72D297353CC}">
              <c16:uniqueId val="{00000000-68CB-4A17-93D2-593329B1DC18}"/>
            </c:ext>
          </c:extLst>
        </c:ser>
        <c:dLbls>
          <c:showLegendKey val="0"/>
          <c:showVal val="0"/>
          <c:showCatName val="0"/>
          <c:showSerName val="0"/>
          <c:showPercent val="0"/>
          <c:showBubbleSize val="0"/>
        </c:dLbls>
        <c:axId val="1859657056"/>
        <c:axId val="1859657888"/>
        <c:extLst/>
      </c:scatterChart>
      <c:valAx>
        <c:axId val="1859657056"/>
        <c:scaling>
          <c:orientation val="minMax"/>
          <c:min val="19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autoZero"/>
        <c:crossBetween val="midCat"/>
      </c:valAx>
      <c:valAx>
        <c:axId val="1859657888"/>
        <c:scaling>
          <c:orientation val="minMax"/>
          <c:max val="35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Paris_Stock!$G$2</c:f>
              <c:strCache>
                <c:ptCount val="1"/>
                <c:pt idx="0">
                  <c:v>spacer, total lenght</c:v>
                </c:pt>
              </c:strCache>
            </c:strRef>
          </c:tx>
          <c:spPr>
            <a:ln w="19050" cap="rnd">
              <a:solidFill>
                <a:schemeClr val="accent1"/>
              </a:solidFill>
              <a:round/>
            </a:ln>
            <a:effectLst/>
          </c:spPr>
          <c:marker>
            <c:symbol val="none"/>
          </c:marker>
          <c:xVal>
            <c:numRef>
              <c:f>Paris_Stock!$A$4:$A$79</c:f>
              <c:numCache>
                <c:formatCode>General</c:formatCode>
                <c:ptCount val="76"/>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numCache>
            </c:numRef>
          </c:xVal>
          <c:yVal>
            <c:numRef>
              <c:f>Paris_Stock!$G$4:$G$79</c:f>
              <c:numCache>
                <c:formatCode>#,##0</c:formatCode>
                <c:ptCount val="7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20.16</c:v>
                </c:pt>
                <c:pt idx="17">
                  <c:v>31.620799999999999</c:v>
                </c:pt>
                <c:pt idx="18">
                  <c:v>39.370080000000002</c:v>
                </c:pt>
                <c:pt idx="19">
                  <c:v>58.370080000000002</c:v>
                </c:pt>
                <c:pt idx="20">
                  <c:v>99.983413333333331</c:v>
                </c:pt>
                <c:pt idx="21">
                  <c:v>114.44314666666666</c:v>
                </c:pt>
                <c:pt idx="22">
                  <c:v>183.09381333333334</c:v>
                </c:pt>
                <c:pt idx="23">
                  <c:v>221.80047999999999</c:v>
                </c:pt>
                <c:pt idx="24">
                  <c:v>387.70128</c:v>
                </c:pt>
                <c:pt idx="25">
                  <c:v>462.59307999999999</c:v>
                </c:pt>
                <c:pt idx="26">
                  <c:v>470.90807999999998</c:v>
                </c:pt>
                <c:pt idx="27">
                  <c:v>470.90807999999998</c:v>
                </c:pt>
                <c:pt idx="28">
                  <c:v>485.78307999999998</c:v>
                </c:pt>
                <c:pt idx="29">
                  <c:v>485.78307999999998</c:v>
                </c:pt>
                <c:pt idx="30">
                  <c:v>491.07927999999998</c:v>
                </c:pt>
                <c:pt idx="31">
                  <c:v>512.92927999999995</c:v>
                </c:pt>
                <c:pt idx="32">
                  <c:v>553.62117999999998</c:v>
                </c:pt>
                <c:pt idx="33">
                  <c:v>594.7027117647059</c:v>
                </c:pt>
                <c:pt idx="34">
                  <c:v>636.46499747899156</c:v>
                </c:pt>
                <c:pt idx="35">
                  <c:v>779.2706774789915</c:v>
                </c:pt>
                <c:pt idx="36">
                  <c:v>845.20872747899148</c:v>
                </c:pt>
                <c:pt idx="37">
                  <c:v>845.20872747899148</c:v>
                </c:pt>
                <c:pt idx="38">
                  <c:v>889.5884474789915</c:v>
                </c:pt>
                <c:pt idx="39">
                  <c:v>928.19484747899151</c:v>
                </c:pt>
                <c:pt idx="40">
                  <c:v>961.87296436210841</c:v>
                </c:pt>
                <c:pt idx="41">
                  <c:v>961.87296436210841</c:v>
                </c:pt>
                <c:pt idx="42">
                  <c:v>995.68735769544173</c:v>
                </c:pt>
                <c:pt idx="43">
                  <c:v>998.1840243621084</c:v>
                </c:pt>
                <c:pt idx="44">
                  <c:v>998.1840243621084</c:v>
                </c:pt>
                <c:pt idx="45">
                  <c:v>1047.1440243621084</c:v>
                </c:pt>
                <c:pt idx="46">
                  <c:v>1062.9458283621084</c:v>
                </c:pt>
                <c:pt idx="47">
                  <c:v>1062.9458283621084</c:v>
                </c:pt>
                <c:pt idx="48">
                  <c:v>1098.0478283621085</c:v>
                </c:pt>
                <c:pt idx="49">
                  <c:v>1110.631895028775</c:v>
                </c:pt>
                <c:pt idx="50">
                  <c:v>1107.565895028775</c:v>
                </c:pt>
                <c:pt idx="51">
                  <c:v>1234.101395028775</c:v>
                </c:pt>
                <c:pt idx="52">
                  <c:v>1254.088595028775</c:v>
                </c:pt>
                <c:pt idx="53">
                  <c:v>1256.8838616954417</c:v>
                </c:pt>
                <c:pt idx="54">
                  <c:v>1295.3878616954416</c:v>
                </c:pt>
                <c:pt idx="55">
                  <c:v>1332.2631416954416</c:v>
                </c:pt>
                <c:pt idx="56">
                  <c:v>1360.9749416954417</c:v>
                </c:pt>
                <c:pt idx="57">
                  <c:v>1374.6261416954417</c:v>
                </c:pt>
                <c:pt idx="58">
                  <c:v>1411.4502940763941</c:v>
                </c:pt>
                <c:pt idx="59">
                  <c:v>1416.1884940763941</c:v>
                </c:pt>
                <c:pt idx="60">
                  <c:v>1423.0540940763942</c:v>
                </c:pt>
                <c:pt idx="61">
                  <c:v>1476.8657342880344</c:v>
                </c:pt>
                <c:pt idx="62">
                  <c:v>1476.8657342880344</c:v>
                </c:pt>
                <c:pt idx="63">
                  <c:v>1511.0950676213679</c:v>
                </c:pt>
                <c:pt idx="64">
                  <c:v>1582.2696009547012</c:v>
                </c:pt>
                <c:pt idx="65">
                  <c:v>1577.4536009547012</c:v>
                </c:pt>
                <c:pt idx="66">
                  <c:v>1570.9969342880345</c:v>
                </c:pt>
                <c:pt idx="67">
                  <c:v>1563.2476542880345</c:v>
                </c:pt>
                <c:pt idx="68">
                  <c:v>1613.4328009547012</c:v>
                </c:pt>
                <c:pt idx="69">
                  <c:v>1651.3341342880344</c:v>
                </c:pt>
                <c:pt idx="70">
                  <c:v>1740.0092442880346</c:v>
                </c:pt>
                <c:pt idx="71">
                  <c:v>1754.5003242880346</c:v>
                </c:pt>
                <c:pt idx="72">
                  <c:v>1793.2951242880345</c:v>
                </c:pt>
                <c:pt idx="73">
                  <c:v>1790.9066242880344</c:v>
                </c:pt>
                <c:pt idx="74">
                  <c:v>1897.0632909547012</c:v>
                </c:pt>
                <c:pt idx="75">
                  <c:v>1970.4847195261298</c:v>
                </c:pt>
              </c:numCache>
            </c:numRef>
          </c:yVal>
          <c:smooth val="0"/>
          <c:extLst>
            <c:ext xmlns:c16="http://schemas.microsoft.com/office/drawing/2014/chart" uri="{C3380CC4-5D6E-409C-BE32-E72D297353CC}">
              <c16:uniqueId val="{00000000-7D03-420C-B3DA-1A7914D508A5}"/>
            </c:ext>
          </c:extLst>
        </c:ser>
        <c:dLbls>
          <c:showLegendKey val="0"/>
          <c:showVal val="0"/>
          <c:showCatName val="0"/>
          <c:showSerName val="0"/>
          <c:showPercent val="0"/>
          <c:showBubbleSize val="0"/>
        </c:dLbls>
        <c:axId val="1859657056"/>
        <c:axId val="1859657888"/>
        <c:extLst/>
      </c:scatterChart>
      <c:valAx>
        <c:axId val="1859657056"/>
        <c:scaling>
          <c:orientation val="minMax"/>
          <c:min val="19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autoZero"/>
        <c:crossBetween val="midCat"/>
      </c:valAx>
      <c:valAx>
        <c:axId val="1859657888"/>
        <c:scaling>
          <c:orientation val="minMax"/>
          <c:max val="35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Paris_data4Graph!$V$5:$V$126</c:f>
              <c:numCache>
                <c:formatCode>General</c:formatCode>
                <c:ptCount val="122"/>
                <c:pt idx="0">
                  <c:v>#N/A</c:v>
                </c:pt>
                <c:pt idx="1">
                  <c:v>#N/A</c:v>
                </c:pt>
                <c:pt idx="2">
                  <c:v>#N/A</c:v>
                </c:pt>
                <c:pt idx="3">
                  <c:v>#N/A</c:v>
                </c:pt>
                <c:pt idx="4">
                  <c:v>#N/A</c:v>
                </c:pt>
                <c:pt idx="5">
                  <c:v>#N/A</c:v>
                </c:pt>
                <c:pt idx="6">
                  <c:v>#N/A</c:v>
                </c:pt>
                <c:pt idx="7">
                  <c:v>90.700988524890974</c:v>
                </c:pt>
                <c:pt idx="8">
                  <c:v>#N/A</c:v>
                </c:pt>
                <c:pt idx="9">
                  <c:v>#N/A</c:v>
                </c:pt>
                <c:pt idx="10">
                  <c:v>#N/A</c:v>
                </c:pt>
                <c:pt idx="11">
                  <c:v>118.66624479381727</c:v>
                </c:pt>
                <c:pt idx="12">
                  <c:v>#N/A</c:v>
                </c:pt>
                <c:pt idx="13">
                  <c:v>1720.5080327358146</c:v>
                </c:pt>
                <c:pt idx="14">
                  <c:v>#N/A</c:v>
                </c:pt>
                <c:pt idx="15">
                  <c:v>#N/A</c:v>
                </c:pt>
                <c:pt idx="16">
                  <c:v>548.16497352100077</c:v>
                </c:pt>
                <c:pt idx="17">
                  <c:v>259.68756320455356</c:v>
                </c:pt>
                <c:pt idx="18">
                  <c:v>189.17672472436493</c:v>
                </c:pt>
                <c:pt idx="19">
                  <c:v>339.50940853788398</c:v>
                </c:pt>
                <c:pt idx="20">
                  <c:v>953.13385774297114</c:v>
                </c:pt>
                <c:pt idx="21">
                  <c:v>382.25079392722432</c:v>
                </c:pt>
                <c:pt idx="22">
                  <c:v>1593.4525288123614</c:v>
                </c:pt>
                <c:pt idx="23">
                  <c:v>776.82758427278941</c:v>
                </c:pt>
                <c:pt idx="24">
                  <c:v>3911.1438231129755</c:v>
                </c:pt>
                <c:pt idx="25">
                  <c:v>2141.961187247985</c:v>
                </c:pt>
                <c:pt idx="26">
                  <c:v>393.96053966405321</c:v>
                </c:pt>
                <c:pt idx="27">
                  <c:v>#N/A</c:v>
                </c:pt>
                <c:pt idx="28">
                  <c:v>423.96492237353186</c:v>
                </c:pt>
                <c:pt idx="29">
                  <c:v>#N/A</c:v>
                </c:pt>
                <c:pt idx="30">
                  <c:v>169.15780530139514</c:v>
                </c:pt>
                <c:pt idx="31">
                  <c:v>721.97955263410267</c:v>
                </c:pt>
                <c:pt idx="32">
                  <c:v>706.33646994556977</c:v>
                </c:pt>
                <c:pt idx="33">
                  <c:v>919.36914001112495</c:v>
                </c:pt>
                <c:pt idx="34">
                  <c:v>1205.3750147666544</c:v>
                </c:pt>
                <c:pt idx="35">
                  <c:v>2742.0797958102271</c:v>
                </c:pt>
                <c:pt idx="36">
                  <c:v>1415.9569717725378</c:v>
                </c:pt>
                <c:pt idx="37">
                  <c:v>#N/A</c:v>
                </c:pt>
                <c:pt idx="38">
                  <c:v>1226.3855418143371</c:v>
                </c:pt>
                <c:pt idx="39">
                  <c:v>1242.4744839455905</c:v>
                </c:pt>
                <c:pt idx="40">
                  <c:v>1211.3544918595621</c:v>
                </c:pt>
                <c:pt idx="41">
                  <c:v>#N/A</c:v>
                </c:pt>
                <c:pt idx="42">
                  <c:v>1617.3607395913584</c:v>
                </c:pt>
                <c:pt idx="43">
                  <c:v>74.171135999999365</c:v>
                </c:pt>
                <c:pt idx="44">
                  <c:v>193.14300028182723</c:v>
                </c:pt>
                <c:pt idx="45">
                  <c:v>2865.5263722001641</c:v>
                </c:pt>
                <c:pt idx="46">
                  <c:v>889.12383013344117</c:v>
                </c:pt>
                <c:pt idx="47">
                  <c:v>#N/A</c:v>
                </c:pt>
                <c:pt idx="48">
                  <c:v>1396.2077500967519</c:v>
                </c:pt>
                <c:pt idx="49">
                  <c:v>1009.6636660591231</c:v>
                </c:pt>
                <c:pt idx="50">
                  <c:v>276.05400169095765</c:v>
                </c:pt>
                <c:pt idx="51">
                  <c:v>4280.5443197539953</c:v>
                </c:pt>
                <c:pt idx="52">
                  <c:v>1042.12653626882</c:v>
                </c:pt>
                <c:pt idx="53">
                  <c:v>870.86738579518499</c:v>
                </c:pt>
                <c:pt idx="54">
                  <c:v>1615.613721712949</c:v>
                </c:pt>
                <c:pt idx="55">
                  <c:v>1538.5574369951289</c:v>
                </c:pt>
                <c:pt idx="56">
                  <c:v>556.93700990521961</c:v>
                </c:pt>
                <c:pt idx="57">
                  <c:v>799.10513293191923</c:v>
                </c:pt>
                <c:pt idx="58">
                  <c:v>2350.3359081425242</c:v>
                </c:pt>
                <c:pt idx="59">
                  <c:v>245.94250337649865</c:v>
                </c:pt>
                <c:pt idx="60">
                  <c:v>944.75417305499991</c:v>
                </c:pt>
                <c:pt idx="61">
                  <c:v>2178.2920499999996</c:v>
                </c:pt>
                <c:pt idx="62">
                  <c:v>836.89781174999985</c:v>
                </c:pt>
                <c:pt idx="63">
                  <c:v>1428.48992</c:v>
                </c:pt>
                <c:pt idx="64">
                  <c:v>3147.6132921199992</c:v>
                </c:pt>
                <c:pt idx="65">
                  <c:v>420.92599999999999</c:v>
                </c:pt>
                <c:pt idx="66">
                  <c:v>516.40974000000006</c:v>
                </c:pt>
                <c:pt idx="67">
                  <c:v>299.35016495999997</c:v>
                </c:pt>
                <c:pt idx="68">
                  <c:v>737.00930269999992</c:v>
                </c:pt>
                <c:pt idx="69">
                  <c:v>717.43513600000006</c:v>
                </c:pt>
                <c:pt idx="70">
                  <c:v>4678.5170223989999</c:v>
                </c:pt>
                <c:pt idx="71">
                  <c:v>2879.1799203199994</c:v>
                </c:pt>
                <c:pt idx="72">
                  <c:v>2967.7808556</c:v>
                </c:pt>
                <c:pt idx="73">
                  <c:v>1044.6763008</c:v>
                </c:pt>
                <c:pt idx="74">
                  <c:v>3017.6532480874994</c:v>
                </c:pt>
                <c:pt idx="75">
                  <c:v>4406.7174584316181</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AFCE-4BCB-A23D-7C02E48C8445}"/>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Paris_data4Graph!$Y$5:$Y$126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145.64202114374999</c:v>
                </c:pt>
                <c:pt idx="77">
                  <c:v>3386.4283249999999</c:v>
                </c:pt>
                <c:pt idx="78">
                  <c:v>249.44835977999995</c:v>
                </c:pt>
                <c:pt idx="79">
                  <c:v>#N/A</c:v>
                </c:pt>
                <c:pt idx="80">
                  <c:v>450.17049749999995</c:v>
                </c:pt>
                <c:pt idx="81">
                  <c:v>#N/A</c:v>
                </c:pt>
                <c:pt idx="82">
                  <c:v>431.275814712</c:v>
                </c:pt>
                <c:pt idx="83">
                  <c:v>#N/A</c:v>
                </c:pt>
                <c:pt idx="84">
                  <c:v>171.18422684999999</c:v>
                </c:pt>
                <c:pt idx="85">
                  <c:v>2500.6503599999996</c:v>
                </c:pt>
                <c:pt idx="86">
                  <c:v>583.90751663999981</c:v>
                </c:pt>
                <c:pt idx="87">
                  <c:v>#N/A</c:v>
                </c:pt>
                <c:pt idx="88">
                  <c:v>1038.1300986599997</c:v>
                </c:pt>
                <c:pt idx="89">
                  <c:v>780.99958339999989</c:v>
                </c:pt>
                <c:pt idx="90">
                  <c:v>253.01954999999995</c:v>
                </c:pt>
                <c:pt idx="91">
                  <c:v>3943.6161389999993</c:v>
                </c:pt>
                <c:pt idx="92">
                  <c:v>420.07007649999991</c:v>
                </c:pt>
                <c:pt idx="93">
                  <c:v>809.88802503999977</c:v>
                </c:pt>
                <c:pt idx="94">
                  <c:v>1508.6879999999999</c:v>
                </c:pt>
                <c:pt idx="95">
                  <c:v>1331.6679793799999</c:v>
                </c:pt>
                <c:pt idx="96">
                  <c:v>451.12637707199985</c:v>
                </c:pt>
                <c:pt idx="97">
                  <c:v>753.20410239999978</c:v>
                </c:pt>
                <c:pt idx="98">
                  <c:v>1993.2125804999996</c:v>
                </c:pt>
                <c:pt idx="99">
                  <c:v>232.52653799999996</c:v>
                </c:pt>
                <c:pt idx="100">
                  <c:v>893.58034405499984</c:v>
                </c:pt>
                <c:pt idx="101">
                  <c:v>2060.3020499999993</c:v>
                </c:pt>
                <c:pt idx="102">
                  <c:v>791.56616174999976</c:v>
                </c:pt>
                <c:pt idx="103">
                  <c:v>1108.8856799999999</c:v>
                </c:pt>
                <c:pt idx="104">
                  <c:v>2862.6093369199994</c:v>
                </c:pt>
                <c:pt idx="105">
                  <c:v>398.12599999999992</c:v>
                </c:pt>
                <c:pt idx="106">
                  <c:v>488.43773999999996</c:v>
                </c:pt>
                <c:pt idx="107">
                  <c:v>283.13547695999995</c:v>
                </c:pt>
                <c:pt idx="108">
                  <c:v>519.98503469999991</c:v>
                </c:pt>
                <c:pt idx="109">
                  <c:v>678.57433600000002</c:v>
                </c:pt>
                <c:pt idx="110">
                  <c:v>4355.4273745089995</c:v>
                </c:pt>
                <c:pt idx="111">
                  <c:v>2723.2254243199995</c:v>
                </c:pt>
                <c:pt idx="112">
                  <c:v>2755.6898755999996</c:v>
                </c:pt>
                <c:pt idx="113">
                  <c:v>694.80111359999989</c:v>
                </c:pt>
                <c:pt idx="114">
                  <c:v>2450.6712720874998</c:v>
                </c:pt>
                <c:pt idx="115">
                  <c:v>2153.9340011904756</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AFCE-4BCB-A23D-7C02E48C8445}"/>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70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Paris_data4Graph!$V$5:$V$126</c:f>
              <c:numCache>
                <c:formatCode>General</c:formatCode>
                <c:ptCount val="122"/>
                <c:pt idx="0">
                  <c:v>#N/A</c:v>
                </c:pt>
                <c:pt idx="1">
                  <c:v>#N/A</c:v>
                </c:pt>
                <c:pt idx="2">
                  <c:v>#N/A</c:v>
                </c:pt>
                <c:pt idx="3">
                  <c:v>#N/A</c:v>
                </c:pt>
                <c:pt idx="4">
                  <c:v>#N/A</c:v>
                </c:pt>
                <c:pt idx="5">
                  <c:v>#N/A</c:v>
                </c:pt>
                <c:pt idx="6">
                  <c:v>#N/A</c:v>
                </c:pt>
                <c:pt idx="7">
                  <c:v>90.700988524890974</c:v>
                </c:pt>
                <c:pt idx="8">
                  <c:v>#N/A</c:v>
                </c:pt>
                <c:pt idx="9">
                  <c:v>#N/A</c:v>
                </c:pt>
                <c:pt idx="10">
                  <c:v>#N/A</c:v>
                </c:pt>
                <c:pt idx="11">
                  <c:v>118.66624479381727</c:v>
                </c:pt>
                <c:pt idx="12">
                  <c:v>#N/A</c:v>
                </c:pt>
                <c:pt idx="13">
                  <c:v>1720.5080327358146</c:v>
                </c:pt>
                <c:pt idx="14">
                  <c:v>#N/A</c:v>
                </c:pt>
                <c:pt idx="15">
                  <c:v>#N/A</c:v>
                </c:pt>
                <c:pt idx="16">
                  <c:v>548.16497352100077</c:v>
                </c:pt>
                <c:pt idx="17">
                  <c:v>259.68756320455356</c:v>
                </c:pt>
                <c:pt idx="18">
                  <c:v>189.17672472436493</c:v>
                </c:pt>
                <c:pt idx="19">
                  <c:v>339.50940853788398</c:v>
                </c:pt>
                <c:pt idx="20">
                  <c:v>953.13385774297114</c:v>
                </c:pt>
                <c:pt idx="21">
                  <c:v>382.25079392722432</c:v>
                </c:pt>
                <c:pt idx="22">
                  <c:v>1593.4525288123614</c:v>
                </c:pt>
                <c:pt idx="23">
                  <c:v>776.82758427278941</c:v>
                </c:pt>
                <c:pt idx="24">
                  <c:v>3911.1438231129755</c:v>
                </c:pt>
                <c:pt idx="25">
                  <c:v>2141.961187247985</c:v>
                </c:pt>
                <c:pt idx="26">
                  <c:v>393.96053966405321</c:v>
                </c:pt>
                <c:pt idx="27">
                  <c:v>#N/A</c:v>
                </c:pt>
                <c:pt idx="28">
                  <c:v>423.96492237353186</c:v>
                </c:pt>
                <c:pt idx="29">
                  <c:v>#N/A</c:v>
                </c:pt>
                <c:pt idx="30">
                  <c:v>169.15780530139514</c:v>
                </c:pt>
                <c:pt idx="31">
                  <c:v>721.97955263410267</c:v>
                </c:pt>
                <c:pt idx="32">
                  <c:v>706.33646994556977</c:v>
                </c:pt>
                <c:pt idx="33">
                  <c:v>919.36914001112495</c:v>
                </c:pt>
                <c:pt idx="34">
                  <c:v>1205.3750147666544</c:v>
                </c:pt>
                <c:pt idx="35">
                  <c:v>2742.0797958102271</c:v>
                </c:pt>
                <c:pt idx="36">
                  <c:v>1415.9569717725378</c:v>
                </c:pt>
                <c:pt idx="37">
                  <c:v>#N/A</c:v>
                </c:pt>
                <c:pt idx="38">
                  <c:v>1226.3855418143371</c:v>
                </c:pt>
                <c:pt idx="39">
                  <c:v>1242.4744839455905</c:v>
                </c:pt>
                <c:pt idx="40">
                  <c:v>1211.3544918595621</c:v>
                </c:pt>
                <c:pt idx="41">
                  <c:v>#N/A</c:v>
                </c:pt>
                <c:pt idx="42">
                  <c:v>1617.3607395913584</c:v>
                </c:pt>
                <c:pt idx="43">
                  <c:v>74.171135999999365</c:v>
                </c:pt>
                <c:pt idx="44">
                  <c:v>193.14300028182723</c:v>
                </c:pt>
                <c:pt idx="45">
                  <c:v>2865.5263722001641</c:v>
                </c:pt>
                <c:pt idx="46">
                  <c:v>889.12383013344117</c:v>
                </c:pt>
                <c:pt idx="47">
                  <c:v>#N/A</c:v>
                </c:pt>
                <c:pt idx="48">
                  <c:v>1396.2077500967519</c:v>
                </c:pt>
                <c:pt idx="49">
                  <c:v>1009.6636660591231</c:v>
                </c:pt>
                <c:pt idx="50">
                  <c:v>276.05400169095765</c:v>
                </c:pt>
                <c:pt idx="51">
                  <c:v>4280.5443197539953</c:v>
                </c:pt>
                <c:pt idx="52">
                  <c:v>1042.12653626882</c:v>
                </c:pt>
                <c:pt idx="53">
                  <c:v>870.86738579518499</c:v>
                </c:pt>
                <c:pt idx="54">
                  <c:v>1615.613721712949</c:v>
                </c:pt>
                <c:pt idx="55">
                  <c:v>1538.5574369951289</c:v>
                </c:pt>
                <c:pt idx="56">
                  <c:v>556.93700990521961</c:v>
                </c:pt>
                <c:pt idx="57">
                  <c:v>799.10513293191923</c:v>
                </c:pt>
                <c:pt idx="58">
                  <c:v>2350.3359081425242</c:v>
                </c:pt>
                <c:pt idx="59">
                  <c:v>245.94250337649865</c:v>
                </c:pt>
                <c:pt idx="60">
                  <c:v>944.75417305499991</c:v>
                </c:pt>
                <c:pt idx="61">
                  <c:v>2178.2920499999996</c:v>
                </c:pt>
                <c:pt idx="62">
                  <c:v>836.89781174999985</c:v>
                </c:pt>
                <c:pt idx="63">
                  <c:v>1428.48992</c:v>
                </c:pt>
                <c:pt idx="64">
                  <c:v>3147.6132921199992</c:v>
                </c:pt>
                <c:pt idx="65">
                  <c:v>420.92599999999999</c:v>
                </c:pt>
                <c:pt idx="66">
                  <c:v>516.40974000000006</c:v>
                </c:pt>
                <c:pt idx="67">
                  <c:v>299.35016495999997</c:v>
                </c:pt>
                <c:pt idx="68">
                  <c:v>737.00930269999992</c:v>
                </c:pt>
                <c:pt idx="69">
                  <c:v>717.43513600000006</c:v>
                </c:pt>
                <c:pt idx="70">
                  <c:v>4678.5170223989999</c:v>
                </c:pt>
                <c:pt idx="71">
                  <c:v>2879.1799203199994</c:v>
                </c:pt>
                <c:pt idx="72">
                  <c:v>2967.7808556</c:v>
                </c:pt>
                <c:pt idx="73">
                  <c:v>1044.6763008</c:v>
                </c:pt>
                <c:pt idx="74">
                  <c:v>3017.6532480874994</c:v>
                </c:pt>
                <c:pt idx="75">
                  <c:v>4406.7174584316181</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2E7A-412E-A1F2-2D88A9B55E7C}"/>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Paris_data4Graph!$AA$5:$AA$126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144.81727485503052</c:v>
                </c:pt>
                <c:pt idx="77">
                  <c:v>3355.034924339016</c:v>
                </c:pt>
                <c:pt idx="78">
                  <c:v>245.67970514937471</c:v>
                </c:pt>
                <c:pt idx="79">
                  <c:v>#N/A</c:v>
                </c:pt>
                <c:pt idx="80">
                  <c:v>432.56954120966094</c:v>
                </c:pt>
                <c:pt idx="81">
                  <c:v>#N/A</c:v>
                </c:pt>
                <c:pt idx="82">
                  <c:v>390.72519253191138</c:v>
                </c:pt>
                <c:pt idx="83">
                  <c:v>#N/A</c:v>
                </c:pt>
                <c:pt idx="84">
                  <c:v>137.87348518155775</c:v>
                </c:pt>
                <c:pt idx="85">
                  <c:v>1856.2143599999997</c:v>
                </c:pt>
                <c:pt idx="86">
                  <c:v>396.57556241895014</c:v>
                </c:pt>
                <c:pt idx="87">
                  <c:v>#N/A</c:v>
                </c:pt>
                <c:pt idx="88">
                  <c:v>600.67254145687423</c:v>
                </c:pt>
                <c:pt idx="89">
                  <c:v>426.4446902829261</c:v>
                </c:pt>
                <c:pt idx="90">
                  <c:v>132.50221525657034</c:v>
                </c:pt>
                <c:pt idx="91">
                  <c:v>2007.4160644838005</c:v>
                </c:pt>
                <c:pt idx="92">
                  <c:v>209.90617637364537</c:v>
                </c:pt>
                <c:pt idx="93">
                  <c:v>399.96776843318747</c:v>
                </c:pt>
                <c:pt idx="94">
                  <c:v>739.63144658954911</c:v>
                </c:pt>
                <c:pt idx="95">
                  <c:v>649.90041708046977</c:v>
                </c:pt>
                <c:pt idx="96">
                  <c:v>219.55557959311898</c:v>
                </c:pt>
                <c:pt idx="97">
                  <c:v>365.95152556774252</c:v>
                </c:pt>
                <c:pt idx="98">
                  <c:v>967.423691719114</c:v>
                </c:pt>
                <c:pt idx="99">
                  <c:v>112.78812529912602</c:v>
                </c:pt>
                <c:pt idx="100">
                  <c:v>433.27047324996698</c:v>
                </c:pt>
                <c:pt idx="101">
                  <c:v>998.7481616570434</c:v>
                </c:pt>
                <c:pt idx="102">
                  <c:v>383.66430687512775</c:v>
                </c:pt>
                <c:pt idx="103">
                  <c:v>537.42020444238085</c:v>
                </c:pt>
                <c:pt idx="104">
                  <c:v>1387.2887833631044</c:v>
                </c:pt>
                <c:pt idx="105">
                  <c:v>192.93531564265768</c:v>
                </c:pt>
                <c:pt idx="106">
                  <c:v>236.69667205516674</c:v>
                </c:pt>
                <c:pt idx="107">
                  <c:v>137.20572223509978</c:v>
                </c:pt>
                <c:pt idx="108">
                  <c:v>251.97980961801494</c:v>
                </c:pt>
                <c:pt idx="109">
                  <c:v>328.82928490786344</c:v>
                </c:pt>
                <c:pt idx="110">
                  <c:v>2110.5843684603092</c:v>
                </c:pt>
                <c:pt idx="111">
                  <c:v>1319.6381328896298</c:v>
                </c:pt>
                <c:pt idx="112">
                  <c:v>1335.3687028022175</c:v>
                </c:pt>
                <c:pt idx="113">
                  <c:v>336.69069137910066</c:v>
                </c:pt>
                <c:pt idx="114">
                  <c:v>1187.5598666347846</c:v>
                </c:pt>
                <c:pt idx="115">
                  <c:v>1043.7650550794469</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2E7A-412E-A1F2-2D88A9B55E7C}"/>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Paris_data4Graph!$W$5:$W$126</c:f>
              <c:numCache>
                <c:formatCode>General</c:formatCode>
                <c:ptCount val="122"/>
                <c:pt idx="0">
                  <c:v>#N/A</c:v>
                </c:pt>
                <c:pt idx="1">
                  <c:v>#N/A</c:v>
                </c:pt>
                <c:pt idx="2">
                  <c:v>#N/A</c:v>
                </c:pt>
                <c:pt idx="3">
                  <c:v>#N/A</c:v>
                </c:pt>
                <c:pt idx="4">
                  <c:v>#N/A</c:v>
                </c:pt>
                <c:pt idx="5">
                  <c:v>#N/A</c:v>
                </c:pt>
                <c:pt idx="6">
                  <c:v>#N/A</c:v>
                </c:pt>
                <c:pt idx="7">
                  <c:v>144.19504202947161</c:v>
                </c:pt>
                <c:pt idx="8">
                  <c:v>#N/A</c:v>
                </c:pt>
                <c:pt idx="9">
                  <c:v>#N/A</c:v>
                </c:pt>
                <c:pt idx="10">
                  <c:v>#N/A</c:v>
                </c:pt>
                <c:pt idx="11">
                  <c:v>163.6568866421967</c:v>
                </c:pt>
                <c:pt idx="12">
                  <c:v>#N/A</c:v>
                </c:pt>
                <c:pt idx="13">
                  <c:v>2258.4226523518892</c:v>
                </c:pt>
                <c:pt idx="14">
                  <c:v>#N/A</c:v>
                </c:pt>
                <c:pt idx="15">
                  <c:v>#N/A</c:v>
                </c:pt>
                <c:pt idx="16">
                  <c:v>708.54347938881131</c:v>
                </c:pt>
                <c:pt idx="17">
                  <c:v>328.05511956492404</c:v>
                </c:pt>
                <c:pt idx="18">
                  <c:v>233.2924357669757</c:v>
                </c:pt>
                <c:pt idx="19">
                  <c:v>405.99248885818679</c:v>
                </c:pt>
                <c:pt idx="20">
                  <c:v>1101.2278749999998</c:v>
                </c:pt>
                <c:pt idx="21">
                  <c:v>427.30748235125111</c:v>
                </c:pt>
                <c:pt idx="22">
                  <c:v>1713.1710375794362</c:v>
                </c:pt>
                <c:pt idx="23">
                  <c:v>797.27636849345311</c:v>
                </c:pt>
                <c:pt idx="24">
                  <c:v>3831.394038277213</c:v>
                </c:pt>
                <c:pt idx="25">
                  <c:v>2014.84608</c:v>
                </c:pt>
                <c:pt idx="26">
                  <c:v>357.78449978807197</c:v>
                </c:pt>
                <c:pt idx="27">
                  <c:v>#N/A</c:v>
                </c:pt>
                <c:pt idx="28">
                  <c:v>360.72095517817957</c:v>
                </c:pt>
                <c:pt idx="29">
                  <c:v>#N/A</c:v>
                </c:pt>
                <c:pt idx="30">
                  <c:v>136.660293</c:v>
                </c:pt>
                <c:pt idx="31">
                  <c:v>572.34980238799506</c:v>
                </c:pt>
                <c:pt idx="32">
                  <c:v>551.44725244427491</c:v>
                </c:pt>
                <c:pt idx="33">
                  <c:v>708.22925069829773</c:v>
                </c:pt>
                <c:pt idx="34">
                  <c:v>916.2775696683633</c:v>
                </c:pt>
                <c:pt idx="35">
                  <c:v>2052.8420040000001</c:v>
                </c:pt>
                <c:pt idx="36">
                  <c:v>1036.7653997483999</c:v>
                </c:pt>
                <c:pt idx="37">
                  <c:v>#N/A</c:v>
                </c:pt>
                <c:pt idx="38">
                  <c:v>848.33114954687994</c:v>
                </c:pt>
                <c:pt idx="39">
                  <c:v>842.41292671871997</c:v>
                </c:pt>
                <c:pt idx="40">
                  <c:v>818.65724999999986</c:v>
                </c:pt>
                <c:pt idx="41">
                  <c:v>#N/A</c:v>
                </c:pt>
                <c:pt idx="42">
                  <c:v>1121.0187681280001</c:v>
                </c:pt>
                <c:pt idx="43">
                  <c:v>52.178879999999999</c:v>
                </c:pt>
                <c:pt idx="44">
                  <c:v>137.6401572</c:v>
                </c:pt>
                <c:pt idx="45">
                  <c:v>2059.9409999999998</c:v>
                </c:pt>
                <c:pt idx="46">
                  <c:v>634.63651972954813</c:v>
                </c:pt>
                <c:pt idx="47">
                  <c:v>#N/A</c:v>
                </c:pt>
                <c:pt idx="48">
                  <c:v>936.40420718825681</c:v>
                </c:pt>
                <c:pt idx="49">
                  <c:v>654.00884580129002</c:v>
                </c:pt>
                <c:pt idx="50">
                  <c:v>175.08750000000001</c:v>
                </c:pt>
                <c:pt idx="51">
                  <c:v>2695.5543160830271</c:v>
                </c:pt>
                <c:pt idx="52">
                  <c:v>653.79849943051897</c:v>
                </c:pt>
                <c:pt idx="53">
                  <c:v>544.81105183649925</c:v>
                </c:pt>
                <c:pt idx="54">
                  <c:v>1006.1614047685823</c:v>
                </c:pt>
                <c:pt idx="55">
                  <c:v>949.67418599999996</c:v>
                </c:pt>
                <c:pt idx="56">
                  <c:v>336.38840230434738</c:v>
                </c:pt>
                <c:pt idx="57">
                  <c:v>470.88735999999994</c:v>
                </c:pt>
                <c:pt idx="58">
                  <c:v>1362.5183747241908</c:v>
                </c:pt>
                <c:pt idx="59">
                  <c:v>140.55490709219842</c:v>
                </c:pt>
                <c:pt idx="60">
                  <c:v>533.06071874999998</c:v>
                </c:pt>
                <c:pt idx="61">
                  <c:v>1215.2829401424672</c:v>
                </c:pt>
                <c:pt idx="62">
                  <c:v>462.36019462554088</c:v>
                </c:pt>
                <c:pt idx="63">
                  <c:v>782.07895830387054</c:v>
                </c:pt>
                <c:pt idx="64">
                  <c:v>1707.6573028625319</c:v>
                </c:pt>
                <c:pt idx="65">
                  <c:v>226.1</c:v>
                </c:pt>
                <c:pt idx="66">
                  <c:v>274.37383685756242</c:v>
                </c:pt>
                <c:pt idx="67">
                  <c:v>157.24182003406744</c:v>
                </c:pt>
                <c:pt idx="68">
                  <c:v>382.57682499999999</c:v>
                </c:pt>
                <c:pt idx="69">
                  <c:v>367.90326925762776</c:v>
                </c:pt>
                <c:pt idx="70">
                  <c:v>2369.4392173234573</c:v>
                </c:pt>
                <c:pt idx="71">
                  <c:v>1458.163299240985</c:v>
                </c:pt>
                <c:pt idx="72">
                  <c:v>1503.0353238032301</c:v>
                </c:pt>
                <c:pt idx="73">
                  <c:v>529.07726629466458</c:v>
                </c:pt>
                <c:pt idx="74">
                  <c:v>1528.2932425103497</c:v>
                </c:pt>
                <c:pt idx="75">
                  <c:v>2231.7860800082703</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0B37-44CA-B1E0-F278710206C7}"/>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Paris_data4Graph!$AC$5:$AC$126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formatCode="0">
                  <c:v>77.588493259485091</c:v>
                </c:pt>
                <c:pt idx="77" formatCode="0">
                  <c:v>1804.0663621981557</c:v>
                </c:pt>
                <c:pt idx="78" formatCode="0">
                  <c:v>132.88968547255499</c:v>
                </c:pt>
                <c:pt idx="79" formatCode="0">
                  <c:v>#N/A</c:v>
                </c:pt>
                <c:pt idx="80" formatCode="0">
                  <c:v>239.82124346120889</c:v>
                </c:pt>
                <c:pt idx="81" formatCode="0">
                  <c:v>#N/A</c:v>
                </c:pt>
                <c:pt idx="82" formatCode="0">
                  <c:v>229.7553987508428</c:v>
                </c:pt>
                <c:pt idx="83" formatCode="0">
                  <c:v>#N/A</c:v>
                </c:pt>
                <c:pt idx="84" formatCode="0">
                  <c:v>91.19570112235678</c:v>
                </c:pt>
                <c:pt idx="85" formatCode="0">
                  <c:v>1332.182100176211</c:v>
                </c:pt>
                <c:pt idx="86" formatCode="0">
                  <c:v>311.06753437779719</c:v>
                </c:pt>
                <c:pt idx="87" formatCode="0">
                  <c:v>#N/A</c:v>
                </c:pt>
                <c:pt idx="88" formatCode="0">
                  <c:v>553.04746205663696</c:v>
                </c:pt>
                <c:pt idx="89" formatCode="0">
                  <c:v>416.06522922723099</c:v>
                </c:pt>
                <c:pt idx="90" formatCode="0">
                  <c:v>134.79218082476743</c:v>
                </c:pt>
                <c:pt idx="91" formatCode="0">
                  <c:v>2100.8993957643161</c:v>
                </c:pt>
                <c:pt idx="92" formatCode="0">
                  <c:v>223.78571818131007</c:v>
                </c:pt>
                <c:pt idx="93" formatCode="0">
                  <c:v>431.45509158879401</c:v>
                </c:pt>
                <c:pt idx="94" formatCode="0">
                  <c:v>803.72977386196726</c:v>
                </c:pt>
                <c:pt idx="95" formatCode="0">
                  <c:v>709.42514550809074</c:v>
                </c:pt>
                <c:pt idx="96" formatCode="0">
                  <c:v>240.33047325043157</c:v>
                </c:pt>
                <c:pt idx="97" formatCode="0">
                  <c:v>401.25762443517681</c:v>
                </c:pt>
                <c:pt idx="98" formatCode="0">
                  <c:v>1061.8526140488248</c:v>
                </c:pt>
                <c:pt idx="99" formatCode="0">
                  <c:v>123.87485139647571</c:v>
                </c:pt>
                <c:pt idx="100" formatCode="0">
                  <c:v>476.04085659515033</c:v>
                </c:pt>
                <c:pt idx="101" formatCode="0">
                  <c:v>1097.593472430249</c:v>
                </c:pt>
                <c:pt idx="102" formatCode="0">
                  <c:v>421.69440744548433</c:v>
                </c:pt>
                <c:pt idx="103" formatCode="0">
                  <c:v>590.74138378854605</c:v>
                </c:pt>
                <c:pt idx="104" formatCode="0">
                  <c:v>1525.0100451636572</c:v>
                </c:pt>
                <c:pt idx="105" formatCode="0">
                  <c:v>212.0953569913525</c:v>
                </c:pt>
                <c:pt idx="106" formatCode="0">
                  <c:v>260.20751428781193</c:v>
                </c:pt>
                <c:pt idx="107" formatCode="0">
                  <c:v>150.83596666067541</c:v>
                </c:pt>
                <c:pt idx="108" formatCode="0">
                  <c:v>277.01383874667141</c:v>
                </c:pt>
                <c:pt idx="109" formatCode="0">
                  <c:v>361.49979162147156</c:v>
                </c:pt>
                <c:pt idx="110" formatCode="0">
                  <c:v>2320.285346464173</c:v>
                </c:pt>
                <c:pt idx="111" formatCode="0">
                  <c:v>1450.7554606809847</c:v>
                </c:pt>
                <c:pt idx="112" formatCode="0">
                  <c:v>1468.0503858648713</c:v>
                </c:pt>
                <c:pt idx="113" formatCode="0">
                  <c:v>370.14435185589798</c:v>
                </c:pt>
                <c:pt idx="114" formatCode="0">
                  <c:v>1305.5565281389568</c:v>
                </c:pt>
                <c:pt idx="115" formatCode="0">
                  <c:v>1147.4744199532465</c:v>
                </c:pt>
                <c:pt idx="116" formatCode="0">
                  <c:v>#N/A</c:v>
                </c:pt>
                <c:pt idx="117" formatCode="0">
                  <c:v>#N/A</c:v>
                </c:pt>
                <c:pt idx="118" formatCode="0">
                  <c:v>#N/A</c:v>
                </c:pt>
                <c:pt idx="119" formatCode="0">
                  <c:v>#N/A</c:v>
                </c:pt>
                <c:pt idx="120" formatCode="0">
                  <c:v>#N/A</c:v>
                </c:pt>
                <c:pt idx="121" formatCode="0">
                  <c:v>#N/A</c:v>
                </c:pt>
              </c:numCache>
            </c:numRef>
          </c:val>
          <c:extLst>
            <c:ext xmlns:c16="http://schemas.microsoft.com/office/drawing/2014/chart" uri="{C3380CC4-5D6E-409C-BE32-E72D297353CC}">
              <c16:uniqueId val="{00000001-0B37-44CA-B1E0-F278710206C7}"/>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Paris_data4Graph!$W$5:$W$126</c:f>
              <c:numCache>
                <c:formatCode>General</c:formatCode>
                <c:ptCount val="122"/>
                <c:pt idx="0">
                  <c:v>#N/A</c:v>
                </c:pt>
                <c:pt idx="1">
                  <c:v>#N/A</c:v>
                </c:pt>
                <c:pt idx="2">
                  <c:v>#N/A</c:v>
                </c:pt>
                <c:pt idx="3">
                  <c:v>#N/A</c:v>
                </c:pt>
                <c:pt idx="4">
                  <c:v>#N/A</c:v>
                </c:pt>
                <c:pt idx="5">
                  <c:v>#N/A</c:v>
                </c:pt>
                <c:pt idx="6">
                  <c:v>#N/A</c:v>
                </c:pt>
                <c:pt idx="7">
                  <c:v>144.19504202947161</c:v>
                </c:pt>
                <c:pt idx="8">
                  <c:v>#N/A</c:v>
                </c:pt>
                <c:pt idx="9">
                  <c:v>#N/A</c:v>
                </c:pt>
                <c:pt idx="10">
                  <c:v>#N/A</c:v>
                </c:pt>
                <c:pt idx="11">
                  <c:v>163.6568866421967</c:v>
                </c:pt>
                <c:pt idx="12">
                  <c:v>#N/A</c:v>
                </c:pt>
                <c:pt idx="13">
                  <c:v>2258.4226523518892</c:v>
                </c:pt>
                <c:pt idx="14">
                  <c:v>#N/A</c:v>
                </c:pt>
                <c:pt idx="15">
                  <c:v>#N/A</c:v>
                </c:pt>
                <c:pt idx="16">
                  <c:v>708.54347938881131</c:v>
                </c:pt>
                <c:pt idx="17">
                  <c:v>328.05511956492404</c:v>
                </c:pt>
                <c:pt idx="18">
                  <c:v>233.2924357669757</c:v>
                </c:pt>
                <c:pt idx="19">
                  <c:v>405.99248885818679</c:v>
                </c:pt>
                <c:pt idx="20">
                  <c:v>1101.2278749999998</c:v>
                </c:pt>
                <c:pt idx="21">
                  <c:v>427.30748235125111</c:v>
                </c:pt>
                <c:pt idx="22">
                  <c:v>1713.1710375794362</c:v>
                </c:pt>
                <c:pt idx="23">
                  <c:v>797.27636849345311</c:v>
                </c:pt>
                <c:pt idx="24">
                  <c:v>3831.394038277213</c:v>
                </c:pt>
                <c:pt idx="25">
                  <c:v>2014.84608</c:v>
                </c:pt>
                <c:pt idx="26">
                  <c:v>357.78449978807197</c:v>
                </c:pt>
                <c:pt idx="27">
                  <c:v>#N/A</c:v>
                </c:pt>
                <c:pt idx="28">
                  <c:v>360.72095517817957</c:v>
                </c:pt>
                <c:pt idx="29">
                  <c:v>#N/A</c:v>
                </c:pt>
                <c:pt idx="30">
                  <c:v>136.660293</c:v>
                </c:pt>
                <c:pt idx="31">
                  <c:v>572.34980238799506</c:v>
                </c:pt>
                <c:pt idx="32">
                  <c:v>551.44725244427491</c:v>
                </c:pt>
                <c:pt idx="33">
                  <c:v>708.22925069829773</c:v>
                </c:pt>
                <c:pt idx="34">
                  <c:v>916.2775696683633</c:v>
                </c:pt>
                <c:pt idx="35">
                  <c:v>2052.8420040000001</c:v>
                </c:pt>
                <c:pt idx="36">
                  <c:v>1036.7653997483999</c:v>
                </c:pt>
                <c:pt idx="37">
                  <c:v>#N/A</c:v>
                </c:pt>
                <c:pt idx="38">
                  <c:v>848.33114954687994</c:v>
                </c:pt>
                <c:pt idx="39">
                  <c:v>842.41292671871997</c:v>
                </c:pt>
                <c:pt idx="40">
                  <c:v>818.65724999999986</c:v>
                </c:pt>
                <c:pt idx="41">
                  <c:v>#N/A</c:v>
                </c:pt>
                <c:pt idx="42">
                  <c:v>1121.0187681280001</c:v>
                </c:pt>
                <c:pt idx="43">
                  <c:v>52.178879999999999</c:v>
                </c:pt>
                <c:pt idx="44">
                  <c:v>137.6401572</c:v>
                </c:pt>
                <c:pt idx="45">
                  <c:v>2059.9409999999998</c:v>
                </c:pt>
                <c:pt idx="46">
                  <c:v>634.63651972954813</c:v>
                </c:pt>
                <c:pt idx="47">
                  <c:v>#N/A</c:v>
                </c:pt>
                <c:pt idx="48">
                  <c:v>936.40420718825681</c:v>
                </c:pt>
                <c:pt idx="49">
                  <c:v>654.00884580129002</c:v>
                </c:pt>
                <c:pt idx="50">
                  <c:v>175.08750000000001</c:v>
                </c:pt>
                <c:pt idx="51">
                  <c:v>2695.5543160830271</c:v>
                </c:pt>
                <c:pt idx="52">
                  <c:v>653.79849943051897</c:v>
                </c:pt>
                <c:pt idx="53">
                  <c:v>544.81105183649925</c:v>
                </c:pt>
                <c:pt idx="54">
                  <c:v>1006.1614047685823</c:v>
                </c:pt>
                <c:pt idx="55">
                  <c:v>949.67418599999996</c:v>
                </c:pt>
                <c:pt idx="56">
                  <c:v>336.38840230434738</c:v>
                </c:pt>
                <c:pt idx="57">
                  <c:v>470.88735999999994</c:v>
                </c:pt>
                <c:pt idx="58">
                  <c:v>1362.5183747241908</c:v>
                </c:pt>
                <c:pt idx="59">
                  <c:v>140.55490709219842</c:v>
                </c:pt>
                <c:pt idx="60">
                  <c:v>533.06071874999998</c:v>
                </c:pt>
                <c:pt idx="61">
                  <c:v>1215.2829401424672</c:v>
                </c:pt>
                <c:pt idx="62">
                  <c:v>462.36019462554088</c:v>
                </c:pt>
                <c:pt idx="63">
                  <c:v>782.07895830387054</c:v>
                </c:pt>
                <c:pt idx="64">
                  <c:v>1707.6573028625319</c:v>
                </c:pt>
                <c:pt idx="65">
                  <c:v>226.1</c:v>
                </c:pt>
                <c:pt idx="66">
                  <c:v>274.37383685756242</c:v>
                </c:pt>
                <c:pt idx="67">
                  <c:v>157.24182003406744</c:v>
                </c:pt>
                <c:pt idx="68">
                  <c:v>382.57682499999999</c:v>
                </c:pt>
                <c:pt idx="69">
                  <c:v>367.90326925762776</c:v>
                </c:pt>
                <c:pt idx="70">
                  <c:v>2369.4392173234573</c:v>
                </c:pt>
                <c:pt idx="71">
                  <c:v>1458.163299240985</c:v>
                </c:pt>
                <c:pt idx="72">
                  <c:v>1503.0353238032301</c:v>
                </c:pt>
                <c:pt idx="73">
                  <c:v>529.07726629466458</c:v>
                </c:pt>
                <c:pt idx="74">
                  <c:v>1528.2932425103497</c:v>
                </c:pt>
                <c:pt idx="75">
                  <c:v>2231.7860800082703</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D7F1-4D19-BC28-CFFE8E1C20B4}"/>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Paris_data4Graph!$AE$5:$AE$126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formatCode="0">
                  <c:v>77.384368553027031</c:v>
                </c:pt>
                <c:pt idx="77" formatCode="0">
                  <c:v>1796.2964955345624</c:v>
                </c:pt>
                <c:pt idx="78" formatCode="0">
                  <c:v>131.95694345147524</c:v>
                </c:pt>
                <c:pt idx="79" formatCode="0">
                  <c:v>#N/A</c:v>
                </c:pt>
                <c:pt idx="80" formatCode="0">
                  <c:v>235.46500677934998</c:v>
                </c:pt>
                <c:pt idx="81" formatCode="0">
                  <c:v>#N/A</c:v>
                </c:pt>
                <c:pt idx="82" formatCode="0">
                  <c:v>219.71911976127089</c:v>
                </c:pt>
                <c:pt idx="83" formatCode="0">
                  <c:v>#N/A</c:v>
                </c:pt>
                <c:pt idx="84" formatCode="0">
                  <c:v>82.95129255941734</c:v>
                </c:pt>
                <c:pt idx="85" formatCode="0">
                  <c:v>1172.6841901762109</c:v>
                </c:pt>
                <c:pt idx="86" formatCode="0">
                  <c:v>264.70287570808739</c:v>
                </c:pt>
                <c:pt idx="87" formatCode="0">
                  <c:v>#N/A</c:v>
                </c:pt>
                <c:pt idx="88" formatCode="0">
                  <c:v>444.77671664886344</c:v>
                </c:pt>
                <c:pt idx="89" formatCode="0">
                  <c:v>328.31289318075528</c:v>
                </c:pt>
                <c:pt idx="90" formatCode="0">
                  <c:v>104.96414047576863</c:v>
                </c:pt>
                <c:pt idx="91" formatCode="0">
                  <c:v>1621.6898773215571</c:v>
                </c:pt>
                <c:pt idx="92" formatCode="0">
                  <c:v>171.77015290003732</c:v>
                </c:pt>
                <c:pt idx="93" formatCode="0">
                  <c:v>329.999828078608</c:v>
                </c:pt>
                <c:pt idx="94" formatCode="0">
                  <c:v>613.38827689288087</c:v>
                </c:pt>
                <c:pt idx="95" formatCode="0">
                  <c:v>540.68767383895715</c:v>
                </c:pt>
                <c:pt idx="96" formatCode="0">
                  <c:v>183.01670087440857</c:v>
                </c:pt>
                <c:pt idx="97" formatCode="0">
                  <c:v>305.41261166919315</c:v>
                </c:pt>
                <c:pt idx="98" formatCode="0">
                  <c:v>807.96986407555562</c:v>
                </c:pt>
                <c:pt idx="99" formatCode="0">
                  <c:v>94.239594253009429</c:v>
                </c:pt>
                <c:pt idx="100" formatCode="0">
                  <c:v>362.11416357090468</c:v>
                </c:pt>
                <c:pt idx="101" formatCode="0">
                  <c:v>834.8588850653673</c:v>
                </c:pt>
                <c:pt idx="102" formatCode="0">
                  <c:v>320.73869836395352</c:v>
                </c:pt>
                <c:pt idx="103" formatCode="0">
                  <c:v>449.30367858803538</c:v>
                </c:pt>
                <c:pt idx="104" formatCode="0">
                  <c:v>1159.8682081583258</c:v>
                </c:pt>
                <c:pt idx="105" formatCode="0">
                  <c:v>161.31066261291031</c:v>
                </c:pt>
                <c:pt idx="106" formatCode="0">
                  <c:v>197.90159997146577</c:v>
                </c:pt>
                <c:pt idx="107" formatCode="0">
                  <c:v>114.71835236626262</c:v>
                </c:pt>
                <c:pt idx="108" formatCode="0">
                  <c:v>210.68254553888016</c:v>
                </c:pt>
                <c:pt idx="109" formatCode="0">
                  <c:v>274.93789147616781</c:v>
                </c:pt>
                <c:pt idx="110" formatCode="0">
                  <c:v>1764.6867024671226</c:v>
                </c:pt>
                <c:pt idx="111" formatCode="0">
                  <c:v>1103.3676060519683</c:v>
                </c:pt>
                <c:pt idx="112" formatCode="0">
                  <c:v>1116.5208955974203</c:v>
                </c:pt>
                <c:pt idx="113" formatCode="0">
                  <c:v>281.51202235622543</c:v>
                </c:pt>
                <c:pt idx="114" formatCode="0">
                  <c:v>992.93645528940988</c:v>
                </c:pt>
                <c:pt idx="115" formatCode="0">
                  <c:v>872.70760579076705</c:v>
                </c:pt>
                <c:pt idx="116" formatCode="0">
                  <c:v>#N/A</c:v>
                </c:pt>
                <c:pt idx="117" formatCode="0">
                  <c:v>#N/A</c:v>
                </c:pt>
                <c:pt idx="118" formatCode="0">
                  <c:v>#N/A</c:v>
                </c:pt>
                <c:pt idx="119" formatCode="0">
                  <c:v>#N/A</c:v>
                </c:pt>
                <c:pt idx="120" formatCode="0">
                  <c:v>#N/A</c:v>
                </c:pt>
                <c:pt idx="121" formatCode="0">
                  <c:v>#N/A</c:v>
                </c:pt>
              </c:numCache>
            </c:numRef>
          </c:val>
          <c:extLst>
            <c:ext xmlns:c16="http://schemas.microsoft.com/office/drawing/2014/chart" uri="{C3380CC4-5D6E-409C-BE32-E72D297353CC}">
              <c16:uniqueId val="{00000001-D7F1-4D19-BC28-CFFE8E1C20B4}"/>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w="25400">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Bxl_data4Graph!$D$5:$D$126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166.05</c:v>
                </c:pt>
                <c:pt idx="12">
                  <c:v>#N/A</c:v>
                </c:pt>
                <c:pt idx="13">
                  <c:v>#N/A</c:v>
                </c:pt>
                <c:pt idx="14">
                  <c:v>#N/A</c:v>
                </c:pt>
                <c:pt idx="15">
                  <c:v>19.018800000000002</c:v>
                </c:pt>
                <c:pt idx="16">
                  <c:v>#N/A</c:v>
                </c:pt>
                <c:pt idx="17">
                  <c:v>#N/A</c:v>
                </c:pt>
                <c:pt idx="18">
                  <c:v>#N/A</c:v>
                </c:pt>
                <c:pt idx="19">
                  <c:v>#N/A</c:v>
                </c:pt>
                <c:pt idx="20">
                  <c:v>#N/A</c:v>
                </c:pt>
                <c:pt idx="21">
                  <c:v>#N/A</c:v>
                </c:pt>
                <c:pt idx="22">
                  <c:v>83.71350000000001</c:v>
                </c:pt>
                <c:pt idx="23">
                  <c:v>#N/A</c:v>
                </c:pt>
                <c:pt idx="24">
                  <c:v>#N/A</c:v>
                </c:pt>
                <c:pt idx="25">
                  <c:v>#N/A</c:v>
                </c:pt>
                <c:pt idx="26">
                  <c:v>118.15875000000001</c:v>
                </c:pt>
                <c:pt idx="27">
                  <c:v>#N/A</c:v>
                </c:pt>
                <c:pt idx="28">
                  <c:v>#N/A</c:v>
                </c:pt>
                <c:pt idx="29">
                  <c:v>#N/A</c:v>
                </c:pt>
                <c:pt idx="30">
                  <c:v>#N/A</c:v>
                </c:pt>
                <c:pt idx="31">
                  <c:v>#N/A</c:v>
                </c:pt>
                <c:pt idx="32">
                  <c:v>#N/A</c:v>
                </c:pt>
                <c:pt idx="33">
                  <c:v>83.71350000000001</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243.14400000000001</c:v>
                </c:pt>
                <c:pt idx="55">
                  <c:v>#N/A</c:v>
                </c:pt>
                <c:pt idx="56">
                  <c:v>344.3175</c:v>
                </c:pt>
                <c:pt idx="57">
                  <c:v>#N/A</c:v>
                </c:pt>
                <c:pt idx="58">
                  <c:v>#N/A</c:v>
                </c:pt>
                <c:pt idx="59">
                  <c:v>91.52</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323.71350000000001</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8733-40C0-86AC-DC55E6B4EFD9}"/>
            </c:ext>
          </c:extLst>
        </c:ser>
        <c:ser>
          <c:idx val="1"/>
          <c:order val="1"/>
          <c:tx>
            <c:v>future</c:v>
          </c:tx>
          <c:spPr>
            <a:solidFill>
              <a:schemeClr val="accent2"/>
            </a:solidFill>
            <a:ln w="25400">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Bxl_data4Graph!$E$5:$E$126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243.14400000000001</c:v>
                </c:pt>
                <c:pt idx="95">
                  <c:v>#N/A</c:v>
                </c:pt>
                <c:pt idx="96">
                  <c:v>344.3175</c:v>
                </c:pt>
                <c:pt idx="97">
                  <c:v>#N/A</c:v>
                </c:pt>
                <c:pt idx="98">
                  <c:v>#N/A</c:v>
                </c:pt>
                <c:pt idx="99">
                  <c:v>91.52</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240</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8733-40C0-86AC-DC55E6B4EFD9}"/>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Bxl_data4Graph!$F$5:$F$126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560</c:v>
                </c:pt>
                <c:pt idx="12">
                  <c:v>#N/A</c:v>
                </c:pt>
                <c:pt idx="13">
                  <c:v>#N/A</c:v>
                </c:pt>
                <c:pt idx="14">
                  <c:v>#N/A</c:v>
                </c:pt>
                <c:pt idx="15">
                  <c:v>285.28199999999998</c:v>
                </c:pt>
                <c:pt idx="16">
                  <c:v>#N/A</c:v>
                </c:pt>
                <c:pt idx="17">
                  <c:v>#N/A</c:v>
                </c:pt>
                <c:pt idx="18">
                  <c:v>#N/A</c:v>
                </c:pt>
                <c:pt idx="19">
                  <c:v>#N/A</c:v>
                </c:pt>
                <c:pt idx="20">
                  <c:v>#N/A</c:v>
                </c:pt>
                <c:pt idx="21">
                  <c:v>#N/A</c:v>
                </c:pt>
                <c:pt idx="22">
                  <c:v>748.08899999999994</c:v>
                </c:pt>
                <c:pt idx="23">
                  <c:v>#N/A</c:v>
                </c:pt>
                <c:pt idx="24">
                  <c:v>#N/A</c:v>
                </c:pt>
                <c:pt idx="25">
                  <c:v>#N/A</c:v>
                </c:pt>
                <c:pt idx="26">
                  <c:v>498.15</c:v>
                </c:pt>
                <c:pt idx="27">
                  <c:v>#N/A</c:v>
                </c:pt>
                <c:pt idx="28">
                  <c:v>531.30000000000007</c:v>
                </c:pt>
                <c:pt idx="29">
                  <c:v>#N/A</c:v>
                </c:pt>
                <c:pt idx="30">
                  <c:v>#N/A</c:v>
                </c:pt>
                <c:pt idx="31">
                  <c:v>#N/A</c:v>
                </c:pt>
                <c:pt idx="32">
                  <c:v>#N/A</c:v>
                </c:pt>
                <c:pt idx="33">
                  <c:v>334.85399999999998</c:v>
                </c:pt>
                <c:pt idx="34">
                  <c:v>#N/A</c:v>
                </c:pt>
                <c:pt idx="35">
                  <c:v>#N/A</c:v>
                </c:pt>
                <c:pt idx="36">
                  <c:v>#N/A</c:v>
                </c:pt>
                <c:pt idx="37">
                  <c:v>#N/A</c:v>
                </c:pt>
                <c:pt idx="38">
                  <c:v>#N/A</c:v>
                </c:pt>
                <c:pt idx="39">
                  <c:v>#N/A</c:v>
                </c:pt>
                <c:pt idx="40">
                  <c:v>#N/A</c:v>
                </c:pt>
                <c:pt idx="41">
                  <c:v>#N/A</c:v>
                </c:pt>
                <c:pt idx="42">
                  <c:v>#N/A</c:v>
                </c:pt>
                <c:pt idx="43">
                  <c:v>#N/A</c:v>
                </c:pt>
                <c:pt idx="44">
                  <c:v>451.29599999999994</c:v>
                </c:pt>
                <c:pt idx="45">
                  <c:v>#N/A</c:v>
                </c:pt>
                <c:pt idx="46">
                  <c:v>1803.0211200000003</c:v>
                </c:pt>
                <c:pt idx="47">
                  <c:v>395.71199999999999</c:v>
                </c:pt>
                <c:pt idx="48">
                  <c:v>320.54399999999998</c:v>
                </c:pt>
                <c:pt idx="49">
                  <c:v>#N/A</c:v>
                </c:pt>
                <c:pt idx="50">
                  <c:v>400.89599999999996</c:v>
                </c:pt>
                <c:pt idx="51">
                  <c:v>#N/A</c:v>
                </c:pt>
                <c:pt idx="52">
                  <c:v>#N/A</c:v>
                </c:pt>
                <c:pt idx="53">
                  <c:v>#N/A</c:v>
                </c:pt>
                <c:pt idx="54">
                  <c:v>997.245</c:v>
                </c:pt>
                <c:pt idx="55">
                  <c:v>#N/A</c:v>
                </c:pt>
                <c:pt idx="56">
                  <c:v>1918.1799999999998</c:v>
                </c:pt>
                <c:pt idx="57">
                  <c:v>720</c:v>
                </c:pt>
                <c:pt idx="58">
                  <c:v>#N/A</c:v>
                </c:pt>
                <c:pt idx="59">
                  <c:v>154</c:v>
                </c:pt>
                <c:pt idx="60">
                  <c:v>#N/A</c:v>
                </c:pt>
                <c:pt idx="61">
                  <c:v>#N/A</c:v>
                </c:pt>
                <c:pt idx="62">
                  <c:v>#N/A</c:v>
                </c:pt>
                <c:pt idx="63">
                  <c:v>626.4</c:v>
                </c:pt>
                <c:pt idx="64">
                  <c:v>#N/A</c:v>
                </c:pt>
                <c:pt idx="65">
                  <c:v>#N/A</c:v>
                </c:pt>
                <c:pt idx="66">
                  <c:v>#N/A</c:v>
                </c:pt>
                <c:pt idx="67">
                  <c:v>#N/A</c:v>
                </c:pt>
                <c:pt idx="68">
                  <c:v>#N/A</c:v>
                </c:pt>
                <c:pt idx="69">
                  <c:v>#N/A</c:v>
                </c:pt>
                <c:pt idx="70">
                  <c:v>1047.5999999999999</c:v>
                </c:pt>
                <c:pt idx="71">
                  <c:v>453.6</c:v>
                </c:pt>
                <c:pt idx="72">
                  <c:v>531.30000000000007</c:v>
                </c:pt>
                <c:pt idx="73">
                  <c:v>1334.854</c:v>
                </c:pt>
                <c:pt idx="74">
                  <c:v>#N/A</c:v>
                </c:pt>
                <c:pt idx="75">
                  <c:v>654.31406249999998</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E179-41DD-B2DE-00B92ECD0A50}"/>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Bxl_data4Graph!$G$5:$G$126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451.29599999999994</c:v>
                </c:pt>
                <c:pt idx="85">
                  <c:v>#N/A</c:v>
                </c:pt>
                <c:pt idx="86">
                  <c:v>1803.0211200000003</c:v>
                </c:pt>
                <c:pt idx="87">
                  <c:v>395.71199999999999</c:v>
                </c:pt>
                <c:pt idx="88">
                  <c:v>320.54399999999998</c:v>
                </c:pt>
                <c:pt idx="89">
                  <c:v>#N/A</c:v>
                </c:pt>
                <c:pt idx="90">
                  <c:v>400.89599999999996</c:v>
                </c:pt>
                <c:pt idx="91">
                  <c:v>#N/A</c:v>
                </c:pt>
                <c:pt idx="92">
                  <c:v>#N/A</c:v>
                </c:pt>
                <c:pt idx="93">
                  <c:v>#N/A</c:v>
                </c:pt>
                <c:pt idx="94">
                  <c:v>997.245</c:v>
                </c:pt>
                <c:pt idx="95">
                  <c:v>#N/A</c:v>
                </c:pt>
                <c:pt idx="96">
                  <c:v>1918.1799999999998</c:v>
                </c:pt>
                <c:pt idx="97">
                  <c:v>720</c:v>
                </c:pt>
                <c:pt idx="98">
                  <c:v>#N/A</c:v>
                </c:pt>
                <c:pt idx="99">
                  <c:v>154</c:v>
                </c:pt>
                <c:pt idx="100">
                  <c:v>#N/A</c:v>
                </c:pt>
                <c:pt idx="101">
                  <c:v>#N/A</c:v>
                </c:pt>
                <c:pt idx="102">
                  <c:v>#N/A</c:v>
                </c:pt>
                <c:pt idx="103">
                  <c:v>626.4</c:v>
                </c:pt>
                <c:pt idx="104">
                  <c:v>#N/A</c:v>
                </c:pt>
                <c:pt idx="105">
                  <c:v>#N/A</c:v>
                </c:pt>
                <c:pt idx="106">
                  <c:v>#N/A</c:v>
                </c:pt>
                <c:pt idx="107">
                  <c:v>#N/A</c:v>
                </c:pt>
                <c:pt idx="108">
                  <c:v>#N/A</c:v>
                </c:pt>
                <c:pt idx="109">
                  <c:v>#N/A</c:v>
                </c:pt>
                <c:pt idx="110">
                  <c:v>1047.5999999999999</c:v>
                </c:pt>
                <c:pt idx="111">
                  <c:v>453.6</c:v>
                </c:pt>
                <c:pt idx="112">
                  <c:v>531.30000000000007</c:v>
                </c:pt>
                <c:pt idx="113">
                  <c:v>1000</c:v>
                </c:pt>
                <c:pt idx="114">
                  <c:v>#N/A</c:v>
                </c:pt>
                <c:pt idx="115">
                  <c:v>654.31406249999998</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E179-41DD-B2DE-00B92ECD0A50}"/>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Bxl_data4Graph!$B$5:$B$126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726.05</c:v>
                </c:pt>
                <c:pt idx="12">
                  <c:v>#N/A</c:v>
                </c:pt>
                <c:pt idx="13">
                  <c:v>#N/A</c:v>
                </c:pt>
                <c:pt idx="14">
                  <c:v>#N/A</c:v>
                </c:pt>
                <c:pt idx="15">
                  <c:v>304.30079999999998</c:v>
                </c:pt>
                <c:pt idx="16">
                  <c:v>#N/A</c:v>
                </c:pt>
                <c:pt idx="17">
                  <c:v>#N/A</c:v>
                </c:pt>
                <c:pt idx="18">
                  <c:v>#N/A</c:v>
                </c:pt>
                <c:pt idx="19">
                  <c:v>#N/A</c:v>
                </c:pt>
                <c:pt idx="20">
                  <c:v>#N/A</c:v>
                </c:pt>
                <c:pt idx="21">
                  <c:v>#N/A</c:v>
                </c:pt>
                <c:pt idx="22">
                  <c:v>831.80250000000001</c:v>
                </c:pt>
                <c:pt idx="23">
                  <c:v>#N/A</c:v>
                </c:pt>
                <c:pt idx="24">
                  <c:v>#N/A</c:v>
                </c:pt>
                <c:pt idx="25">
                  <c:v>#N/A</c:v>
                </c:pt>
                <c:pt idx="26">
                  <c:v>616.30874999999992</c:v>
                </c:pt>
                <c:pt idx="27">
                  <c:v>#N/A</c:v>
                </c:pt>
                <c:pt idx="28">
                  <c:v>531.30000000000007</c:v>
                </c:pt>
                <c:pt idx="29">
                  <c:v>#N/A</c:v>
                </c:pt>
                <c:pt idx="30">
                  <c:v>#N/A</c:v>
                </c:pt>
                <c:pt idx="31">
                  <c:v>#N/A</c:v>
                </c:pt>
                <c:pt idx="32">
                  <c:v>#N/A</c:v>
                </c:pt>
                <c:pt idx="33">
                  <c:v>418.5675</c:v>
                </c:pt>
                <c:pt idx="34">
                  <c:v>#N/A</c:v>
                </c:pt>
                <c:pt idx="35">
                  <c:v>#N/A</c:v>
                </c:pt>
                <c:pt idx="36">
                  <c:v>#N/A</c:v>
                </c:pt>
                <c:pt idx="37">
                  <c:v>#N/A</c:v>
                </c:pt>
                <c:pt idx="38">
                  <c:v>#N/A</c:v>
                </c:pt>
                <c:pt idx="39">
                  <c:v>#N/A</c:v>
                </c:pt>
                <c:pt idx="40">
                  <c:v>#N/A</c:v>
                </c:pt>
                <c:pt idx="41">
                  <c:v>#N/A</c:v>
                </c:pt>
                <c:pt idx="42">
                  <c:v>#N/A</c:v>
                </c:pt>
                <c:pt idx="43">
                  <c:v>#N/A</c:v>
                </c:pt>
                <c:pt idx="44">
                  <c:v>451.29599999999994</c:v>
                </c:pt>
                <c:pt idx="45">
                  <c:v>#N/A</c:v>
                </c:pt>
                <c:pt idx="46">
                  <c:v>1803.0211200000003</c:v>
                </c:pt>
                <c:pt idx="47">
                  <c:v>395.71199999999999</c:v>
                </c:pt>
                <c:pt idx="48">
                  <c:v>320.54399999999998</c:v>
                </c:pt>
                <c:pt idx="49">
                  <c:v>#N/A</c:v>
                </c:pt>
                <c:pt idx="50">
                  <c:v>400.89599999999996</c:v>
                </c:pt>
                <c:pt idx="51">
                  <c:v>#N/A</c:v>
                </c:pt>
                <c:pt idx="52">
                  <c:v>#N/A</c:v>
                </c:pt>
                <c:pt idx="53">
                  <c:v>#N/A</c:v>
                </c:pt>
                <c:pt idx="54">
                  <c:v>1240.3890000000001</c:v>
                </c:pt>
                <c:pt idx="55">
                  <c:v>#N/A</c:v>
                </c:pt>
                <c:pt idx="56">
                  <c:v>2262.4974999999999</c:v>
                </c:pt>
                <c:pt idx="57">
                  <c:v>720</c:v>
                </c:pt>
                <c:pt idx="58">
                  <c:v>#N/A</c:v>
                </c:pt>
                <c:pt idx="59">
                  <c:v>245.51999999999998</c:v>
                </c:pt>
                <c:pt idx="60">
                  <c:v>#N/A</c:v>
                </c:pt>
                <c:pt idx="61">
                  <c:v>#N/A</c:v>
                </c:pt>
                <c:pt idx="62">
                  <c:v>#N/A</c:v>
                </c:pt>
                <c:pt idx="63">
                  <c:v>626.4</c:v>
                </c:pt>
                <c:pt idx="64">
                  <c:v>#N/A</c:v>
                </c:pt>
                <c:pt idx="65">
                  <c:v>#N/A</c:v>
                </c:pt>
                <c:pt idx="66">
                  <c:v>#N/A</c:v>
                </c:pt>
                <c:pt idx="67">
                  <c:v>#N/A</c:v>
                </c:pt>
                <c:pt idx="68">
                  <c:v>#N/A</c:v>
                </c:pt>
                <c:pt idx="69">
                  <c:v>#N/A</c:v>
                </c:pt>
                <c:pt idx="70">
                  <c:v>1047.5999999999999</c:v>
                </c:pt>
                <c:pt idx="71">
                  <c:v>453.6</c:v>
                </c:pt>
                <c:pt idx="72">
                  <c:v>531.30000000000007</c:v>
                </c:pt>
                <c:pt idx="73">
                  <c:v>1658.5675000000001</c:v>
                </c:pt>
                <c:pt idx="74">
                  <c:v>#N/A</c:v>
                </c:pt>
                <c:pt idx="75">
                  <c:v>654.31406249999998</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9B1B-48DE-B33B-9E65348C0E78}"/>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Bxl_data4Graph!$C$5:$C$126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451.29599999999994</c:v>
                </c:pt>
                <c:pt idx="85">
                  <c:v>#N/A</c:v>
                </c:pt>
                <c:pt idx="86">
                  <c:v>1803.0211200000003</c:v>
                </c:pt>
                <c:pt idx="87">
                  <c:v>395.71199999999999</c:v>
                </c:pt>
                <c:pt idx="88">
                  <c:v>320.54399999999998</c:v>
                </c:pt>
                <c:pt idx="89">
                  <c:v>#N/A</c:v>
                </c:pt>
                <c:pt idx="90">
                  <c:v>400.89599999999996</c:v>
                </c:pt>
                <c:pt idx="91">
                  <c:v>#N/A</c:v>
                </c:pt>
                <c:pt idx="92">
                  <c:v>#N/A</c:v>
                </c:pt>
                <c:pt idx="93">
                  <c:v>#N/A</c:v>
                </c:pt>
                <c:pt idx="94">
                  <c:v>1240.3890000000001</c:v>
                </c:pt>
                <c:pt idx="95">
                  <c:v>#N/A</c:v>
                </c:pt>
                <c:pt idx="96">
                  <c:v>2262.4974999999999</c:v>
                </c:pt>
                <c:pt idx="97">
                  <c:v>720</c:v>
                </c:pt>
                <c:pt idx="98">
                  <c:v>#N/A</c:v>
                </c:pt>
                <c:pt idx="99">
                  <c:v>245.51999999999998</c:v>
                </c:pt>
                <c:pt idx="100">
                  <c:v>#N/A</c:v>
                </c:pt>
                <c:pt idx="101">
                  <c:v>#N/A</c:v>
                </c:pt>
                <c:pt idx="102">
                  <c:v>#N/A</c:v>
                </c:pt>
                <c:pt idx="103">
                  <c:v>626.4</c:v>
                </c:pt>
                <c:pt idx="104">
                  <c:v>#N/A</c:v>
                </c:pt>
                <c:pt idx="105">
                  <c:v>#N/A</c:v>
                </c:pt>
                <c:pt idx="106">
                  <c:v>#N/A</c:v>
                </c:pt>
                <c:pt idx="107">
                  <c:v>#N/A</c:v>
                </c:pt>
                <c:pt idx="108">
                  <c:v>#N/A</c:v>
                </c:pt>
                <c:pt idx="109">
                  <c:v>#N/A</c:v>
                </c:pt>
                <c:pt idx="110">
                  <c:v>1047.5999999999999</c:v>
                </c:pt>
                <c:pt idx="111">
                  <c:v>453.6</c:v>
                </c:pt>
                <c:pt idx="112">
                  <c:v>531.30000000000007</c:v>
                </c:pt>
                <c:pt idx="113">
                  <c:v>#N/A</c:v>
                </c:pt>
                <c:pt idx="114">
                  <c:v>#N/A</c:v>
                </c:pt>
                <c:pt idx="115">
                  <c:v>654.31406249999998</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9B1B-48DE-B33B-9E65348C0E78}"/>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Bxl_data4Graph!$H$5:$H$126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16.961052631578948</c:v>
                </c:pt>
                <c:pt idx="12">
                  <c:v>#N/A</c:v>
                </c:pt>
                <c:pt idx="13">
                  <c:v>#N/A</c:v>
                </c:pt>
                <c:pt idx="14">
                  <c:v>#N/A</c:v>
                </c:pt>
                <c:pt idx="15">
                  <c:v>20.286720000000003</c:v>
                </c:pt>
                <c:pt idx="16">
                  <c:v>#N/A</c:v>
                </c:pt>
                <c:pt idx="17">
                  <c:v>#N/A</c:v>
                </c:pt>
                <c:pt idx="18">
                  <c:v>#N/A</c:v>
                </c:pt>
                <c:pt idx="19">
                  <c:v>#N/A</c:v>
                </c:pt>
                <c:pt idx="20">
                  <c:v>#N/A</c:v>
                </c:pt>
                <c:pt idx="21">
                  <c:v>#N/A</c:v>
                </c:pt>
                <c:pt idx="22">
                  <c:v>52.019000000000005</c:v>
                </c:pt>
                <c:pt idx="23">
                  <c:v>#N/A</c:v>
                </c:pt>
                <c:pt idx="24">
                  <c:v>#N/A</c:v>
                </c:pt>
                <c:pt idx="25">
                  <c:v>#N/A</c:v>
                </c:pt>
                <c:pt idx="26">
                  <c:v>49.295400000000001</c:v>
                </c:pt>
                <c:pt idx="27">
                  <c:v>#N/A</c:v>
                </c:pt>
                <c:pt idx="28">
                  <c:v>36.225000000000001</c:v>
                </c:pt>
                <c:pt idx="29">
                  <c:v>#N/A</c:v>
                </c:pt>
                <c:pt idx="30">
                  <c:v>#N/A</c:v>
                </c:pt>
                <c:pt idx="31">
                  <c:v>#N/A</c:v>
                </c:pt>
                <c:pt idx="32">
                  <c:v>#N/A</c:v>
                </c:pt>
                <c:pt idx="33">
                  <c:v>31.831800000000001</c:v>
                </c:pt>
                <c:pt idx="34">
                  <c:v>#N/A</c:v>
                </c:pt>
                <c:pt idx="35">
                  <c:v>#N/A</c:v>
                </c:pt>
                <c:pt idx="36">
                  <c:v>#N/A</c:v>
                </c:pt>
                <c:pt idx="37">
                  <c:v>#N/A</c:v>
                </c:pt>
                <c:pt idx="38">
                  <c:v>#N/A</c:v>
                </c:pt>
                <c:pt idx="39">
                  <c:v>#N/A</c:v>
                </c:pt>
                <c:pt idx="40">
                  <c:v>#N/A</c:v>
                </c:pt>
                <c:pt idx="41">
                  <c:v>#N/A</c:v>
                </c:pt>
                <c:pt idx="42">
                  <c:v>#N/A</c:v>
                </c:pt>
                <c:pt idx="43">
                  <c:v>#N/A</c:v>
                </c:pt>
                <c:pt idx="44">
                  <c:v>26.325600000000001</c:v>
                </c:pt>
                <c:pt idx="45">
                  <c:v>#N/A</c:v>
                </c:pt>
                <c:pt idx="46">
                  <c:v>106.845696</c:v>
                </c:pt>
                <c:pt idx="47">
                  <c:v>26.380799999999997</c:v>
                </c:pt>
                <c:pt idx="48">
                  <c:v>21.369599999999998</c:v>
                </c:pt>
                <c:pt idx="49">
                  <c:v>#N/A</c:v>
                </c:pt>
                <c:pt idx="50">
                  <c:v>26.726399999999998</c:v>
                </c:pt>
                <c:pt idx="51">
                  <c:v>#N/A</c:v>
                </c:pt>
                <c:pt idx="52">
                  <c:v>#N/A</c:v>
                </c:pt>
                <c:pt idx="53">
                  <c:v>#N/A</c:v>
                </c:pt>
                <c:pt idx="54">
                  <c:v>95.494854000000004</c:v>
                </c:pt>
                <c:pt idx="55">
                  <c:v>#N/A</c:v>
                </c:pt>
                <c:pt idx="56">
                  <c:v>156.44426666666666</c:v>
                </c:pt>
                <c:pt idx="57">
                  <c:v>42.666666666666671</c:v>
                </c:pt>
                <c:pt idx="58">
                  <c:v>#N/A</c:v>
                </c:pt>
                <c:pt idx="59">
                  <c:v>20.533333333333331</c:v>
                </c:pt>
                <c:pt idx="60">
                  <c:v>#N/A</c:v>
                </c:pt>
                <c:pt idx="61">
                  <c:v>#N/A</c:v>
                </c:pt>
                <c:pt idx="62">
                  <c:v>#N/A</c:v>
                </c:pt>
                <c:pt idx="63">
                  <c:v>36.54</c:v>
                </c:pt>
                <c:pt idx="64">
                  <c:v>#N/A</c:v>
                </c:pt>
                <c:pt idx="65">
                  <c:v>#N/A</c:v>
                </c:pt>
                <c:pt idx="66">
                  <c:v>#N/A</c:v>
                </c:pt>
                <c:pt idx="67">
                  <c:v>#N/A</c:v>
                </c:pt>
                <c:pt idx="68">
                  <c:v>#N/A</c:v>
                </c:pt>
                <c:pt idx="69">
                  <c:v>#N/A</c:v>
                </c:pt>
                <c:pt idx="70">
                  <c:v>57.229199999999999</c:v>
                </c:pt>
                <c:pt idx="71">
                  <c:v>22.5792</c:v>
                </c:pt>
                <c:pt idx="72">
                  <c:v>32.5914</c:v>
                </c:pt>
                <c:pt idx="73">
                  <c:v>165.16513333333336</c:v>
                </c:pt>
                <c:pt idx="74">
                  <c:v>#N/A</c:v>
                </c:pt>
                <c:pt idx="75">
                  <c:v>32.5914</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2503-4A21-AE06-C6E9DF168EBA}"/>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Bxl_data4Graph!$I$5:$I$126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26.325600000000001</c:v>
                </c:pt>
                <c:pt idx="85">
                  <c:v>#N/A</c:v>
                </c:pt>
                <c:pt idx="86">
                  <c:v>106.845696</c:v>
                </c:pt>
                <c:pt idx="87">
                  <c:v>26.380799999999997</c:v>
                </c:pt>
                <c:pt idx="88">
                  <c:v>21.369599999999998</c:v>
                </c:pt>
                <c:pt idx="89">
                  <c:v>#N/A</c:v>
                </c:pt>
                <c:pt idx="90">
                  <c:v>26.726399999999998</c:v>
                </c:pt>
                <c:pt idx="91">
                  <c:v>#N/A</c:v>
                </c:pt>
                <c:pt idx="92">
                  <c:v>#N/A</c:v>
                </c:pt>
                <c:pt idx="93">
                  <c:v>#N/A</c:v>
                </c:pt>
                <c:pt idx="94">
                  <c:v>95.494854000000004</c:v>
                </c:pt>
                <c:pt idx="95">
                  <c:v>#N/A</c:v>
                </c:pt>
                <c:pt idx="96">
                  <c:v>156.44426666666666</c:v>
                </c:pt>
                <c:pt idx="97">
                  <c:v>42.666666666666671</c:v>
                </c:pt>
                <c:pt idx="98">
                  <c:v>#N/A</c:v>
                </c:pt>
                <c:pt idx="99">
                  <c:v>20.533333333333331</c:v>
                </c:pt>
                <c:pt idx="100">
                  <c:v>#N/A</c:v>
                </c:pt>
                <c:pt idx="101">
                  <c:v>#N/A</c:v>
                </c:pt>
                <c:pt idx="102">
                  <c:v>#N/A</c:v>
                </c:pt>
                <c:pt idx="103">
                  <c:v>36.54</c:v>
                </c:pt>
                <c:pt idx="104">
                  <c:v>#N/A</c:v>
                </c:pt>
                <c:pt idx="105">
                  <c:v>#N/A</c:v>
                </c:pt>
                <c:pt idx="106">
                  <c:v>#N/A</c:v>
                </c:pt>
                <c:pt idx="107">
                  <c:v>#N/A</c:v>
                </c:pt>
                <c:pt idx="108">
                  <c:v>#N/A</c:v>
                </c:pt>
                <c:pt idx="109">
                  <c:v>#N/A</c:v>
                </c:pt>
                <c:pt idx="110">
                  <c:v>57.229199999999999</c:v>
                </c:pt>
                <c:pt idx="111">
                  <c:v>22.5792</c:v>
                </c:pt>
                <c:pt idx="112">
                  <c:v>32.5914</c:v>
                </c:pt>
                <c:pt idx="113">
                  <c:v>133.33333333333334</c:v>
                </c:pt>
                <c:pt idx="114">
                  <c:v>#N/A</c:v>
                </c:pt>
                <c:pt idx="115">
                  <c:v>32.5914</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2503-4A21-AE06-C6E9DF168EBA}"/>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Bxl_data4Graph!$J$5:$J$126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15.63768</c:v>
                </c:pt>
                <c:pt idx="16">
                  <c:v>#N/A</c:v>
                </c:pt>
                <c:pt idx="17">
                  <c:v>#N/A</c:v>
                </c:pt>
                <c:pt idx="18">
                  <c:v>#N/A</c:v>
                </c:pt>
                <c:pt idx="19">
                  <c:v>#N/A</c:v>
                </c:pt>
                <c:pt idx="20">
                  <c:v>#N/A</c:v>
                </c:pt>
                <c:pt idx="21">
                  <c:v>#N/A</c:v>
                </c:pt>
                <c:pt idx="22">
                  <c:v>38.376800000000003</c:v>
                </c:pt>
                <c:pt idx="23">
                  <c:v>#N/A</c:v>
                </c:pt>
                <c:pt idx="24">
                  <c:v>#N/A</c:v>
                </c:pt>
                <c:pt idx="25">
                  <c:v>#N/A</c:v>
                </c:pt>
                <c:pt idx="26">
                  <c:v>28.168799999999997</c:v>
                </c:pt>
                <c:pt idx="27">
                  <c:v>#N/A</c:v>
                </c:pt>
                <c:pt idx="28">
                  <c:v>36.225000000000001</c:v>
                </c:pt>
                <c:pt idx="29">
                  <c:v>#N/A</c:v>
                </c:pt>
                <c:pt idx="30">
                  <c:v>#N/A</c:v>
                </c:pt>
                <c:pt idx="31">
                  <c:v>#N/A</c:v>
                </c:pt>
                <c:pt idx="32">
                  <c:v>#N/A</c:v>
                </c:pt>
                <c:pt idx="33">
                  <c:v>18.189599999999999</c:v>
                </c:pt>
                <c:pt idx="34">
                  <c:v>#N/A</c:v>
                </c:pt>
                <c:pt idx="35">
                  <c:v>#N/A</c:v>
                </c:pt>
                <c:pt idx="36">
                  <c:v>#N/A</c:v>
                </c:pt>
                <c:pt idx="37">
                  <c:v>#N/A</c:v>
                </c:pt>
                <c:pt idx="38">
                  <c:v>#N/A</c:v>
                </c:pt>
                <c:pt idx="39">
                  <c:v>#N/A</c:v>
                </c:pt>
                <c:pt idx="40">
                  <c:v>#N/A</c:v>
                </c:pt>
                <c:pt idx="41">
                  <c:v>#N/A</c:v>
                </c:pt>
                <c:pt idx="42">
                  <c:v>#N/A</c:v>
                </c:pt>
                <c:pt idx="43">
                  <c:v>#N/A</c:v>
                </c:pt>
                <c:pt idx="44">
                  <c:v>26.325600000000001</c:v>
                </c:pt>
                <c:pt idx="45">
                  <c:v>#N/A</c:v>
                </c:pt>
                <c:pt idx="46">
                  <c:v>106.845696</c:v>
                </c:pt>
                <c:pt idx="47">
                  <c:v>26.380799999999997</c:v>
                </c:pt>
                <c:pt idx="48">
                  <c:v>21.369599999999998</c:v>
                </c:pt>
                <c:pt idx="49">
                  <c:v>#N/A</c:v>
                </c:pt>
                <c:pt idx="50">
                  <c:v>26.726399999999998</c:v>
                </c:pt>
                <c:pt idx="51">
                  <c:v>#N/A</c:v>
                </c:pt>
                <c:pt idx="52">
                  <c:v>#N/A</c:v>
                </c:pt>
                <c:pt idx="53">
                  <c:v>#N/A</c:v>
                </c:pt>
                <c:pt idx="54">
                  <c:v>56.143799999999999</c:v>
                </c:pt>
                <c:pt idx="55">
                  <c:v>#N/A</c:v>
                </c:pt>
                <c:pt idx="56">
                  <c:v>116.14636666666667</c:v>
                </c:pt>
                <c:pt idx="57">
                  <c:v>42.666666666666671</c:v>
                </c:pt>
                <c:pt idx="58">
                  <c:v>#N/A</c:v>
                </c:pt>
                <c:pt idx="59">
                  <c:v>10.266666666666666</c:v>
                </c:pt>
                <c:pt idx="60">
                  <c:v>#N/A</c:v>
                </c:pt>
                <c:pt idx="61">
                  <c:v>#N/A</c:v>
                </c:pt>
                <c:pt idx="62">
                  <c:v>#N/A</c:v>
                </c:pt>
                <c:pt idx="63">
                  <c:v>36.54</c:v>
                </c:pt>
                <c:pt idx="64">
                  <c:v>#N/A</c:v>
                </c:pt>
                <c:pt idx="65">
                  <c:v>#N/A</c:v>
                </c:pt>
                <c:pt idx="66">
                  <c:v>#N/A</c:v>
                </c:pt>
                <c:pt idx="67">
                  <c:v>#N/A</c:v>
                </c:pt>
                <c:pt idx="68">
                  <c:v>#N/A</c:v>
                </c:pt>
                <c:pt idx="69">
                  <c:v>#N/A</c:v>
                </c:pt>
                <c:pt idx="70">
                  <c:v>57.229199999999999</c:v>
                </c:pt>
                <c:pt idx="71">
                  <c:v>22.5792</c:v>
                </c:pt>
                <c:pt idx="72">
                  <c:v>32.5914</c:v>
                </c:pt>
                <c:pt idx="73">
                  <c:v>84.85626666666667</c:v>
                </c:pt>
                <c:pt idx="74">
                  <c:v>#N/A</c:v>
                </c:pt>
                <c:pt idx="75">
                  <c:v>32.5914</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E873-41D1-8F7B-29858A73313D}"/>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Bxl_data4Graph!$K$5:$K$126</c:f>
              <c:numCache>
                <c:formatCode>_-* #,##0_-;\-* #,##0_-;_-* "-"??_-;_-@_-</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26.325600000000001</c:v>
                </c:pt>
                <c:pt idx="85">
                  <c:v>#N/A</c:v>
                </c:pt>
                <c:pt idx="86">
                  <c:v>106.845696</c:v>
                </c:pt>
                <c:pt idx="87">
                  <c:v>26.380799999999997</c:v>
                </c:pt>
                <c:pt idx="88">
                  <c:v>21.369599999999998</c:v>
                </c:pt>
                <c:pt idx="89">
                  <c:v>#N/A</c:v>
                </c:pt>
                <c:pt idx="90">
                  <c:v>26.726399999999998</c:v>
                </c:pt>
                <c:pt idx="91">
                  <c:v>#N/A</c:v>
                </c:pt>
                <c:pt idx="92">
                  <c:v>#N/A</c:v>
                </c:pt>
                <c:pt idx="93">
                  <c:v>#N/A</c:v>
                </c:pt>
                <c:pt idx="94">
                  <c:v>56.143800000000006</c:v>
                </c:pt>
                <c:pt idx="95">
                  <c:v>#N/A</c:v>
                </c:pt>
                <c:pt idx="96">
                  <c:v>116.14636666666667</c:v>
                </c:pt>
                <c:pt idx="97">
                  <c:v>42.666666666666671</c:v>
                </c:pt>
                <c:pt idx="98">
                  <c:v>#N/A</c:v>
                </c:pt>
                <c:pt idx="99">
                  <c:v>10.266666666666666</c:v>
                </c:pt>
                <c:pt idx="100">
                  <c:v>#N/A</c:v>
                </c:pt>
                <c:pt idx="101">
                  <c:v>#N/A</c:v>
                </c:pt>
                <c:pt idx="102">
                  <c:v>#N/A</c:v>
                </c:pt>
                <c:pt idx="103">
                  <c:v>36.54</c:v>
                </c:pt>
                <c:pt idx="104">
                  <c:v>#N/A</c:v>
                </c:pt>
                <c:pt idx="105">
                  <c:v>#N/A</c:v>
                </c:pt>
                <c:pt idx="106">
                  <c:v>#N/A</c:v>
                </c:pt>
                <c:pt idx="107">
                  <c:v>#N/A</c:v>
                </c:pt>
                <c:pt idx="108">
                  <c:v>#N/A</c:v>
                </c:pt>
                <c:pt idx="109">
                  <c:v>#N/A</c:v>
                </c:pt>
                <c:pt idx="110">
                  <c:v>57.229199999999999</c:v>
                </c:pt>
                <c:pt idx="111">
                  <c:v>22.5792</c:v>
                </c:pt>
                <c:pt idx="112">
                  <c:v>32.5914</c:v>
                </c:pt>
                <c:pt idx="113">
                  <c:v>66.666666666666671</c:v>
                </c:pt>
                <c:pt idx="114">
                  <c:v>#N/A</c:v>
                </c:pt>
                <c:pt idx="115">
                  <c:v>32.5914</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E873-41D1-8F7B-29858A73313D}"/>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Bxl_Stock!$C$2</c:f>
              <c:strCache>
                <c:ptCount val="1"/>
                <c:pt idx="0">
                  <c:v>total mass of glass</c:v>
                </c:pt>
              </c:strCache>
            </c:strRef>
          </c:tx>
          <c:spPr>
            <a:ln w="19050" cap="rnd">
              <a:solidFill>
                <a:schemeClr val="tx1"/>
              </a:solidFill>
              <a:round/>
            </a:ln>
            <a:effectLst/>
          </c:spPr>
          <c:marker>
            <c:symbol val="none"/>
          </c:marker>
          <c:xVal>
            <c:numRef>
              <c:f>Bxl_Stock!$A$4:$A$79</c:f>
              <c:numCache>
                <c:formatCode>General</c:formatCode>
                <c:ptCount val="76"/>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numCache>
            </c:numRef>
          </c:xVal>
          <c:yVal>
            <c:numRef>
              <c:f>Bxl_Stock!$C$4:$C$79</c:f>
              <c:numCache>
                <c:formatCode>#,##0</c:formatCode>
                <c:ptCount val="76"/>
                <c:pt idx="0">
                  <c:v>0</c:v>
                </c:pt>
                <c:pt idx="1">
                  <c:v>0</c:v>
                </c:pt>
                <c:pt idx="2">
                  <c:v>0</c:v>
                </c:pt>
                <c:pt idx="3">
                  <c:v>0</c:v>
                </c:pt>
                <c:pt idx="4">
                  <c:v>0</c:v>
                </c:pt>
                <c:pt idx="5">
                  <c:v>0</c:v>
                </c:pt>
                <c:pt idx="6">
                  <c:v>0</c:v>
                </c:pt>
                <c:pt idx="7">
                  <c:v>0</c:v>
                </c:pt>
                <c:pt idx="8">
                  <c:v>0</c:v>
                </c:pt>
                <c:pt idx="9">
                  <c:v>0</c:v>
                </c:pt>
                <c:pt idx="10">
                  <c:v>0</c:v>
                </c:pt>
                <c:pt idx="11">
                  <c:v>726.05</c:v>
                </c:pt>
                <c:pt idx="12">
                  <c:v>726.05</c:v>
                </c:pt>
                <c:pt idx="13">
                  <c:v>726.05</c:v>
                </c:pt>
                <c:pt idx="14">
                  <c:v>726.05</c:v>
                </c:pt>
                <c:pt idx="15">
                  <c:v>1030.3507999999999</c:v>
                </c:pt>
                <c:pt idx="16">
                  <c:v>1030.3507999999999</c:v>
                </c:pt>
                <c:pt idx="17">
                  <c:v>1030.3507999999999</c:v>
                </c:pt>
                <c:pt idx="18">
                  <c:v>1030.3507999999999</c:v>
                </c:pt>
                <c:pt idx="19">
                  <c:v>1030.3507999999999</c:v>
                </c:pt>
                <c:pt idx="20">
                  <c:v>1030.3507999999999</c:v>
                </c:pt>
                <c:pt idx="21">
                  <c:v>1030.3507999999999</c:v>
                </c:pt>
                <c:pt idx="22">
                  <c:v>1862.1532999999999</c:v>
                </c:pt>
                <c:pt idx="23">
                  <c:v>1862.1532999999999</c:v>
                </c:pt>
                <c:pt idx="24">
                  <c:v>1862.1532999999999</c:v>
                </c:pt>
                <c:pt idx="25">
                  <c:v>1862.1532999999999</c:v>
                </c:pt>
                <c:pt idx="26">
                  <c:v>2478.4620500000001</c:v>
                </c:pt>
                <c:pt idx="27">
                  <c:v>2478.4620500000001</c:v>
                </c:pt>
                <c:pt idx="28">
                  <c:v>3009.7620500000003</c:v>
                </c:pt>
                <c:pt idx="29">
                  <c:v>3009.7620500000003</c:v>
                </c:pt>
                <c:pt idx="30">
                  <c:v>3009.7620500000003</c:v>
                </c:pt>
                <c:pt idx="31">
                  <c:v>3009.7620500000003</c:v>
                </c:pt>
                <c:pt idx="32">
                  <c:v>3009.7620500000003</c:v>
                </c:pt>
                <c:pt idx="33">
                  <c:v>3428.3295500000004</c:v>
                </c:pt>
                <c:pt idx="34">
                  <c:v>3428.3295500000004</c:v>
                </c:pt>
                <c:pt idx="35">
                  <c:v>3428.3295500000004</c:v>
                </c:pt>
                <c:pt idx="36">
                  <c:v>3428.3295500000004</c:v>
                </c:pt>
                <c:pt idx="37">
                  <c:v>3428.3295500000004</c:v>
                </c:pt>
                <c:pt idx="38">
                  <c:v>3428.3295500000004</c:v>
                </c:pt>
                <c:pt idx="39">
                  <c:v>3428.3295500000004</c:v>
                </c:pt>
                <c:pt idx="40">
                  <c:v>3428.3295500000004</c:v>
                </c:pt>
                <c:pt idx="41">
                  <c:v>3428.3295500000004</c:v>
                </c:pt>
                <c:pt idx="42">
                  <c:v>3428.3295500000004</c:v>
                </c:pt>
                <c:pt idx="43">
                  <c:v>3428.3295500000004</c:v>
                </c:pt>
                <c:pt idx="44">
                  <c:v>3879.6255500000002</c:v>
                </c:pt>
                <c:pt idx="45">
                  <c:v>3879.6255500000002</c:v>
                </c:pt>
                <c:pt idx="46">
                  <c:v>5682.6466700000001</c:v>
                </c:pt>
                <c:pt idx="47">
                  <c:v>6078.3586699999996</c:v>
                </c:pt>
                <c:pt idx="48">
                  <c:v>6398.9026699999995</c:v>
                </c:pt>
                <c:pt idx="49">
                  <c:v>6398.9026699999995</c:v>
                </c:pt>
                <c:pt idx="50">
                  <c:v>6799.7986699999992</c:v>
                </c:pt>
                <c:pt idx="51">
                  <c:v>6073.748669999999</c:v>
                </c:pt>
                <c:pt idx="52">
                  <c:v>6073.748669999999</c:v>
                </c:pt>
                <c:pt idx="53">
                  <c:v>6073.748669999999</c:v>
                </c:pt>
                <c:pt idx="54">
                  <c:v>7009.8368699999992</c:v>
                </c:pt>
                <c:pt idx="55">
                  <c:v>7009.8368699999992</c:v>
                </c:pt>
                <c:pt idx="56">
                  <c:v>9272.3343699999987</c:v>
                </c:pt>
                <c:pt idx="57">
                  <c:v>9992.3343699999987</c:v>
                </c:pt>
                <c:pt idx="58">
                  <c:v>9992.3343699999987</c:v>
                </c:pt>
                <c:pt idx="59">
                  <c:v>10237.854369999999</c:v>
                </c:pt>
                <c:pt idx="60">
                  <c:v>10237.854369999999</c:v>
                </c:pt>
                <c:pt idx="61">
                  <c:v>10237.854369999999</c:v>
                </c:pt>
                <c:pt idx="62">
                  <c:v>10237.854369999999</c:v>
                </c:pt>
                <c:pt idx="63">
                  <c:v>10864.254369999999</c:v>
                </c:pt>
                <c:pt idx="64">
                  <c:v>10864.254369999999</c:v>
                </c:pt>
                <c:pt idx="65">
                  <c:v>10864.254369999999</c:v>
                </c:pt>
                <c:pt idx="66">
                  <c:v>10864.254369999999</c:v>
                </c:pt>
                <c:pt idx="67">
                  <c:v>10666.51312</c:v>
                </c:pt>
                <c:pt idx="68">
                  <c:v>10666.51312</c:v>
                </c:pt>
                <c:pt idx="69">
                  <c:v>10666.51312</c:v>
                </c:pt>
                <c:pt idx="70">
                  <c:v>10876.97812</c:v>
                </c:pt>
                <c:pt idx="71">
                  <c:v>11330.57812</c:v>
                </c:pt>
                <c:pt idx="72">
                  <c:v>11330.57812</c:v>
                </c:pt>
                <c:pt idx="73">
                  <c:v>12570.57812</c:v>
                </c:pt>
                <c:pt idx="74">
                  <c:v>12570.57812</c:v>
                </c:pt>
                <c:pt idx="75">
                  <c:v>12811.657182500001</c:v>
                </c:pt>
              </c:numCache>
            </c:numRef>
          </c:yVal>
          <c:smooth val="0"/>
          <c:extLst>
            <c:ext xmlns:c16="http://schemas.microsoft.com/office/drawing/2014/chart" uri="{C3380CC4-5D6E-409C-BE32-E72D297353CC}">
              <c16:uniqueId val="{00000000-420A-448B-A7ED-126BE8BC92A5}"/>
            </c:ext>
          </c:extLst>
        </c:ser>
        <c:dLbls>
          <c:showLegendKey val="0"/>
          <c:showVal val="0"/>
          <c:showCatName val="0"/>
          <c:showSerName val="0"/>
          <c:showPercent val="0"/>
          <c:showBubbleSize val="0"/>
        </c:dLbls>
        <c:axId val="1859657056"/>
        <c:axId val="1859657888"/>
        <c:extLst/>
      </c:scatterChart>
      <c:valAx>
        <c:axId val="1859657056"/>
        <c:scaling>
          <c:orientation val="minMax"/>
          <c:min val="19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autoZero"/>
        <c:crossBetween val="midCat"/>
      </c:valAx>
      <c:valAx>
        <c:axId val="1859657888"/>
        <c:scaling>
          <c:orientation val="minMax"/>
          <c:max val="5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Bxl_data4Graph!$N$5:$N$126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166.05</c:v>
                </c:pt>
                <c:pt idx="52">
                  <c:v>#N/A</c:v>
                </c:pt>
                <c:pt idx="53">
                  <c:v>#N/A</c:v>
                </c:pt>
                <c:pt idx="54">
                  <c:v>19.018800000000002</c:v>
                </c:pt>
                <c:pt idx="55">
                  <c:v>#N/A</c:v>
                </c:pt>
                <c:pt idx="56">
                  <c:v>#N/A</c:v>
                </c:pt>
                <c:pt idx="57">
                  <c:v>#N/A</c:v>
                </c:pt>
                <c:pt idx="58">
                  <c:v>#N/A</c:v>
                </c:pt>
                <c:pt idx="59">
                  <c:v>#N/A</c:v>
                </c:pt>
                <c:pt idx="60">
                  <c:v>#N/A</c:v>
                </c:pt>
                <c:pt idx="61">
                  <c:v>#N/A</c:v>
                </c:pt>
                <c:pt idx="62">
                  <c:v>#N/A</c:v>
                </c:pt>
                <c:pt idx="63">
                  <c:v>#N/A</c:v>
                </c:pt>
                <c:pt idx="64">
                  <c:v>#N/A</c:v>
                </c:pt>
                <c:pt idx="65">
                  <c:v>#N/A</c:v>
                </c:pt>
                <c:pt idx="66">
                  <c:v>#N/A</c:v>
                </c:pt>
                <c:pt idx="67">
                  <c:v>34.445250000000001</c:v>
                </c:pt>
                <c:pt idx="68">
                  <c:v>#N/A</c:v>
                </c:pt>
                <c:pt idx="69">
                  <c:v>#N/A</c:v>
                </c:pt>
                <c:pt idx="70">
                  <c:v>167.42700000000002</c:v>
                </c:pt>
                <c:pt idx="71">
                  <c:v>#N/A</c:v>
                </c:pt>
                <c:pt idx="72">
                  <c:v>#N/A</c:v>
                </c:pt>
                <c:pt idx="73">
                  <c:v>83.71350000000001</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6F7F-43A6-A91D-C4B7363ABFA1}"/>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Bxl_data4Graph!$O$5:$O$126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221.5188</c:v>
                </c:pt>
                <c:pt idx="95">
                  <c:v>#N/A</c:v>
                </c:pt>
                <c:pt idx="96">
                  <c:v>344.3175</c:v>
                </c:pt>
                <c:pt idx="97">
                  <c:v>#N/A</c:v>
                </c:pt>
                <c:pt idx="98">
                  <c:v>#N/A</c:v>
                </c:pt>
                <c:pt idx="99">
                  <c:v>91.52</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240</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6F7F-43A6-A91D-C4B7363ABFA1}"/>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Bxl_data4Graph!$P$5:$P$126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560</c:v>
                </c:pt>
                <c:pt idx="52">
                  <c:v>#N/A</c:v>
                </c:pt>
                <c:pt idx="53">
                  <c:v>#N/A</c:v>
                </c:pt>
                <c:pt idx="54">
                  <c:v>285.28199999999998</c:v>
                </c:pt>
                <c:pt idx="55">
                  <c:v>#N/A</c:v>
                </c:pt>
                <c:pt idx="56">
                  <c:v>#N/A</c:v>
                </c:pt>
                <c:pt idx="57">
                  <c:v>#N/A</c:v>
                </c:pt>
                <c:pt idx="58">
                  <c:v>#N/A</c:v>
                </c:pt>
                <c:pt idx="59">
                  <c:v>#N/A</c:v>
                </c:pt>
                <c:pt idx="60">
                  <c:v>#N/A</c:v>
                </c:pt>
                <c:pt idx="61">
                  <c:v>#N/A</c:v>
                </c:pt>
                <c:pt idx="62">
                  <c:v>#N/A</c:v>
                </c:pt>
                <c:pt idx="63">
                  <c:v>#N/A</c:v>
                </c:pt>
                <c:pt idx="64">
                  <c:v>#N/A</c:v>
                </c:pt>
                <c:pt idx="65">
                  <c:v>#N/A</c:v>
                </c:pt>
                <c:pt idx="66">
                  <c:v>#N/A</c:v>
                </c:pt>
                <c:pt idx="67">
                  <c:v>163.29599999999999</c:v>
                </c:pt>
                <c:pt idx="68">
                  <c:v>#N/A</c:v>
                </c:pt>
                <c:pt idx="69">
                  <c:v>#N/A</c:v>
                </c:pt>
                <c:pt idx="70">
                  <c:v>669.70799999999997</c:v>
                </c:pt>
                <c:pt idx="71">
                  <c:v>#N/A</c:v>
                </c:pt>
                <c:pt idx="72">
                  <c:v>531.30000000000007</c:v>
                </c:pt>
                <c:pt idx="73">
                  <c:v>334.85399999999998</c:v>
                </c:pt>
                <c:pt idx="74">
                  <c:v>#N/A</c:v>
                </c:pt>
                <c:pt idx="75">
                  <c:v>413.23499999999996</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224C-47D6-A94E-0CD200B7B0D1}"/>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Bxl_data4Graph!$Q$5:$Q$126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451.29599999999994</c:v>
                </c:pt>
                <c:pt idx="85">
                  <c:v>#N/A</c:v>
                </c:pt>
                <c:pt idx="86">
                  <c:v>1803.0211200000003</c:v>
                </c:pt>
                <c:pt idx="87">
                  <c:v>395.71199999999999</c:v>
                </c:pt>
                <c:pt idx="88">
                  <c:v>320.54399999999998</c:v>
                </c:pt>
                <c:pt idx="89">
                  <c:v>#N/A</c:v>
                </c:pt>
                <c:pt idx="90">
                  <c:v>400.89599999999996</c:v>
                </c:pt>
                <c:pt idx="91">
                  <c:v>#N/A</c:v>
                </c:pt>
                <c:pt idx="92">
                  <c:v>#N/A</c:v>
                </c:pt>
                <c:pt idx="93">
                  <c:v>#N/A</c:v>
                </c:pt>
                <c:pt idx="94">
                  <c:v>825.28199999999993</c:v>
                </c:pt>
                <c:pt idx="95">
                  <c:v>#N/A</c:v>
                </c:pt>
                <c:pt idx="96">
                  <c:v>1918.1799999999998</c:v>
                </c:pt>
                <c:pt idx="97">
                  <c:v>720</c:v>
                </c:pt>
                <c:pt idx="98">
                  <c:v>#N/A</c:v>
                </c:pt>
                <c:pt idx="99">
                  <c:v>154</c:v>
                </c:pt>
                <c:pt idx="100">
                  <c:v>#N/A</c:v>
                </c:pt>
                <c:pt idx="101">
                  <c:v>#N/A</c:v>
                </c:pt>
                <c:pt idx="102">
                  <c:v>#N/A</c:v>
                </c:pt>
                <c:pt idx="103">
                  <c:v>626.4</c:v>
                </c:pt>
                <c:pt idx="104">
                  <c:v>#N/A</c:v>
                </c:pt>
                <c:pt idx="105">
                  <c:v>#N/A</c:v>
                </c:pt>
                <c:pt idx="106">
                  <c:v>#N/A</c:v>
                </c:pt>
                <c:pt idx="107">
                  <c:v>#N/A</c:v>
                </c:pt>
                <c:pt idx="108">
                  <c:v>#N/A</c:v>
                </c:pt>
                <c:pt idx="109">
                  <c:v>#N/A</c:v>
                </c:pt>
                <c:pt idx="110">
                  <c:v>1047.5999999999999</c:v>
                </c:pt>
                <c:pt idx="111">
                  <c:v>453.6</c:v>
                </c:pt>
                <c:pt idx="112">
                  <c:v>531.30000000000007</c:v>
                </c:pt>
                <c:pt idx="113">
                  <c:v>1000</c:v>
                </c:pt>
                <c:pt idx="114">
                  <c:v>#N/A</c:v>
                </c:pt>
                <c:pt idx="115">
                  <c:v>413.23499999999996</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224C-47D6-A94E-0CD200B7B0D1}"/>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Bxl_data4Graph!$L$5:$L$126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726.05</c:v>
                </c:pt>
                <c:pt idx="52">
                  <c:v>#N/A</c:v>
                </c:pt>
                <c:pt idx="53">
                  <c:v>#N/A</c:v>
                </c:pt>
                <c:pt idx="54">
                  <c:v>304.30079999999998</c:v>
                </c:pt>
                <c:pt idx="55">
                  <c:v>#N/A</c:v>
                </c:pt>
                <c:pt idx="56">
                  <c:v>#N/A</c:v>
                </c:pt>
                <c:pt idx="57">
                  <c:v>#N/A</c:v>
                </c:pt>
                <c:pt idx="58">
                  <c:v>#N/A</c:v>
                </c:pt>
                <c:pt idx="59">
                  <c:v>#N/A</c:v>
                </c:pt>
                <c:pt idx="60">
                  <c:v>#N/A</c:v>
                </c:pt>
                <c:pt idx="61">
                  <c:v>#N/A</c:v>
                </c:pt>
                <c:pt idx="62">
                  <c:v>#N/A</c:v>
                </c:pt>
                <c:pt idx="63">
                  <c:v>#N/A</c:v>
                </c:pt>
                <c:pt idx="64">
                  <c:v>#N/A</c:v>
                </c:pt>
                <c:pt idx="65">
                  <c:v>#N/A</c:v>
                </c:pt>
                <c:pt idx="66">
                  <c:v>#N/A</c:v>
                </c:pt>
                <c:pt idx="67">
                  <c:v>197.74124999999998</c:v>
                </c:pt>
                <c:pt idx="68">
                  <c:v>#N/A</c:v>
                </c:pt>
                <c:pt idx="69">
                  <c:v>#N/A</c:v>
                </c:pt>
                <c:pt idx="70">
                  <c:v>837.13499999999999</c:v>
                </c:pt>
                <c:pt idx="71">
                  <c:v>#N/A</c:v>
                </c:pt>
                <c:pt idx="72">
                  <c:v>531.30000000000007</c:v>
                </c:pt>
                <c:pt idx="73">
                  <c:v>418.5675</c:v>
                </c:pt>
                <c:pt idx="74">
                  <c:v>#N/A</c:v>
                </c:pt>
                <c:pt idx="75">
                  <c:v>413.23499999999996</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1277-460F-8D27-370703835CA6}"/>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Bxl_data4Graph!$M$5:$M$126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451.29599999999994</c:v>
                </c:pt>
                <c:pt idx="85">
                  <c:v>#N/A</c:v>
                </c:pt>
                <c:pt idx="86">
                  <c:v>1803.0211200000003</c:v>
                </c:pt>
                <c:pt idx="87">
                  <c:v>395.71199999999999</c:v>
                </c:pt>
                <c:pt idx="88">
                  <c:v>320.54399999999998</c:v>
                </c:pt>
                <c:pt idx="89">
                  <c:v>#N/A</c:v>
                </c:pt>
                <c:pt idx="90">
                  <c:v>400.89599999999996</c:v>
                </c:pt>
                <c:pt idx="91">
                  <c:v>#N/A</c:v>
                </c:pt>
                <c:pt idx="92">
                  <c:v>#N/A</c:v>
                </c:pt>
                <c:pt idx="93">
                  <c:v>#N/A</c:v>
                </c:pt>
                <c:pt idx="94">
                  <c:v>1046.8008</c:v>
                </c:pt>
                <c:pt idx="95">
                  <c:v>#N/A</c:v>
                </c:pt>
                <c:pt idx="96">
                  <c:v>2262.4974999999999</c:v>
                </c:pt>
                <c:pt idx="97">
                  <c:v>720</c:v>
                </c:pt>
                <c:pt idx="98">
                  <c:v>#N/A</c:v>
                </c:pt>
                <c:pt idx="99">
                  <c:v>245.51999999999998</c:v>
                </c:pt>
                <c:pt idx="100">
                  <c:v>#N/A</c:v>
                </c:pt>
                <c:pt idx="101">
                  <c:v>#N/A</c:v>
                </c:pt>
                <c:pt idx="102">
                  <c:v>#N/A</c:v>
                </c:pt>
                <c:pt idx="103">
                  <c:v>626.4</c:v>
                </c:pt>
                <c:pt idx="104">
                  <c:v>#N/A</c:v>
                </c:pt>
                <c:pt idx="105">
                  <c:v>#N/A</c:v>
                </c:pt>
                <c:pt idx="106">
                  <c:v>#N/A</c:v>
                </c:pt>
                <c:pt idx="107">
                  <c:v>#N/A</c:v>
                </c:pt>
                <c:pt idx="108">
                  <c:v>#N/A</c:v>
                </c:pt>
                <c:pt idx="109">
                  <c:v>#N/A</c:v>
                </c:pt>
                <c:pt idx="110">
                  <c:v>1047.5999999999999</c:v>
                </c:pt>
                <c:pt idx="111">
                  <c:v>453.6</c:v>
                </c:pt>
                <c:pt idx="112">
                  <c:v>531.30000000000007</c:v>
                </c:pt>
                <c:pt idx="113">
                  <c:v>1240</c:v>
                </c:pt>
                <c:pt idx="114">
                  <c:v>#N/A</c:v>
                </c:pt>
                <c:pt idx="115">
                  <c:v>413.23499999999996</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1277-460F-8D27-370703835CA6}"/>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5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Bxl_data4Graph!$R$5:$R$126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16.961052631578948</c:v>
                </c:pt>
                <c:pt idx="52">
                  <c:v>#N/A</c:v>
                </c:pt>
                <c:pt idx="53">
                  <c:v>#N/A</c:v>
                </c:pt>
                <c:pt idx="54">
                  <c:v>20.286720000000003</c:v>
                </c:pt>
                <c:pt idx="55">
                  <c:v>#N/A</c:v>
                </c:pt>
                <c:pt idx="56">
                  <c:v>#N/A</c:v>
                </c:pt>
                <c:pt idx="57">
                  <c:v>#N/A</c:v>
                </c:pt>
                <c:pt idx="58">
                  <c:v>#N/A</c:v>
                </c:pt>
                <c:pt idx="59">
                  <c:v>#N/A</c:v>
                </c:pt>
                <c:pt idx="60">
                  <c:v>#N/A</c:v>
                </c:pt>
                <c:pt idx="61">
                  <c:v>#N/A</c:v>
                </c:pt>
                <c:pt idx="62">
                  <c:v>#N/A</c:v>
                </c:pt>
                <c:pt idx="63">
                  <c:v>#N/A</c:v>
                </c:pt>
                <c:pt idx="64">
                  <c:v>#N/A</c:v>
                </c:pt>
                <c:pt idx="65">
                  <c:v>#N/A</c:v>
                </c:pt>
                <c:pt idx="66">
                  <c:v>#N/A</c:v>
                </c:pt>
                <c:pt idx="67">
                  <c:v>17.4636</c:v>
                </c:pt>
                <c:pt idx="68">
                  <c:v>#N/A</c:v>
                </c:pt>
                <c:pt idx="69">
                  <c:v>#N/A</c:v>
                </c:pt>
                <c:pt idx="70">
                  <c:v>63.663600000000002</c:v>
                </c:pt>
                <c:pt idx="71">
                  <c:v>#N/A</c:v>
                </c:pt>
                <c:pt idx="72">
                  <c:v>36.225000000000001</c:v>
                </c:pt>
                <c:pt idx="73">
                  <c:v>31.831800000000001</c:v>
                </c:pt>
                <c:pt idx="74">
                  <c:v>#N/A</c:v>
                </c:pt>
                <c:pt idx="75">
                  <c:v>20.187200000000001</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D450-454F-B16F-6489EED1903C}"/>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Bxl_data4Graph!$S$5:$S$126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26.325600000000001</c:v>
                </c:pt>
                <c:pt idx="85">
                  <c:v>#N/A</c:v>
                </c:pt>
                <c:pt idx="86">
                  <c:v>106.845696</c:v>
                </c:pt>
                <c:pt idx="87">
                  <c:v>26.380799999999997</c:v>
                </c:pt>
                <c:pt idx="88">
                  <c:v>21.369599999999998</c:v>
                </c:pt>
                <c:pt idx="89">
                  <c:v>#N/A</c:v>
                </c:pt>
                <c:pt idx="90">
                  <c:v>26.726399999999998</c:v>
                </c:pt>
                <c:pt idx="91">
                  <c:v>#N/A</c:v>
                </c:pt>
                <c:pt idx="92">
                  <c:v>#N/A</c:v>
                </c:pt>
                <c:pt idx="93">
                  <c:v>#N/A</c:v>
                </c:pt>
                <c:pt idx="94">
                  <c:v>82.446719999999999</c:v>
                </c:pt>
                <c:pt idx="95">
                  <c:v>#N/A</c:v>
                </c:pt>
                <c:pt idx="96">
                  <c:v>156.44426666666666</c:v>
                </c:pt>
                <c:pt idx="97">
                  <c:v>42.666666666666671</c:v>
                </c:pt>
                <c:pt idx="98">
                  <c:v>#N/A</c:v>
                </c:pt>
                <c:pt idx="99">
                  <c:v>20.533333333333331</c:v>
                </c:pt>
                <c:pt idx="100">
                  <c:v>#N/A</c:v>
                </c:pt>
                <c:pt idx="101">
                  <c:v>#N/A</c:v>
                </c:pt>
                <c:pt idx="102">
                  <c:v>#N/A</c:v>
                </c:pt>
                <c:pt idx="103">
                  <c:v>36.54</c:v>
                </c:pt>
                <c:pt idx="104">
                  <c:v>#N/A</c:v>
                </c:pt>
                <c:pt idx="105">
                  <c:v>#N/A</c:v>
                </c:pt>
                <c:pt idx="106">
                  <c:v>#N/A</c:v>
                </c:pt>
                <c:pt idx="107">
                  <c:v>#N/A</c:v>
                </c:pt>
                <c:pt idx="108">
                  <c:v>#N/A</c:v>
                </c:pt>
                <c:pt idx="109">
                  <c:v>#N/A</c:v>
                </c:pt>
                <c:pt idx="110">
                  <c:v>57.229199999999999</c:v>
                </c:pt>
                <c:pt idx="111">
                  <c:v>22.5792</c:v>
                </c:pt>
                <c:pt idx="112">
                  <c:v>36.225000000000001</c:v>
                </c:pt>
                <c:pt idx="113">
                  <c:v>133.33333333333334</c:v>
                </c:pt>
                <c:pt idx="114">
                  <c:v>#N/A</c:v>
                </c:pt>
                <c:pt idx="115">
                  <c:v>20.187200000000001</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D450-454F-B16F-6489EED1903C}"/>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single</c:v>
          </c:tx>
          <c:spPr>
            <a:solidFill>
              <a:schemeClr val="accent1"/>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Bxl_data4Graph!$T$5:$T$126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15.63768</c:v>
                </c:pt>
                <c:pt idx="55">
                  <c:v>#N/A</c:v>
                </c:pt>
                <c:pt idx="56">
                  <c:v>#N/A</c:v>
                </c:pt>
                <c:pt idx="57">
                  <c:v>#N/A</c:v>
                </c:pt>
                <c:pt idx="58">
                  <c:v>#N/A</c:v>
                </c:pt>
                <c:pt idx="59">
                  <c:v>#N/A</c:v>
                </c:pt>
                <c:pt idx="60">
                  <c:v>#N/A</c:v>
                </c:pt>
                <c:pt idx="61">
                  <c:v>#N/A</c:v>
                </c:pt>
                <c:pt idx="62">
                  <c:v>#N/A</c:v>
                </c:pt>
                <c:pt idx="63">
                  <c:v>#N/A</c:v>
                </c:pt>
                <c:pt idx="64">
                  <c:v>#N/A</c:v>
                </c:pt>
                <c:pt idx="65">
                  <c:v>#N/A</c:v>
                </c:pt>
                <c:pt idx="66">
                  <c:v>#N/A</c:v>
                </c:pt>
                <c:pt idx="67">
                  <c:v>9.9791999999999987</c:v>
                </c:pt>
                <c:pt idx="68">
                  <c:v>#N/A</c:v>
                </c:pt>
                <c:pt idx="69">
                  <c:v>#N/A</c:v>
                </c:pt>
                <c:pt idx="70">
                  <c:v>36.379199999999997</c:v>
                </c:pt>
                <c:pt idx="71">
                  <c:v>#N/A</c:v>
                </c:pt>
                <c:pt idx="72">
                  <c:v>36.225000000000001</c:v>
                </c:pt>
                <c:pt idx="73">
                  <c:v>18.189599999999999</c:v>
                </c:pt>
                <c:pt idx="74">
                  <c:v>#N/A</c:v>
                </c:pt>
                <c:pt idx="75">
                  <c:v>20.187200000000001</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0-8380-442C-A20B-3A7AE83ECFF5}"/>
            </c:ext>
          </c:extLst>
        </c:ser>
        <c:ser>
          <c:idx val="1"/>
          <c:order val="1"/>
          <c:tx>
            <c:v>future</c:v>
          </c:tx>
          <c:spPr>
            <a:solidFill>
              <a:schemeClr val="accent2"/>
            </a:solidFill>
            <a:ln>
              <a:noFill/>
            </a:ln>
            <a:effectLst/>
          </c:spPr>
          <c:invertIfNegative val="0"/>
          <c:cat>
            <c:numRef>
              <c:f>Paris_data4Graph!$A$5:$A$126</c:f>
              <c:numCache>
                <c:formatCode>General</c:formatCode>
                <c:ptCount val="122"/>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pt idx="121">
                  <c:v>2071</c:v>
                </c:pt>
              </c:numCache>
            </c:numRef>
          </c:cat>
          <c:val>
            <c:numRef>
              <c:f>Bxl_data4Graph!$U$5:$U$126</c:f>
              <c:numCache>
                <c:formatCode>General</c:formatCode>
                <c:ptCount val="12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26.325600000000001</c:v>
                </c:pt>
                <c:pt idx="85">
                  <c:v>#N/A</c:v>
                </c:pt>
                <c:pt idx="86">
                  <c:v>106.845696</c:v>
                </c:pt>
                <c:pt idx="87">
                  <c:v>26.380799999999997</c:v>
                </c:pt>
                <c:pt idx="88">
                  <c:v>21.369599999999998</c:v>
                </c:pt>
                <c:pt idx="89">
                  <c:v>#N/A</c:v>
                </c:pt>
                <c:pt idx="90">
                  <c:v>26.726399999999998</c:v>
                </c:pt>
                <c:pt idx="91">
                  <c:v>#N/A</c:v>
                </c:pt>
                <c:pt idx="92">
                  <c:v>#N/A</c:v>
                </c:pt>
                <c:pt idx="93">
                  <c:v>#N/A</c:v>
                </c:pt>
                <c:pt idx="94">
                  <c:v>46.717679999999994</c:v>
                </c:pt>
                <c:pt idx="95">
                  <c:v>#N/A</c:v>
                </c:pt>
                <c:pt idx="96">
                  <c:v>116.14636666666667</c:v>
                </c:pt>
                <c:pt idx="97">
                  <c:v>42.666666666666671</c:v>
                </c:pt>
                <c:pt idx="98">
                  <c:v>#N/A</c:v>
                </c:pt>
                <c:pt idx="99">
                  <c:v>10.266666666666666</c:v>
                </c:pt>
                <c:pt idx="100">
                  <c:v>#N/A</c:v>
                </c:pt>
                <c:pt idx="101">
                  <c:v>#N/A</c:v>
                </c:pt>
                <c:pt idx="102">
                  <c:v>#N/A</c:v>
                </c:pt>
                <c:pt idx="103">
                  <c:v>36.54</c:v>
                </c:pt>
                <c:pt idx="104">
                  <c:v>#N/A</c:v>
                </c:pt>
                <c:pt idx="105">
                  <c:v>#N/A</c:v>
                </c:pt>
                <c:pt idx="106">
                  <c:v>#N/A</c:v>
                </c:pt>
                <c:pt idx="107">
                  <c:v>#N/A</c:v>
                </c:pt>
                <c:pt idx="108">
                  <c:v>#N/A</c:v>
                </c:pt>
                <c:pt idx="109">
                  <c:v>#N/A</c:v>
                </c:pt>
                <c:pt idx="110">
                  <c:v>57.229199999999999</c:v>
                </c:pt>
                <c:pt idx="111">
                  <c:v>22.5792</c:v>
                </c:pt>
                <c:pt idx="112">
                  <c:v>36.225000000000001</c:v>
                </c:pt>
                <c:pt idx="113">
                  <c:v>66.666666666666671</c:v>
                </c:pt>
                <c:pt idx="114">
                  <c:v>#N/A</c:v>
                </c:pt>
                <c:pt idx="115">
                  <c:v>20.187200000000001</c:v>
                </c:pt>
                <c:pt idx="116">
                  <c:v>#N/A</c:v>
                </c:pt>
                <c:pt idx="117">
                  <c:v>#N/A</c:v>
                </c:pt>
                <c:pt idx="118">
                  <c:v>#N/A</c:v>
                </c:pt>
                <c:pt idx="119">
                  <c:v>#N/A</c:v>
                </c:pt>
                <c:pt idx="120">
                  <c:v>#N/A</c:v>
                </c:pt>
                <c:pt idx="121">
                  <c:v>#N/A</c:v>
                </c:pt>
              </c:numCache>
            </c:numRef>
          </c:val>
          <c:extLst>
            <c:ext xmlns:c16="http://schemas.microsoft.com/office/drawing/2014/chart" uri="{C3380CC4-5D6E-409C-BE32-E72D297353CC}">
              <c16:uniqueId val="{00000001-8380-442C-A20B-3A7AE83ECFF5}"/>
            </c:ext>
          </c:extLst>
        </c:ser>
        <c:dLbls>
          <c:showLegendKey val="0"/>
          <c:showVal val="0"/>
          <c:showCatName val="0"/>
          <c:showSerName val="0"/>
          <c:showPercent val="0"/>
          <c:showBubbleSize val="0"/>
        </c:dLbls>
        <c:gapWidth val="150"/>
        <c:axId val="1859921216"/>
        <c:axId val="1859920800"/>
      </c:barChart>
      <c:catAx>
        <c:axId val="1859921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0800"/>
        <c:crosses val="autoZero"/>
        <c:auto val="1"/>
        <c:lblAlgn val="ctr"/>
        <c:lblOffset val="100"/>
        <c:noMultiLvlLbl val="0"/>
      </c:catAx>
      <c:valAx>
        <c:axId val="1859920800"/>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5992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Bxl_Outflow!$AD$3</c:f>
              <c:strCache>
                <c:ptCount val="1"/>
                <c:pt idx="0">
                  <c:v>raw materials, min</c:v>
                </c:pt>
              </c:strCache>
            </c:strRef>
          </c:tx>
          <c:spPr>
            <a:ln w="19050" cap="rnd">
              <a:solidFill>
                <a:schemeClr val="accent1"/>
              </a:solidFill>
              <a:round/>
            </a:ln>
            <a:effectLst/>
          </c:spPr>
          <c:marker>
            <c:symbol val="none"/>
          </c:marker>
          <c:xVal>
            <c:numRef>
              <c:f>Bxl_Outflow!$A$80:$A$125</c:f>
              <c:numCache>
                <c:formatCode>General</c:formatCode>
                <c:ptCount val="46"/>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pt idx="28">
                  <c:v>2053</c:v>
                </c:pt>
                <c:pt idx="29">
                  <c:v>2054</c:v>
                </c:pt>
                <c:pt idx="30">
                  <c:v>2055</c:v>
                </c:pt>
                <c:pt idx="31">
                  <c:v>2056</c:v>
                </c:pt>
                <c:pt idx="32">
                  <c:v>2057</c:v>
                </c:pt>
                <c:pt idx="33">
                  <c:v>2058</c:v>
                </c:pt>
                <c:pt idx="34">
                  <c:v>2059</c:v>
                </c:pt>
                <c:pt idx="35">
                  <c:v>2060</c:v>
                </c:pt>
                <c:pt idx="36">
                  <c:v>2061</c:v>
                </c:pt>
                <c:pt idx="37">
                  <c:v>2062</c:v>
                </c:pt>
                <c:pt idx="38">
                  <c:v>2063</c:v>
                </c:pt>
                <c:pt idx="39">
                  <c:v>2064</c:v>
                </c:pt>
                <c:pt idx="40">
                  <c:v>2065</c:v>
                </c:pt>
                <c:pt idx="41">
                  <c:v>2066</c:v>
                </c:pt>
                <c:pt idx="42">
                  <c:v>2067</c:v>
                </c:pt>
                <c:pt idx="43">
                  <c:v>2068</c:v>
                </c:pt>
                <c:pt idx="44">
                  <c:v>2069</c:v>
                </c:pt>
                <c:pt idx="45">
                  <c:v>2070</c:v>
                </c:pt>
              </c:numCache>
            </c:numRef>
          </c:xVal>
          <c:yVal>
            <c:numRef>
              <c:f>Bxl_Outflow!$AD$81:$AD$125</c:f>
              <c:numCache>
                <c:formatCode>#,##0</c:formatCode>
                <c:ptCount val="45"/>
                <c:pt idx="0">
                  <c:v>0</c:v>
                </c:pt>
                <c:pt idx="1">
                  <c:v>0</c:v>
                </c:pt>
                <c:pt idx="2">
                  <c:v>0</c:v>
                </c:pt>
                <c:pt idx="3">
                  <c:v>0</c:v>
                </c:pt>
                <c:pt idx="4">
                  <c:v>0</c:v>
                </c:pt>
                <c:pt idx="5">
                  <c:v>0</c:v>
                </c:pt>
                <c:pt idx="6">
                  <c:v>0</c:v>
                </c:pt>
                <c:pt idx="7">
                  <c:v>0</c:v>
                </c:pt>
                <c:pt idx="8">
                  <c:v>-27.077759999999998</c:v>
                </c:pt>
                <c:pt idx="9">
                  <c:v>-27.077759999999998</c:v>
                </c:pt>
                <c:pt idx="10">
                  <c:v>-135.25902720000005</c:v>
                </c:pt>
                <c:pt idx="11">
                  <c:v>-159.00174720000004</c:v>
                </c:pt>
                <c:pt idx="12">
                  <c:v>-178.23438720000004</c:v>
                </c:pt>
                <c:pt idx="13">
                  <c:v>-178.23438720000004</c:v>
                </c:pt>
                <c:pt idx="14">
                  <c:v>-202.28814720000003</c:v>
                </c:pt>
                <c:pt idx="15">
                  <c:v>-202.28814720000003</c:v>
                </c:pt>
                <c:pt idx="16">
                  <c:v>-202.28814720000003</c:v>
                </c:pt>
                <c:pt idx="17">
                  <c:v>-202.28814720000003</c:v>
                </c:pt>
                <c:pt idx="18">
                  <c:v>-265.09619520000001</c:v>
                </c:pt>
                <c:pt idx="19">
                  <c:v>-265.09619520000001</c:v>
                </c:pt>
                <c:pt idx="20">
                  <c:v>-400.84604520000005</c:v>
                </c:pt>
                <c:pt idx="21">
                  <c:v>-444.04604520000004</c:v>
                </c:pt>
                <c:pt idx="22">
                  <c:v>-444.04604520000004</c:v>
                </c:pt>
                <c:pt idx="23">
                  <c:v>-458.77724520000004</c:v>
                </c:pt>
                <c:pt idx="24">
                  <c:v>-458.77724520000004</c:v>
                </c:pt>
                <c:pt idx="25">
                  <c:v>-458.77724520000004</c:v>
                </c:pt>
                <c:pt idx="26">
                  <c:v>-458.77724520000004</c:v>
                </c:pt>
                <c:pt idx="27">
                  <c:v>-496.36124520000004</c:v>
                </c:pt>
                <c:pt idx="28">
                  <c:v>-496.36124520000004</c:v>
                </c:pt>
                <c:pt idx="29">
                  <c:v>-496.36124520000004</c:v>
                </c:pt>
                <c:pt idx="30">
                  <c:v>-496.36124520000004</c:v>
                </c:pt>
                <c:pt idx="31">
                  <c:v>-496.36124520000004</c:v>
                </c:pt>
                <c:pt idx="32">
                  <c:v>-496.36124520000004</c:v>
                </c:pt>
                <c:pt idx="33">
                  <c:v>-496.36124520000004</c:v>
                </c:pt>
                <c:pt idx="34">
                  <c:v>-559.21724519999998</c:v>
                </c:pt>
                <c:pt idx="35">
                  <c:v>-586.43324519999999</c:v>
                </c:pt>
                <c:pt idx="36">
                  <c:v>-618.31124520000003</c:v>
                </c:pt>
                <c:pt idx="37">
                  <c:v>-692.71124520000001</c:v>
                </c:pt>
                <c:pt idx="38">
                  <c:v>-692.71124520000001</c:v>
                </c:pt>
                <c:pt idx="39">
                  <c:v>-717.50534519999997</c:v>
                </c:pt>
                <c:pt idx="40">
                  <c:v>-717.50534519999997</c:v>
                </c:pt>
                <c:pt idx="41">
                  <c:v>-717.50534519999997</c:v>
                </c:pt>
                <c:pt idx="42">
                  <c:v>-717.50534519999997</c:v>
                </c:pt>
                <c:pt idx="43">
                  <c:v>-717.50534519999997</c:v>
                </c:pt>
                <c:pt idx="44">
                  <c:v>-717.50534519999997</c:v>
                </c:pt>
              </c:numCache>
            </c:numRef>
          </c:yVal>
          <c:smooth val="0"/>
          <c:extLst>
            <c:ext xmlns:c16="http://schemas.microsoft.com/office/drawing/2014/chart" uri="{C3380CC4-5D6E-409C-BE32-E72D297353CC}">
              <c16:uniqueId val="{00000000-822D-4BCC-A22B-45511B7610D6}"/>
            </c:ext>
          </c:extLst>
        </c:ser>
        <c:ser>
          <c:idx val="1"/>
          <c:order val="1"/>
          <c:tx>
            <c:strRef>
              <c:f>Bxl_Outflow!$AE$3</c:f>
              <c:strCache>
                <c:ptCount val="1"/>
                <c:pt idx="0">
                  <c:v>raw materials, average</c:v>
                </c:pt>
              </c:strCache>
            </c:strRef>
          </c:tx>
          <c:spPr>
            <a:ln w="19050" cap="rnd">
              <a:solidFill>
                <a:schemeClr val="accent2"/>
              </a:solidFill>
              <a:round/>
            </a:ln>
            <a:effectLst/>
          </c:spPr>
          <c:marker>
            <c:symbol val="none"/>
          </c:marker>
          <c:xVal>
            <c:numRef>
              <c:f>Bxl_Outflow!$A$81:$A$125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Bxl_Outflow!$AE$81:$AE$125</c:f>
              <c:numCache>
                <c:formatCode>#,##0</c:formatCode>
                <c:ptCount val="45"/>
                <c:pt idx="0">
                  <c:v>0</c:v>
                </c:pt>
                <c:pt idx="1">
                  <c:v>0</c:v>
                </c:pt>
                <c:pt idx="2">
                  <c:v>0</c:v>
                </c:pt>
                <c:pt idx="3">
                  <c:v>0</c:v>
                </c:pt>
                <c:pt idx="4">
                  <c:v>0</c:v>
                </c:pt>
                <c:pt idx="5">
                  <c:v>0</c:v>
                </c:pt>
                <c:pt idx="6">
                  <c:v>0</c:v>
                </c:pt>
                <c:pt idx="7">
                  <c:v>0</c:v>
                </c:pt>
                <c:pt idx="8">
                  <c:v>-67.969582479822677</c:v>
                </c:pt>
                <c:pt idx="9">
                  <c:v>-67.969582479822677</c:v>
                </c:pt>
                <c:pt idx="10">
                  <c:v>-445.50460659934737</c:v>
                </c:pt>
                <c:pt idx="11">
                  <c:v>-538.67660314338809</c:v>
                </c:pt>
                <c:pt idx="12">
                  <c:v>-620.80570543867179</c:v>
                </c:pt>
                <c:pt idx="13">
                  <c:v>-620.80570543867179</c:v>
                </c:pt>
                <c:pt idx="14">
                  <c:v>-733.77580761360059</c:v>
                </c:pt>
                <c:pt idx="15">
                  <c:v>-733.77580761360059</c:v>
                </c:pt>
                <c:pt idx="16">
                  <c:v>-733.77580761360059</c:v>
                </c:pt>
                <c:pt idx="17">
                  <c:v>-733.77580761360059</c:v>
                </c:pt>
                <c:pt idx="18">
                  <c:v>-1045.0557739331384</c:v>
                </c:pt>
                <c:pt idx="19">
                  <c:v>-1045.0557739331384</c:v>
                </c:pt>
                <c:pt idx="20">
                  <c:v>-1721.5949415954894</c:v>
                </c:pt>
                <c:pt idx="21">
                  <c:v>-1937.1676723140231</c:v>
                </c:pt>
                <c:pt idx="22">
                  <c:v>-1937.1676723140231</c:v>
                </c:pt>
                <c:pt idx="23">
                  <c:v>-2010.7699888046034</c:v>
                </c:pt>
                <c:pt idx="24">
                  <c:v>-2010.7699888046034</c:v>
                </c:pt>
                <c:pt idx="25">
                  <c:v>-2010.7699888046034</c:v>
                </c:pt>
                <c:pt idx="26">
                  <c:v>-2010.7699888046034</c:v>
                </c:pt>
                <c:pt idx="27">
                  <c:v>-2198.671438157628</c:v>
                </c:pt>
                <c:pt idx="28">
                  <c:v>-2198.671438157628</c:v>
                </c:pt>
                <c:pt idx="29">
                  <c:v>-2198.671438157628</c:v>
                </c:pt>
                <c:pt idx="30">
                  <c:v>-2198.671438157628</c:v>
                </c:pt>
                <c:pt idx="31">
                  <c:v>-2198.671438157628</c:v>
                </c:pt>
                <c:pt idx="32">
                  <c:v>-2198.671438157628</c:v>
                </c:pt>
                <c:pt idx="33">
                  <c:v>-2198.671438157628</c:v>
                </c:pt>
                <c:pt idx="34">
                  <c:v>-2512.9505011910728</c:v>
                </c:pt>
                <c:pt idx="35">
                  <c:v>-2649.0302551231284</c:v>
                </c:pt>
                <c:pt idx="36">
                  <c:v>-2808.4200803096332</c:v>
                </c:pt>
                <c:pt idx="37">
                  <c:v>-3180.4198328468919</c:v>
                </c:pt>
                <c:pt idx="38">
                  <c:v>-3180.4198328468919</c:v>
                </c:pt>
                <c:pt idx="39">
                  <c:v>-3304.3903025086101</c:v>
                </c:pt>
                <c:pt idx="40">
                  <c:v>-3304.3903025086101</c:v>
                </c:pt>
                <c:pt idx="41">
                  <c:v>-3304.3903025086101</c:v>
                </c:pt>
                <c:pt idx="42">
                  <c:v>-3304.3903025086101</c:v>
                </c:pt>
                <c:pt idx="43">
                  <c:v>-3304.3903025086101</c:v>
                </c:pt>
                <c:pt idx="44">
                  <c:v>-3304.3903025086101</c:v>
                </c:pt>
              </c:numCache>
            </c:numRef>
          </c:yVal>
          <c:smooth val="0"/>
          <c:extLst>
            <c:ext xmlns:c16="http://schemas.microsoft.com/office/drawing/2014/chart" uri="{C3380CC4-5D6E-409C-BE32-E72D297353CC}">
              <c16:uniqueId val="{00000001-822D-4BCC-A22B-45511B7610D6}"/>
            </c:ext>
          </c:extLst>
        </c:ser>
        <c:ser>
          <c:idx val="2"/>
          <c:order val="2"/>
          <c:tx>
            <c:strRef>
              <c:f>Bxl_Outflow!$AF$3</c:f>
              <c:strCache>
                <c:ptCount val="1"/>
                <c:pt idx="0">
                  <c:v>raw materials, max</c:v>
                </c:pt>
              </c:strCache>
            </c:strRef>
          </c:tx>
          <c:spPr>
            <a:ln w="19050" cap="rnd">
              <a:solidFill>
                <a:schemeClr val="accent3"/>
              </a:solidFill>
              <a:round/>
            </a:ln>
            <a:effectLst/>
          </c:spPr>
          <c:marker>
            <c:symbol val="none"/>
          </c:marker>
          <c:xVal>
            <c:numRef>
              <c:f>Bxl_Outflow!$A$81:$A$125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Bxl_Outflow!$AF$81:$AF$125</c:f>
              <c:numCache>
                <c:formatCode>#,##0</c:formatCode>
                <c:ptCount val="45"/>
                <c:pt idx="0">
                  <c:v>0</c:v>
                </c:pt>
                <c:pt idx="1">
                  <c:v>0</c:v>
                </c:pt>
                <c:pt idx="2">
                  <c:v>0</c:v>
                </c:pt>
                <c:pt idx="3">
                  <c:v>0</c:v>
                </c:pt>
                <c:pt idx="4">
                  <c:v>0</c:v>
                </c:pt>
                <c:pt idx="5">
                  <c:v>0</c:v>
                </c:pt>
                <c:pt idx="6">
                  <c:v>0</c:v>
                </c:pt>
                <c:pt idx="7">
                  <c:v>0</c:v>
                </c:pt>
                <c:pt idx="8">
                  <c:v>-119.084360579601</c:v>
                </c:pt>
                <c:pt idx="9">
                  <c:v>-119.084360579601</c:v>
                </c:pt>
                <c:pt idx="10">
                  <c:v>-833.31158084853132</c:v>
                </c:pt>
                <c:pt idx="11">
                  <c:v>-1013.270173072623</c:v>
                </c:pt>
                <c:pt idx="12">
                  <c:v>-1174.0198532370114</c:v>
                </c:pt>
                <c:pt idx="13">
                  <c:v>-1174.0198532370114</c:v>
                </c:pt>
                <c:pt idx="14">
                  <c:v>-1398.1353831306012</c:v>
                </c:pt>
                <c:pt idx="15">
                  <c:v>-1398.1353831306012</c:v>
                </c:pt>
                <c:pt idx="16">
                  <c:v>-1398.1353831306012</c:v>
                </c:pt>
                <c:pt idx="17">
                  <c:v>-1398.1353831306012</c:v>
                </c:pt>
                <c:pt idx="18">
                  <c:v>-2020.0052473495612</c:v>
                </c:pt>
                <c:pt idx="19">
                  <c:v>-2020.0052473495612</c:v>
                </c:pt>
                <c:pt idx="20">
                  <c:v>-3372.5310620898508</c:v>
                </c:pt>
                <c:pt idx="21">
                  <c:v>-3803.569706206551</c:v>
                </c:pt>
                <c:pt idx="22">
                  <c:v>-3803.569706206551</c:v>
                </c:pt>
                <c:pt idx="23">
                  <c:v>-3950.7609183103564</c:v>
                </c:pt>
                <c:pt idx="24">
                  <c:v>-3950.7609183103564</c:v>
                </c:pt>
                <c:pt idx="25">
                  <c:v>-3950.7609183103564</c:v>
                </c:pt>
                <c:pt idx="26">
                  <c:v>-3950.7609183103564</c:v>
                </c:pt>
                <c:pt idx="27">
                  <c:v>-4326.5591793546619</c:v>
                </c:pt>
                <c:pt idx="28">
                  <c:v>-4326.5591793546619</c:v>
                </c:pt>
                <c:pt idx="29">
                  <c:v>-4326.5591793546619</c:v>
                </c:pt>
                <c:pt idx="30">
                  <c:v>-4326.5591793546619</c:v>
                </c:pt>
                <c:pt idx="31">
                  <c:v>-4326.5591793546619</c:v>
                </c:pt>
                <c:pt idx="32">
                  <c:v>-4326.5591793546619</c:v>
                </c:pt>
                <c:pt idx="33">
                  <c:v>-4326.5591793546619</c:v>
                </c:pt>
                <c:pt idx="34">
                  <c:v>-4955.1170711799123</c:v>
                </c:pt>
                <c:pt idx="35">
                  <c:v>-5227.2765175270379</c:v>
                </c:pt>
                <c:pt idx="36">
                  <c:v>-5546.0561241966734</c:v>
                </c:pt>
                <c:pt idx="37">
                  <c:v>-6290.0555674055058</c:v>
                </c:pt>
                <c:pt idx="38">
                  <c:v>-6290.0555674055058</c:v>
                </c:pt>
                <c:pt idx="39">
                  <c:v>-6537.9964991443721</c:v>
                </c:pt>
                <c:pt idx="40">
                  <c:v>-6537.9964991443721</c:v>
                </c:pt>
                <c:pt idx="41">
                  <c:v>-6537.9964991443721</c:v>
                </c:pt>
                <c:pt idx="42">
                  <c:v>-6537.9964991443721</c:v>
                </c:pt>
                <c:pt idx="43">
                  <c:v>-6537.9964991443721</c:v>
                </c:pt>
                <c:pt idx="44">
                  <c:v>-6537.9964991443721</c:v>
                </c:pt>
              </c:numCache>
            </c:numRef>
          </c:yVal>
          <c:smooth val="0"/>
          <c:extLst>
            <c:ext xmlns:c16="http://schemas.microsoft.com/office/drawing/2014/chart" uri="{C3380CC4-5D6E-409C-BE32-E72D297353CC}">
              <c16:uniqueId val="{00000002-822D-4BCC-A22B-45511B7610D6}"/>
            </c:ext>
          </c:extLst>
        </c:ser>
        <c:dLbls>
          <c:showLegendKey val="0"/>
          <c:showVal val="0"/>
          <c:showCatName val="0"/>
          <c:showSerName val="0"/>
          <c:showPercent val="0"/>
          <c:showBubbleSize val="0"/>
        </c:dLbls>
        <c:axId val="1859657056"/>
        <c:axId val="1859657888"/>
        <c:extLst/>
      </c:scatterChart>
      <c:valAx>
        <c:axId val="1859657056"/>
        <c:scaling>
          <c:orientation val="minMax"/>
          <c:max val="207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max"/>
        <c:crossBetween val="midCat"/>
      </c:valAx>
      <c:valAx>
        <c:axId val="1859657888"/>
        <c:scaling>
          <c:orientation val="minMax"/>
          <c:min val="-3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Bxl_Outflow!$AS$3</c:f>
              <c:strCache>
                <c:ptCount val="1"/>
                <c:pt idx="0">
                  <c:v>CO2 emissions, min</c:v>
                </c:pt>
              </c:strCache>
            </c:strRef>
          </c:tx>
          <c:spPr>
            <a:ln w="19050" cap="rnd">
              <a:solidFill>
                <a:schemeClr val="accent1"/>
              </a:solidFill>
              <a:round/>
            </a:ln>
            <a:effectLst/>
          </c:spPr>
          <c:marker>
            <c:symbol val="none"/>
          </c:marker>
          <c:xVal>
            <c:numRef>
              <c:f>Bxl_Outflow!$A$80:$A$125</c:f>
              <c:numCache>
                <c:formatCode>General</c:formatCode>
                <c:ptCount val="46"/>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pt idx="28">
                  <c:v>2053</c:v>
                </c:pt>
                <c:pt idx="29">
                  <c:v>2054</c:v>
                </c:pt>
                <c:pt idx="30">
                  <c:v>2055</c:v>
                </c:pt>
                <c:pt idx="31">
                  <c:v>2056</c:v>
                </c:pt>
                <c:pt idx="32">
                  <c:v>2057</c:v>
                </c:pt>
                <c:pt idx="33">
                  <c:v>2058</c:v>
                </c:pt>
                <c:pt idx="34">
                  <c:v>2059</c:v>
                </c:pt>
                <c:pt idx="35">
                  <c:v>2060</c:v>
                </c:pt>
                <c:pt idx="36">
                  <c:v>2061</c:v>
                </c:pt>
                <c:pt idx="37">
                  <c:v>2062</c:v>
                </c:pt>
                <c:pt idx="38">
                  <c:v>2063</c:v>
                </c:pt>
                <c:pt idx="39">
                  <c:v>2064</c:v>
                </c:pt>
                <c:pt idx="40">
                  <c:v>2065</c:v>
                </c:pt>
                <c:pt idx="41">
                  <c:v>2066</c:v>
                </c:pt>
                <c:pt idx="42">
                  <c:v>2067</c:v>
                </c:pt>
                <c:pt idx="43">
                  <c:v>2068</c:v>
                </c:pt>
                <c:pt idx="44">
                  <c:v>2069</c:v>
                </c:pt>
                <c:pt idx="45">
                  <c:v>2070</c:v>
                </c:pt>
              </c:numCache>
            </c:numRef>
          </c:xVal>
          <c:yVal>
            <c:numRef>
              <c:f>Bxl_Outflow!$AS$81:$AS$125</c:f>
              <c:numCache>
                <c:formatCode>#,##0</c:formatCode>
                <c:ptCount val="45"/>
                <c:pt idx="0">
                  <c:v>0</c:v>
                </c:pt>
                <c:pt idx="1">
                  <c:v>0</c:v>
                </c:pt>
                <c:pt idx="2">
                  <c:v>0</c:v>
                </c:pt>
                <c:pt idx="3">
                  <c:v>0</c:v>
                </c:pt>
                <c:pt idx="4">
                  <c:v>0</c:v>
                </c:pt>
                <c:pt idx="5">
                  <c:v>0</c:v>
                </c:pt>
                <c:pt idx="6">
                  <c:v>0</c:v>
                </c:pt>
                <c:pt idx="7">
                  <c:v>0</c:v>
                </c:pt>
                <c:pt idx="8">
                  <c:v>-1.4892767999999998</c:v>
                </c:pt>
                <c:pt idx="9">
                  <c:v>-1.4892767999999998</c:v>
                </c:pt>
                <c:pt idx="10">
                  <c:v>-7.4392464960000062</c:v>
                </c:pt>
                <c:pt idx="11">
                  <c:v>-8.7450960960000046</c:v>
                </c:pt>
                <c:pt idx="12">
                  <c:v>-9.8028912960000056</c:v>
                </c:pt>
                <c:pt idx="13">
                  <c:v>-9.8028912960000056</c:v>
                </c:pt>
                <c:pt idx="14">
                  <c:v>-11.125848095999999</c:v>
                </c:pt>
                <c:pt idx="15">
                  <c:v>-11.125848095999999</c:v>
                </c:pt>
                <c:pt idx="16">
                  <c:v>-11.125848095999999</c:v>
                </c:pt>
                <c:pt idx="17">
                  <c:v>-11.125848095999999</c:v>
                </c:pt>
                <c:pt idx="18">
                  <c:v>-14.580290735999995</c:v>
                </c:pt>
                <c:pt idx="19">
                  <c:v>-14.580290735999995</c:v>
                </c:pt>
                <c:pt idx="20">
                  <c:v>-22.046532486000004</c:v>
                </c:pt>
                <c:pt idx="21">
                  <c:v>-24.422532486000009</c:v>
                </c:pt>
                <c:pt idx="22">
                  <c:v>-24.422532486000009</c:v>
                </c:pt>
                <c:pt idx="23">
                  <c:v>-25.232748486000006</c:v>
                </c:pt>
                <c:pt idx="24">
                  <c:v>-25.232748486000006</c:v>
                </c:pt>
                <c:pt idx="25">
                  <c:v>-25.232748486000006</c:v>
                </c:pt>
                <c:pt idx="26">
                  <c:v>-25.232748486000006</c:v>
                </c:pt>
                <c:pt idx="27">
                  <c:v>-27.299868486000008</c:v>
                </c:pt>
                <c:pt idx="28">
                  <c:v>-27.299868486000008</c:v>
                </c:pt>
                <c:pt idx="29">
                  <c:v>-27.299868486000008</c:v>
                </c:pt>
                <c:pt idx="30">
                  <c:v>-27.299868486000008</c:v>
                </c:pt>
                <c:pt idx="31">
                  <c:v>-27.299868486000008</c:v>
                </c:pt>
                <c:pt idx="32">
                  <c:v>-27.299868486000008</c:v>
                </c:pt>
                <c:pt idx="33">
                  <c:v>-27.299868486000008</c:v>
                </c:pt>
                <c:pt idx="34">
                  <c:v>-30.756948485999999</c:v>
                </c:pt>
                <c:pt idx="35">
                  <c:v>-32.253828486000003</c:v>
                </c:pt>
                <c:pt idx="36">
                  <c:v>-34.00711848600001</c:v>
                </c:pt>
                <c:pt idx="37">
                  <c:v>-38.099118486000009</c:v>
                </c:pt>
                <c:pt idx="38">
                  <c:v>-38.099118486000009</c:v>
                </c:pt>
                <c:pt idx="39">
                  <c:v>-39.462793986000008</c:v>
                </c:pt>
                <c:pt idx="40">
                  <c:v>-39.462793986000008</c:v>
                </c:pt>
                <c:pt idx="41">
                  <c:v>-39.462793986000008</c:v>
                </c:pt>
                <c:pt idx="42">
                  <c:v>-39.462793986000008</c:v>
                </c:pt>
                <c:pt idx="43">
                  <c:v>-39.462793986000008</c:v>
                </c:pt>
                <c:pt idx="44">
                  <c:v>-39.462793986000008</c:v>
                </c:pt>
              </c:numCache>
            </c:numRef>
          </c:yVal>
          <c:smooth val="0"/>
          <c:extLst>
            <c:ext xmlns:c16="http://schemas.microsoft.com/office/drawing/2014/chart" uri="{C3380CC4-5D6E-409C-BE32-E72D297353CC}">
              <c16:uniqueId val="{00000000-05E5-436D-A37F-0EECB349AE97}"/>
            </c:ext>
          </c:extLst>
        </c:ser>
        <c:ser>
          <c:idx val="1"/>
          <c:order val="1"/>
          <c:tx>
            <c:strRef>
              <c:f>Bxl_Outflow!$AT$3</c:f>
              <c:strCache>
                <c:ptCount val="1"/>
                <c:pt idx="0">
                  <c:v>CO2 emissions, average</c:v>
                </c:pt>
              </c:strCache>
            </c:strRef>
          </c:tx>
          <c:spPr>
            <a:ln w="19050" cap="rnd">
              <a:solidFill>
                <a:schemeClr val="accent2"/>
              </a:solidFill>
              <a:round/>
            </a:ln>
            <a:effectLst/>
          </c:spPr>
          <c:marker>
            <c:symbol val="none"/>
          </c:marker>
          <c:xVal>
            <c:numRef>
              <c:f>Bxl_Outflow!$A$81:$A$125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Bxl_Outflow!$AT$81:$AT$125</c:f>
              <c:numCache>
                <c:formatCode>#,##0</c:formatCode>
                <c:ptCount val="45"/>
                <c:pt idx="0">
                  <c:v>0</c:v>
                </c:pt>
                <c:pt idx="1">
                  <c:v>0</c:v>
                </c:pt>
                <c:pt idx="2">
                  <c:v>0</c:v>
                </c:pt>
                <c:pt idx="3">
                  <c:v>0</c:v>
                </c:pt>
                <c:pt idx="4">
                  <c:v>0</c:v>
                </c:pt>
                <c:pt idx="5">
                  <c:v>0</c:v>
                </c:pt>
                <c:pt idx="6">
                  <c:v>0</c:v>
                </c:pt>
                <c:pt idx="7">
                  <c:v>0</c:v>
                </c:pt>
                <c:pt idx="8">
                  <c:v>-11.916691532354783</c:v>
                </c:pt>
                <c:pt idx="9">
                  <c:v>-11.916691532354783</c:v>
                </c:pt>
                <c:pt idx="10">
                  <c:v>-86.551869242833575</c:v>
                </c:pt>
                <c:pt idx="11">
                  <c:v>-105.56218436156396</c:v>
                </c:pt>
                <c:pt idx="12">
                  <c:v>-122.6585774468613</c:v>
                </c:pt>
                <c:pt idx="13">
                  <c:v>-122.6585774468613</c:v>
                </c:pt>
                <c:pt idx="14">
                  <c:v>-146.65520150146813</c:v>
                </c:pt>
                <c:pt idx="15">
                  <c:v>-146.65520150146813</c:v>
                </c:pt>
                <c:pt idx="16">
                  <c:v>-146.65520150146813</c:v>
                </c:pt>
                <c:pt idx="17">
                  <c:v>-146.65520150146813</c:v>
                </c:pt>
                <c:pt idx="18">
                  <c:v>-213.46998331295029</c:v>
                </c:pt>
                <c:pt idx="19">
                  <c:v>-213.46998331295029</c:v>
                </c:pt>
                <c:pt idx="20">
                  <c:v>-358.83750106684977</c:v>
                </c:pt>
                <c:pt idx="21">
                  <c:v>-405.16854740007591</c:v>
                </c:pt>
                <c:pt idx="22">
                  <c:v>-405.16854740007591</c:v>
                </c:pt>
                <c:pt idx="23">
                  <c:v>-420.99089810517387</c:v>
                </c:pt>
                <c:pt idx="24">
                  <c:v>-420.99089810517387</c:v>
                </c:pt>
                <c:pt idx="25">
                  <c:v>-420.99089810517387</c:v>
                </c:pt>
                <c:pt idx="26">
                  <c:v>-420.99089810517387</c:v>
                </c:pt>
                <c:pt idx="27">
                  <c:v>-461.38896769019516</c:v>
                </c:pt>
                <c:pt idx="28">
                  <c:v>-461.38896769019516</c:v>
                </c:pt>
                <c:pt idx="29">
                  <c:v>-461.38896769019516</c:v>
                </c:pt>
                <c:pt idx="30">
                  <c:v>-461.38896769019516</c:v>
                </c:pt>
                <c:pt idx="31">
                  <c:v>-461.38896769019516</c:v>
                </c:pt>
                <c:pt idx="32">
                  <c:v>-461.38896769019516</c:v>
                </c:pt>
                <c:pt idx="33">
                  <c:v>-461.38896769019516</c:v>
                </c:pt>
                <c:pt idx="34">
                  <c:v>-528.95892876372352</c:v>
                </c:pt>
                <c:pt idx="35">
                  <c:v>-558.21606601639769</c:v>
                </c:pt>
                <c:pt idx="36">
                  <c:v>-592.48487143895647</c:v>
                </c:pt>
                <c:pt idx="37">
                  <c:v>-672.4648083359574</c:v>
                </c:pt>
                <c:pt idx="38">
                  <c:v>-672.4648083359574</c:v>
                </c:pt>
                <c:pt idx="39">
                  <c:v>-699.11845809969554</c:v>
                </c:pt>
                <c:pt idx="40">
                  <c:v>-699.11845809969554</c:v>
                </c:pt>
                <c:pt idx="41">
                  <c:v>-699.11845809969554</c:v>
                </c:pt>
                <c:pt idx="42">
                  <c:v>-699.11845809969554</c:v>
                </c:pt>
                <c:pt idx="43">
                  <c:v>-699.11845809969554</c:v>
                </c:pt>
                <c:pt idx="44">
                  <c:v>-699.11845809969554</c:v>
                </c:pt>
              </c:numCache>
            </c:numRef>
          </c:yVal>
          <c:smooth val="0"/>
          <c:extLst>
            <c:ext xmlns:c16="http://schemas.microsoft.com/office/drawing/2014/chart" uri="{C3380CC4-5D6E-409C-BE32-E72D297353CC}">
              <c16:uniqueId val="{00000001-05E5-436D-A37F-0EECB349AE97}"/>
            </c:ext>
          </c:extLst>
        </c:ser>
        <c:ser>
          <c:idx val="2"/>
          <c:order val="2"/>
          <c:tx>
            <c:strRef>
              <c:f>Bxl_Outflow!$AU$3</c:f>
              <c:strCache>
                <c:ptCount val="1"/>
                <c:pt idx="0">
                  <c:v>CO2 emissions, max</c:v>
                </c:pt>
              </c:strCache>
            </c:strRef>
          </c:tx>
          <c:spPr>
            <a:ln w="19050" cap="rnd">
              <a:solidFill>
                <a:schemeClr val="accent3"/>
              </a:solidFill>
              <a:round/>
            </a:ln>
            <a:effectLst/>
          </c:spPr>
          <c:marker>
            <c:symbol val="none"/>
          </c:marker>
          <c:xVal>
            <c:numRef>
              <c:f>Bxl_Outflow!$A$81:$A$125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Bxl_Outflow!$AU$81:$AU$125</c:f>
              <c:numCache>
                <c:formatCode>#,##0</c:formatCode>
                <c:ptCount val="45"/>
                <c:pt idx="0">
                  <c:v>0</c:v>
                </c:pt>
                <c:pt idx="1">
                  <c:v>0</c:v>
                </c:pt>
                <c:pt idx="2">
                  <c:v>0</c:v>
                </c:pt>
                <c:pt idx="3">
                  <c:v>0</c:v>
                </c:pt>
                <c:pt idx="4">
                  <c:v>0</c:v>
                </c:pt>
                <c:pt idx="5">
                  <c:v>0</c:v>
                </c:pt>
                <c:pt idx="6">
                  <c:v>0</c:v>
                </c:pt>
                <c:pt idx="7">
                  <c:v>0</c:v>
                </c:pt>
                <c:pt idx="8">
                  <c:v>-24.950959947798253</c:v>
                </c:pt>
                <c:pt idx="9">
                  <c:v>-24.950959947798253</c:v>
                </c:pt>
                <c:pt idx="10">
                  <c:v>-185.44264767637549</c:v>
                </c:pt>
                <c:pt idx="11">
                  <c:v>-226.58354469351889</c:v>
                </c:pt>
                <c:pt idx="12">
                  <c:v>-263.72818513543791</c:v>
                </c:pt>
                <c:pt idx="13">
                  <c:v>-263.72818513543791</c:v>
                </c:pt>
                <c:pt idx="14">
                  <c:v>-316.06689325830331</c:v>
                </c:pt>
                <c:pt idx="15">
                  <c:v>-316.06689325830331</c:v>
                </c:pt>
                <c:pt idx="16">
                  <c:v>-316.06689325830331</c:v>
                </c:pt>
                <c:pt idx="17">
                  <c:v>-316.06689325830331</c:v>
                </c:pt>
                <c:pt idx="18">
                  <c:v>-462.08209903413808</c:v>
                </c:pt>
                <c:pt idx="19">
                  <c:v>-462.08209903413808</c:v>
                </c:pt>
                <c:pt idx="20">
                  <c:v>-779.82621179291198</c:v>
                </c:pt>
                <c:pt idx="21">
                  <c:v>-881.10106604267048</c:v>
                </c:pt>
                <c:pt idx="22">
                  <c:v>-881.10106604267048</c:v>
                </c:pt>
                <c:pt idx="23">
                  <c:v>-915.68858512914085</c:v>
                </c:pt>
                <c:pt idx="24">
                  <c:v>-915.68858512914085</c:v>
                </c:pt>
                <c:pt idx="25">
                  <c:v>-915.68858512914085</c:v>
                </c:pt>
                <c:pt idx="26">
                  <c:v>-915.68858512914085</c:v>
                </c:pt>
                <c:pt idx="27">
                  <c:v>-1004.0003416954388</c:v>
                </c:pt>
                <c:pt idx="28">
                  <c:v>-1004.0003416954388</c:v>
                </c:pt>
                <c:pt idx="29">
                  <c:v>-1004.0003416954388</c:v>
                </c:pt>
                <c:pt idx="30">
                  <c:v>-1004.0003416954388</c:v>
                </c:pt>
                <c:pt idx="31">
                  <c:v>-1004.0003416954388</c:v>
                </c:pt>
                <c:pt idx="32">
                  <c:v>-1004.0003416954388</c:v>
                </c:pt>
                <c:pt idx="33">
                  <c:v>-1004.0003416954388</c:v>
                </c:pt>
                <c:pt idx="34">
                  <c:v>-1151.7114041108775</c:v>
                </c:pt>
                <c:pt idx="35">
                  <c:v>-1215.6688629293947</c:v>
                </c:pt>
                <c:pt idx="36">
                  <c:v>-1290.5820626301518</c:v>
                </c:pt>
                <c:pt idx="37">
                  <c:v>-1465.421920648404</c:v>
                </c:pt>
                <c:pt idx="38">
                  <c:v>-1465.421920648404</c:v>
                </c:pt>
                <c:pt idx="39">
                  <c:v>-1523.6880382418149</c:v>
                </c:pt>
                <c:pt idx="40">
                  <c:v>-1523.6880382418149</c:v>
                </c:pt>
                <c:pt idx="41">
                  <c:v>-1523.6880382418149</c:v>
                </c:pt>
                <c:pt idx="42">
                  <c:v>-1523.6880382418149</c:v>
                </c:pt>
                <c:pt idx="43">
                  <c:v>-1523.6880382418149</c:v>
                </c:pt>
                <c:pt idx="44">
                  <c:v>-1523.6880382418149</c:v>
                </c:pt>
              </c:numCache>
            </c:numRef>
          </c:yVal>
          <c:smooth val="0"/>
          <c:extLst>
            <c:ext xmlns:c16="http://schemas.microsoft.com/office/drawing/2014/chart" uri="{C3380CC4-5D6E-409C-BE32-E72D297353CC}">
              <c16:uniqueId val="{00000002-05E5-436D-A37F-0EECB349AE97}"/>
            </c:ext>
          </c:extLst>
        </c:ser>
        <c:dLbls>
          <c:showLegendKey val="0"/>
          <c:showVal val="0"/>
          <c:showCatName val="0"/>
          <c:showSerName val="0"/>
          <c:showPercent val="0"/>
          <c:showBubbleSize val="0"/>
        </c:dLbls>
        <c:axId val="1859657056"/>
        <c:axId val="1859657888"/>
        <c:extLst/>
      </c:scatterChart>
      <c:valAx>
        <c:axId val="1859657056"/>
        <c:scaling>
          <c:orientation val="minMax"/>
          <c:max val="207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max"/>
        <c:crossBetween val="midCat"/>
      </c:valAx>
      <c:valAx>
        <c:axId val="1859657888"/>
        <c:scaling>
          <c:orientation val="minMax"/>
          <c:min val="-6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Bxl_Outflow!$AW$3</c:f>
              <c:strCache>
                <c:ptCount val="1"/>
                <c:pt idx="0">
                  <c:v>CO2 emissions, min</c:v>
                </c:pt>
              </c:strCache>
            </c:strRef>
          </c:tx>
          <c:spPr>
            <a:ln w="19050" cap="rnd">
              <a:solidFill>
                <a:schemeClr val="accent1"/>
              </a:solidFill>
              <a:round/>
            </a:ln>
            <a:effectLst/>
          </c:spPr>
          <c:marker>
            <c:symbol val="none"/>
          </c:marker>
          <c:xVal>
            <c:numRef>
              <c:f>Bxl_Outflow!$A$80:$A$125</c:f>
              <c:numCache>
                <c:formatCode>General</c:formatCode>
                <c:ptCount val="46"/>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pt idx="28">
                  <c:v>2053</c:v>
                </c:pt>
                <c:pt idx="29">
                  <c:v>2054</c:v>
                </c:pt>
                <c:pt idx="30">
                  <c:v>2055</c:v>
                </c:pt>
                <c:pt idx="31">
                  <c:v>2056</c:v>
                </c:pt>
                <c:pt idx="32">
                  <c:v>2057</c:v>
                </c:pt>
                <c:pt idx="33">
                  <c:v>2058</c:v>
                </c:pt>
                <c:pt idx="34">
                  <c:v>2059</c:v>
                </c:pt>
                <c:pt idx="35">
                  <c:v>2060</c:v>
                </c:pt>
                <c:pt idx="36">
                  <c:v>2061</c:v>
                </c:pt>
                <c:pt idx="37">
                  <c:v>2062</c:v>
                </c:pt>
                <c:pt idx="38">
                  <c:v>2063</c:v>
                </c:pt>
                <c:pt idx="39">
                  <c:v>2064</c:v>
                </c:pt>
                <c:pt idx="40">
                  <c:v>2065</c:v>
                </c:pt>
                <c:pt idx="41">
                  <c:v>2066</c:v>
                </c:pt>
                <c:pt idx="42">
                  <c:v>2067</c:v>
                </c:pt>
                <c:pt idx="43">
                  <c:v>2068</c:v>
                </c:pt>
                <c:pt idx="44">
                  <c:v>2069</c:v>
                </c:pt>
                <c:pt idx="45">
                  <c:v>2070</c:v>
                </c:pt>
              </c:numCache>
            </c:numRef>
          </c:xVal>
          <c:yVal>
            <c:numRef>
              <c:f>Bxl_Outflow!$AW$81:$AW$125</c:f>
              <c:numCache>
                <c:formatCode>#,##0</c:formatCode>
                <c:ptCount val="45"/>
                <c:pt idx="0">
                  <c:v>0</c:v>
                </c:pt>
                <c:pt idx="1">
                  <c:v>0</c:v>
                </c:pt>
                <c:pt idx="2">
                  <c:v>0</c:v>
                </c:pt>
                <c:pt idx="3">
                  <c:v>0</c:v>
                </c:pt>
                <c:pt idx="4">
                  <c:v>0</c:v>
                </c:pt>
                <c:pt idx="5">
                  <c:v>0</c:v>
                </c:pt>
                <c:pt idx="6">
                  <c:v>0</c:v>
                </c:pt>
                <c:pt idx="7">
                  <c:v>0</c:v>
                </c:pt>
                <c:pt idx="8">
                  <c:v>-1.0831103999999998</c:v>
                </c:pt>
                <c:pt idx="9">
                  <c:v>-1.0831103999999998</c:v>
                </c:pt>
                <c:pt idx="10">
                  <c:v>-5.4103610880000055</c:v>
                </c:pt>
                <c:pt idx="11">
                  <c:v>-6.3600698880000053</c:v>
                </c:pt>
                <c:pt idx="12">
                  <c:v>-7.129375488000008</c:v>
                </c:pt>
                <c:pt idx="13">
                  <c:v>-7.129375488000008</c:v>
                </c:pt>
                <c:pt idx="14">
                  <c:v>-8.0915258880000067</c:v>
                </c:pt>
                <c:pt idx="15">
                  <c:v>-8.0915258880000067</c:v>
                </c:pt>
                <c:pt idx="16">
                  <c:v>-8.0915258880000067</c:v>
                </c:pt>
                <c:pt idx="17">
                  <c:v>-8.0915258880000067</c:v>
                </c:pt>
                <c:pt idx="18">
                  <c:v>-10.603847808000005</c:v>
                </c:pt>
                <c:pt idx="19">
                  <c:v>-10.603847808000005</c:v>
                </c:pt>
                <c:pt idx="20">
                  <c:v>-16.03384180800002</c:v>
                </c:pt>
                <c:pt idx="21">
                  <c:v>-17.761841808000014</c:v>
                </c:pt>
                <c:pt idx="22">
                  <c:v>-17.761841808000014</c:v>
                </c:pt>
                <c:pt idx="23">
                  <c:v>-18.351089808000012</c:v>
                </c:pt>
                <c:pt idx="24">
                  <c:v>-18.351089808000012</c:v>
                </c:pt>
                <c:pt idx="25">
                  <c:v>-18.351089808000012</c:v>
                </c:pt>
                <c:pt idx="26">
                  <c:v>-18.351089808000012</c:v>
                </c:pt>
                <c:pt idx="27">
                  <c:v>-19.854449808000012</c:v>
                </c:pt>
                <c:pt idx="28">
                  <c:v>-19.854449808000012</c:v>
                </c:pt>
                <c:pt idx="29">
                  <c:v>-19.854449808000012</c:v>
                </c:pt>
                <c:pt idx="30">
                  <c:v>-19.854449808000012</c:v>
                </c:pt>
                <c:pt idx="31">
                  <c:v>-19.854449808000012</c:v>
                </c:pt>
                <c:pt idx="32">
                  <c:v>-19.854449808000012</c:v>
                </c:pt>
                <c:pt idx="33">
                  <c:v>-19.854449808000012</c:v>
                </c:pt>
                <c:pt idx="34">
                  <c:v>-22.368689807999999</c:v>
                </c:pt>
                <c:pt idx="35">
                  <c:v>-23.457329807999997</c:v>
                </c:pt>
                <c:pt idx="36">
                  <c:v>-24.732449808000013</c:v>
                </c:pt>
                <c:pt idx="37">
                  <c:v>-27.708449808000012</c:v>
                </c:pt>
                <c:pt idx="38">
                  <c:v>-27.708449808000012</c:v>
                </c:pt>
                <c:pt idx="39">
                  <c:v>-28.700213808000001</c:v>
                </c:pt>
                <c:pt idx="40">
                  <c:v>-28.700213808000001</c:v>
                </c:pt>
                <c:pt idx="41">
                  <c:v>-28.700213808000001</c:v>
                </c:pt>
                <c:pt idx="42">
                  <c:v>-28.700213808000001</c:v>
                </c:pt>
                <c:pt idx="43">
                  <c:v>-28.700213808000001</c:v>
                </c:pt>
                <c:pt idx="44">
                  <c:v>-28.700213808000001</c:v>
                </c:pt>
              </c:numCache>
            </c:numRef>
          </c:yVal>
          <c:smooth val="0"/>
          <c:extLst>
            <c:ext xmlns:c16="http://schemas.microsoft.com/office/drawing/2014/chart" uri="{C3380CC4-5D6E-409C-BE32-E72D297353CC}">
              <c16:uniqueId val="{00000000-9D27-4060-A487-995D00A07BD9}"/>
            </c:ext>
          </c:extLst>
        </c:ser>
        <c:ser>
          <c:idx val="1"/>
          <c:order val="1"/>
          <c:tx>
            <c:strRef>
              <c:f>Bxl_Outflow!$AX$3</c:f>
              <c:strCache>
                <c:ptCount val="1"/>
                <c:pt idx="0">
                  <c:v>CO2 emissions, average</c:v>
                </c:pt>
              </c:strCache>
            </c:strRef>
          </c:tx>
          <c:spPr>
            <a:ln w="19050" cap="rnd">
              <a:solidFill>
                <a:schemeClr val="accent2"/>
              </a:solidFill>
              <a:round/>
            </a:ln>
            <a:effectLst/>
          </c:spPr>
          <c:marker>
            <c:symbol val="none"/>
          </c:marker>
          <c:xVal>
            <c:numRef>
              <c:f>Bxl_Outflow!$A$81:$A$125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Bxl_Outflow!$AX$81:$AX$125</c:f>
              <c:numCache>
                <c:formatCode>#,##0</c:formatCode>
                <c:ptCount val="45"/>
                <c:pt idx="0">
                  <c:v>0</c:v>
                </c:pt>
                <c:pt idx="1">
                  <c:v>0</c:v>
                </c:pt>
                <c:pt idx="2">
                  <c:v>0</c:v>
                </c:pt>
                <c:pt idx="3">
                  <c:v>0</c:v>
                </c:pt>
                <c:pt idx="4">
                  <c:v>0</c:v>
                </c:pt>
                <c:pt idx="5">
                  <c:v>0</c:v>
                </c:pt>
                <c:pt idx="6">
                  <c:v>0</c:v>
                </c:pt>
                <c:pt idx="7">
                  <c:v>0</c:v>
                </c:pt>
                <c:pt idx="8">
                  <c:v>-10.897147795157444</c:v>
                </c:pt>
                <c:pt idx="9">
                  <c:v>-10.897147795157444</c:v>
                </c:pt>
                <c:pt idx="10">
                  <c:v>-79.869300143843361</c:v>
                </c:pt>
                <c:pt idx="11">
                  <c:v>-97.482035314413139</c:v>
                </c:pt>
                <c:pt idx="12">
                  <c:v>-113.34649186528122</c:v>
                </c:pt>
                <c:pt idx="13">
                  <c:v>-113.34649186528122</c:v>
                </c:pt>
                <c:pt idx="14">
                  <c:v>-135.64856438726414</c:v>
                </c:pt>
                <c:pt idx="15">
                  <c:v>-135.64856438726414</c:v>
                </c:pt>
                <c:pt idx="16">
                  <c:v>-135.64856438726414</c:v>
                </c:pt>
                <c:pt idx="17">
                  <c:v>-135.64856438726414</c:v>
                </c:pt>
                <c:pt idx="18">
                  <c:v>-197.79414670395323</c:v>
                </c:pt>
                <c:pt idx="19">
                  <c:v>-197.79414670395323</c:v>
                </c:pt>
                <c:pt idx="20">
                  <c:v>-333.01357694291744</c:v>
                </c:pt>
                <c:pt idx="21">
                  <c:v>-376.11103231536555</c:v>
                </c:pt>
                <c:pt idx="22">
                  <c:v>-376.11103231536555</c:v>
                </c:pt>
                <c:pt idx="23">
                  <c:v>-390.82934827310481</c:v>
                </c:pt>
                <c:pt idx="24">
                  <c:v>-390.82934827310481</c:v>
                </c:pt>
                <c:pt idx="25">
                  <c:v>-390.82934827310481</c:v>
                </c:pt>
                <c:pt idx="26">
                  <c:v>-390.82934827310481</c:v>
                </c:pt>
                <c:pt idx="27">
                  <c:v>-428.40889611783075</c:v>
                </c:pt>
                <c:pt idx="28">
                  <c:v>-428.40889611783075</c:v>
                </c:pt>
                <c:pt idx="29">
                  <c:v>-428.40889611783075</c:v>
                </c:pt>
                <c:pt idx="30">
                  <c:v>-428.40889611783075</c:v>
                </c:pt>
                <c:pt idx="31">
                  <c:v>-428.40889611783075</c:v>
                </c:pt>
                <c:pt idx="32">
                  <c:v>-428.40889611783075</c:v>
                </c:pt>
                <c:pt idx="33">
                  <c:v>-428.40889611783075</c:v>
                </c:pt>
                <c:pt idx="34">
                  <c:v>-491.26467124585747</c:v>
                </c:pt>
                <c:pt idx="35">
                  <c:v>-518.48061218955081</c:v>
                </c:pt>
                <c:pt idx="36">
                  <c:v>-550.35857023431197</c:v>
                </c:pt>
                <c:pt idx="37">
                  <c:v>-624.75851084325404</c:v>
                </c:pt>
                <c:pt idx="38">
                  <c:v>-624.75851084325404</c:v>
                </c:pt>
                <c:pt idx="39">
                  <c:v>-649.55260356206645</c:v>
                </c:pt>
                <c:pt idx="40">
                  <c:v>-649.55260356206645</c:v>
                </c:pt>
                <c:pt idx="41">
                  <c:v>-649.55260356206645</c:v>
                </c:pt>
                <c:pt idx="42">
                  <c:v>-649.55260356206645</c:v>
                </c:pt>
                <c:pt idx="43">
                  <c:v>-649.55260356206645</c:v>
                </c:pt>
                <c:pt idx="44">
                  <c:v>-649.55260356206645</c:v>
                </c:pt>
              </c:numCache>
            </c:numRef>
          </c:yVal>
          <c:smooth val="0"/>
          <c:extLst>
            <c:ext xmlns:c16="http://schemas.microsoft.com/office/drawing/2014/chart" uri="{C3380CC4-5D6E-409C-BE32-E72D297353CC}">
              <c16:uniqueId val="{00000001-9D27-4060-A487-995D00A07BD9}"/>
            </c:ext>
          </c:extLst>
        </c:ser>
        <c:ser>
          <c:idx val="2"/>
          <c:order val="2"/>
          <c:tx>
            <c:strRef>
              <c:f>Bxl_Outflow!$AY$3</c:f>
              <c:strCache>
                <c:ptCount val="1"/>
                <c:pt idx="0">
                  <c:v>CO2 emissions, max</c:v>
                </c:pt>
              </c:strCache>
            </c:strRef>
          </c:tx>
          <c:spPr>
            <a:ln w="19050" cap="rnd">
              <a:solidFill>
                <a:schemeClr val="accent3"/>
              </a:solidFill>
              <a:round/>
            </a:ln>
            <a:effectLst/>
          </c:spPr>
          <c:marker>
            <c:symbol val="none"/>
          </c:marker>
          <c:xVal>
            <c:numRef>
              <c:f>Bxl_Outflow!$A$81:$A$125</c:f>
              <c:numCache>
                <c:formatCode>General</c:formatCode>
                <c:ptCount val="45"/>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pt idx="41">
                  <c:v>2067</c:v>
                </c:pt>
                <c:pt idx="42">
                  <c:v>2068</c:v>
                </c:pt>
                <c:pt idx="43">
                  <c:v>2069</c:v>
                </c:pt>
                <c:pt idx="44">
                  <c:v>2070</c:v>
                </c:pt>
              </c:numCache>
            </c:numRef>
          </c:xVal>
          <c:yVal>
            <c:numRef>
              <c:f>Bxl_Outflow!$AY$81:$AY$125</c:f>
              <c:numCache>
                <c:formatCode>#,##0</c:formatCode>
                <c:ptCount val="45"/>
                <c:pt idx="0">
                  <c:v>0</c:v>
                </c:pt>
                <c:pt idx="1">
                  <c:v>0</c:v>
                </c:pt>
                <c:pt idx="2">
                  <c:v>0</c:v>
                </c:pt>
                <c:pt idx="3">
                  <c:v>0</c:v>
                </c:pt>
                <c:pt idx="4">
                  <c:v>0</c:v>
                </c:pt>
                <c:pt idx="5">
                  <c:v>0</c:v>
                </c:pt>
                <c:pt idx="6">
                  <c:v>0</c:v>
                </c:pt>
                <c:pt idx="7">
                  <c:v>0</c:v>
                </c:pt>
                <c:pt idx="8">
                  <c:v>-23.164694539104239</c:v>
                </c:pt>
                <c:pt idx="9">
                  <c:v>-23.164694539104239</c:v>
                </c:pt>
                <c:pt idx="10">
                  <c:v>-172.94297396364752</c:v>
                </c:pt>
                <c:pt idx="11">
                  <c:v>-211.38449209742953</c:v>
                </c:pt>
                <c:pt idx="12">
                  <c:v>-246.11788733688275</c:v>
                </c:pt>
                <c:pt idx="13">
                  <c:v>-246.11788733688275</c:v>
                </c:pt>
                <c:pt idx="14">
                  <c:v>-295.09486251134427</c:v>
                </c:pt>
                <c:pt idx="15">
                  <c:v>-295.09486251134427</c:v>
                </c:pt>
                <c:pt idx="16">
                  <c:v>-295.09486251134427</c:v>
                </c:pt>
                <c:pt idx="17">
                  <c:v>-295.09486251134427</c:v>
                </c:pt>
                <c:pt idx="18">
                  <c:v>-431.7820203238947</c:v>
                </c:pt>
                <c:pt idx="19">
                  <c:v>-431.7820203238947</c:v>
                </c:pt>
                <c:pt idx="20">
                  <c:v>-729.23824586156422</c:v>
                </c:pt>
                <c:pt idx="21">
                  <c:v>-824.04752044957218</c:v>
                </c:pt>
                <c:pt idx="22">
                  <c:v>-824.04752044957218</c:v>
                </c:pt>
                <c:pt idx="23">
                  <c:v>-856.42717135448549</c:v>
                </c:pt>
                <c:pt idx="24">
                  <c:v>-856.42717135448549</c:v>
                </c:pt>
                <c:pt idx="25">
                  <c:v>-856.42717135448549</c:v>
                </c:pt>
                <c:pt idx="26">
                  <c:v>-856.42717135448549</c:v>
                </c:pt>
                <c:pt idx="27">
                  <c:v>-939.10195400511884</c:v>
                </c:pt>
                <c:pt idx="28">
                  <c:v>-939.10195400511884</c:v>
                </c:pt>
                <c:pt idx="29">
                  <c:v>-939.10195400511884</c:v>
                </c:pt>
                <c:pt idx="30">
                  <c:v>-939.10195400511884</c:v>
                </c:pt>
                <c:pt idx="31">
                  <c:v>-939.10195400511884</c:v>
                </c:pt>
                <c:pt idx="32">
                  <c:v>-939.10195400511884</c:v>
                </c:pt>
                <c:pt idx="33">
                  <c:v>-939.10195400511884</c:v>
                </c:pt>
                <c:pt idx="34">
                  <c:v>-1077.3846480431789</c:v>
                </c:pt>
                <c:pt idx="35">
                  <c:v>-1137.2597151664891</c:v>
                </c:pt>
                <c:pt idx="36">
                  <c:v>-1207.3912207672015</c:v>
                </c:pt>
                <c:pt idx="37">
                  <c:v>-1371.0710871373215</c:v>
                </c:pt>
                <c:pt idx="38">
                  <c:v>-1371.0710871373215</c:v>
                </c:pt>
                <c:pt idx="39">
                  <c:v>-1425.6180907546493</c:v>
                </c:pt>
                <c:pt idx="40">
                  <c:v>-1425.6180907546493</c:v>
                </c:pt>
                <c:pt idx="41">
                  <c:v>-1425.6180907546493</c:v>
                </c:pt>
                <c:pt idx="42">
                  <c:v>-1425.6180907546493</c:v>
                </c:pt>
                <c:pt idx="43">
                  <c:v>-1425.6180907546493</c:v>
                </c:pt>
                <c:pt idx="44">
                  <c:v>-1425.6180907546493</c:v>
                </c:pt>
              </c:numCache>
            </c:numRef>
          </c:yVal>
          <c:smooth val="0"/>
          <c:extLst>
            <c:ext xmlns:c16="http://schemas.microsoft.com/office/drawing/2014/chart" uri="{C3380CC4-5D6E-409C-BE32-E72D297353CC}">
              <c16:uniqueId val="{00000002-9D27-4060-A487-995D00A07BD9}"/>
            </c:ext>
          </c:extLst>
        </c:ser>
        <c:dLbls>
          <c:showLegendKey val="0"/>
          <c:showVal val="0"/>
          <c:showCatName val="0"/>
          <c:showSerName val="0"/>
          <c:showPercent val="0"/>
          <c:showBubbleSize val="0"/>
        </c:dLbls>
        <c:axId val="1859657056"/>
        <c:axId val="1859657888"/>
        <c:extLst/>
      </c:scatterChart>
      <c:valAx>
        <c:axId val="1859657056"/>
        <c:scaling>
          <c:orientation val="minMax"/>
          <c:max val="207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max"/>
        <c:crossBetween val="midCat"/>
      </c:valAx>
      <c:valAx>
        <c:axId val="1859657888"/>
        <c:scaling>
          <c:orientation val="minMax"/>
          <c:min val="-6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Bxl_Inflow!$S$3</c:f>
              <c:strCache>
                <c:ptCount val="1"/>
                <c:pt idx="0">
                  <c:v>raw materials</c:v>
                </c:pt>
              </c:strCache>
            </c:strRef>
          </c:tx>
          <c:spPr>
            <a:ln w="19050" cap="rnd">
              <a:solidFill>
                <a:schemeClr val="accent1"/>
              </a:solidFill>
              <a:round/>
            </a:ln>
            <a:effectLst/>
          </c:spPr>
          <c:marker>
            <c:symbol val="none"/>
          </c:marker>
          <c:xVal>
            <c:numRef>
              <c:f>Bxl_Inflow!$A$5:$A$125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Bxl_Inflow!$S$5:$S$80</c:f>
              <c:numCache>
                <c:formatCode>#,##0</c:formatCode>
                <c:ptCount val="76"/>
                <c:pt idx="0">
                  <c:v>0</c:v>
                </c:pt>
                <c:pt idx="1">
                  <c:v>0</c:v>
                </c:pt>
                <c:pt idx="2">
                  <c:v>0</c:v>
                </c:pt>
                <c:pt idx="3">
                  <c:v>0</c:v>
                </c:pt>
                <c:pt idx="4">
                  <c:v>0</c:v>
                </c:pt>
                <c:pt idx="5">
                  <c:v>0</c:v>
                </c:pt>
                <c:pt idx="6">
                  <c:v>0</c:v>
                </c:pt>
                <c:pt idx="7">
                  <c:v>0</c:v>
                </c:pt>
                <c:pt idx="8">
                  <c:v>0</c:v>
                </c:pt>
                <c:pt idx="9">
                  <c:v>0</c:v>
                </c:pt>
                <c:pt idx="10">
                  <c:v>0</c:v>
                </c:pt>
                <c:pt idx="11">
                  <c:v>1052.2169345222517</c:v>
                </c:pt>
                <c:pt idx="12">
                  <c:v>1052.2169345222517</c:v>
                </c:pt>
                <c:pt idx="13">
                  <c:v>1052.2169345222517</c:v>
                </c:pt>
                <c:pt idx="14">
                  <c:v>1052.2169345222517</c:v>
                </c:pt>
                <c:pt idx="15">
                  <c:v>1481.7693340588912</c:v>
                </c:pt>
                <c:pt idx="16">
                  <c:v>1481.7693340588912</c:v>
                </c:pt>
                <c:pt idx="17">
                  <c:v>1481.7693340588912</c:v>
                </c:pt>
                <c:pt idx="18">
                  <c:v>1481.7693340588912</c:v>
                </c:pt>
                <c:pt idx="19">
                  <c:v>1481.7693340588912</c:v>
                </c:pt>
                <c:pt idx="20">
                  <c:v>1481.7693340588912</c:v>
                </c:pt>
                <c:pt idx="21">
                  <c:v>1481.7693340588912</c:v>
                </c:pt>
                <c:pt idx="22">
                  <c:v>2619.8505164973967</c:v>
                </c:pt>
                <c:pt idx="23">
                  <c:v>2619.8505164973967</c:v>
                </c:pt>
                <c:pt idx="24">
                  <c:v>2619.8505164973967</c:v>
                </c:pt>
                <c:pt idx="25">
                  <c:v>2619.8505164973967</c:v>
                </c:pt>
                <c:pt idx="26">
                  <c:v>3455.0956301842925</c:v>
                </c:pt>
                <c:pt idx="27">
                  <c:v>3455.0956301842925</c:v>
                </c:pt>
                <c:pt idx="28">
                  <c:v>4168.0442866183475</c:v>
                </c:pt>
                <c:pt idx="29">
                  <c:v>4168.0442866183475</c:v>
                </c:pt>
                <c:pt idx="30">
                  <c:v>4168.0442866183475</c:v>
                </c:pt>
                <c:pt idx="31">
                  <c:v>4168.0442866183475</c:v>
                </c:pt>
                <c:pt idx="32">
                  <c:v>4168.0442866183475</c:v>
                </c:pt>
                <c:pt idx="33">
                  <c:v>4708.9784035828461</c:v>
                </c:pt>
                <c:pt idx="34">
                  <c:v>4708.9784035828461</c:v>
                </c:pt>
                <c:pt idx="35">
                  <c:v>4708.9784035828461</c:v>
                </c:pt>
                <c:pt idx="36">
                  <c:v>4708.9784035828461</c:v>
                </c:pt>
                <c:pt idx="37">
                  <c:v>4708.9784035828461</c:v>
                </c:pt>
                <c:pt idx="38">
                  <c:v>4708.9784035828461</c:v>
                </c:pt>
                <c:pt idx="39">
                  <c:v>4708.9784035828461</c:v>
                </c:pt>
                <c:pt idx="40">
                  <c:v>4708.9784035828461</c:v>
                </c:pt>
                <c:pt idx="41">
                  <c:v>4708.9784035828461</c:v>
                </c:pt>
                <c:pt idx="42">
                  <c:v>4708.9784035828461</c:v>
                </c:pt>
                <c:pt idx="43">
                  <c:v>4708.9784035828461</c:v>
                </c:pt>
                <c:pt idx="44">
                  <c:v>5242.45289233946</c:v>
                </c:pt>
                <c:pt idx="45">
                  <c:v>5242.45289233946</c:v>
                </c:pt>
                <c:pt idx="46">
                  <c:v>7349.8015889821909</c:v>
                </c:pt>
                <c:pt idx="47">
                  <c:v>7809.6793622944051</c:v>
                </c:pt>
                <c:pt idx="48">
                  <c:v>8180.1046496068711</c:v>
                </c:pt>
                <c:pt idx="49">
                  <c:v>8180.1046496068711</c:v>
                </c:pt>
                <c:pt idx="50">
                  <c:v>8638.361150898374</c:v>
                </c:pt>
                <c:pt idx="51">
                  <c:v>8638.361150898374</c:v>
                </c:pt>
                <c:pt idx="52">
                  <c:v>8638.361150898374</c:v>
                </c:pt>
                <c:pt idx="53">
                  <c:v>8638.361150898374</c:v>
                </c:pt>
                <c:pt idx="54">
                  <c:v>10030.020518024627</c:v>
                </c:pt>
                <c:pt idx="55">
                  <c:v>10030.020518024627</c:v>
                </c:pt>
                <c:pt idx="56">
                  <c:v>12551.284809149402</c:v>
                </c:pt>
                <c:pt idx="57">
                  <c:v>13351.599306210213</c:v>
                </c:pt>
                <c:pt idx="58">
                  <c:v>13351.599306210213</c:v>
                </c:pt>
                <c:pt idx="59">
                  <c:v>13623.671953903275</c:v>
                </c:pt>
                <c:pt idx="60">
                  <c:v>13623.671953903275</c:v>
                </c:pt>
                <c:pt idx="61">
                  <c:v>13623.671953903275</c:v>
                </c:pt>
                <c:pt idx="62">
                  <c:v>13623.671953903275</c:v>
                </c:pt>
                <c:pt idx="63">
                  <c:v>14317.535233903274</c:v>
                </c:pt>
                <c:pt idx="64">
                  <c:v>14317.535233903274</c:v>
                </c:pt>
                <c:pt idx="65">
                  <c:v>14317.535233903274</c:v>
                </c:pt>
                <c:pt idx="66">
                  <c:v>14317.535233903274</c:v>
                </c:pt>
                <c:pt idx="67">
                  <c:v>14317.535233903274</c:v>
                </c:pt>
                <c:pt idx="68">
                  <c:v>14317.535233903274</c:v>
                </c:pt>
                <c:pt idx="69">
                  <c:v>14317.535233903274</c:v>
                </c:pt>
                <c:pt idx="70">
                  <c:v>15477.961753903273</c:v>
                </c:pt>
                <c:pt idx="71">
                  <c:v>15980.414473903273</c:v>
                </c:pt>
                <c:pt idx="72">
                  <c:v>16568.935483903271</c:v>
                </c:pt>
                <c:pt idx="73">
                  <c:v>18406.130703653271</c:v>
                </c:pt>
                <c:pt idx="74">
                  <c:v>18406.130703653271</c:v>
                </c:pt>
                <c:pt idx="75">
                  <c:v>19130.91439068452</c:v>
                </c:pt>
              </c:numCache>
            </c:numRef>
          </c:yVal>
          <c:smooth val="0"/>
          <c:extLst>
            <c:ext xmlns:c16="http://schemas.microsoft.com/office/drawing/2014/chart" uri="{C3380CC4-5D6E-409C-BE32-E72D297353CC}">
              <c16:uniqueId val="{00000000-F2AE-4E45-A548-04CE9989A3CA}"/>
            </c:ext>
          </c:extLst>
        </c:ser>
        <c:ser>
          <c:idx val="1"/>
          <c:order val="1"/>
          <c:tx>
            <c:strRef>
              <c:f>Bxl_Inflow!$AI$3</c:f>
              <c:strCache>
                <c:ptCount val="1"/>
                <c:pt idx="0">
                  <c:v>raw materials, min</c:v>
                </c:pt>
              </c:strCache>
            </c:strRef>
          </c:tx>
          <c:spPr>
            <a:ln w="19050" cap="rnd">
              <a:solidFill>
                <a:schemeClr val="accent2"/>
              </a:solidFill>
              <a:round/>
            </a:ln>
            <a:effectLst/>
          </c:spPr>
          <c:marker>
            <c:symbol val="none"/>
          </c:marker>
          <c:xVal>
            <c:numRef>
              <c:f>Bxl_Inflow!$A$5:$A$125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Bxl_Inflow!$AI$5:$AI$125</c:f>
              <c:numCache>
                <c:formatCode>#,##0</c:formatCode>
                <c:ptCount val="121"/>
                <c:pt idx="75">
                  <c:v>19130.91439068452</c:v>
                </c:pt>
                <c:pt idx="76">
                  <c:v>19130.91439068452</c:v>
                </c:pt>
                <c:pt idx="77">
                  <c:v>19130.91439068452</c:v>
                </c:pt>
                <c:pt idx="78">
                  <c:v>19130.91439068452</c:v>
                </c:pt>
                <c:pt idx="79">
                  <c:v>19130.91439068452</c:v>
                </c:pt>
                <c:pt idx="80">
                  <c:v>19130.91439068452</c:v>
                </c:pt>
                <c:pt idx="81">
                  <c:v>19130.91439068452</c:v>
                </c:pt>
                <c:pt idx="82">
                  <c:v>19130.91439068452</c:v>
                </c:pt>
                <c:pt idx="83">
                  <c:v>19130.91439068452</c:v>
                </c:pt>
                <c:pt idx="84">
                  <c:v>19603.737209884519</c:v>
                </c:pt>
                <c:pt idx="85">
                  <c:v>19603.737209884519</c:v>
                </c:pt>
                <c:pt idx="86">
                  <c:v>21492.76243730852</c:v>
                </c:pt>
                <c:pt idx="87">
                  <c:v>21907.349899708519</c:v>
                </c:pt>
                <c:pt idx="88">
                  <c:v>22243.183848508517</c:v>
                </c:pt>
                <c:pt idx="89">
                  <c:v>22243.183848508517</c:v>
                </c:pt>
                <c:pt idx="90">
                  <c:v>22663.202587708518</c:v>
                </c:pt>
                <c:pt idx="91">
                  <c:v>22663.202587708518</c:v>
                </c:pt>
                <c:pt idx="92">
                  <c:v>22663.202587708518</c:v>
                </c:pt>
                <c:pt idx="93">
                  <c:v>22663.202587708518</c:v>
                </c:pt>
                <c:pt idx="94">
                  <c:v>23962.758143008519</c:v>
                </c:pt>
                <c:pt idx="95">
                  <c:v>23962.758143008519</c:v>
                </c:pt>
                <c:pt idx="96">
                  <c:v>26333.176773758518</c:v>
                </c:pt>
                <c:pt idx="97">
                  <c:v>27087.520773758519</c:v>
                </c:pt>
                <c:pt idx="98">
                  <c:v>27087.520773758519</c:v>
                </c:pt>
                <c:pt idx="99">
                  <c:v>27344.75207775852</c:v>
                </c:pt>
                <c:pt idx="100">
                  <c:v>27344.75207775852</c:v>
                </c:pt>
                <c:pt idx="101">
                  <c:v>27344.75207775852</c:v>
                </c:pt>
                <c:pt idx="102">
                  <c:v>27344.75207775852</c:v>
                </c:pt>
                <c:pt idx="103">
                  <c:v>28001.031357758518</c:v>
                </c:pt>
                <c:pt idx="104">
                  <c:v>28001.031357758518</c:v>
                </c:pt>
                <c:pt idx="105">
                  <c:v>28001.031357758518</c:v>
                </c:pt>
                <c:pt idx="106">
                  <c:v>28001.031357758518</c:v>
                </c:pt>
                <c:pt idx="107">
                  <c:v>28001.031357758518</c:v>
                </c:pt>
                <c:pt idx="108">
                  <c:v>28001.031357758518</c:v>
                </c:pt>
                <c:pt idx="109">
                  <c:v>28001.031357758518</c:v>
                </c:pt>
                <c:pt idx="110">
                  <c:v>29098.60187775852</c:v>
                </c:pt>
                <c:pt idx="111">
                  <c:v>29573.83859775852</c:v>
                </c:pt>
                <c:pt idx="112">
                  <c:v>30130.48160775852</c:v>
                </c:pt>
                <c:pt idx="113">
                  <c:v>30130.48160775852</c:v>
                </c:pt>
                <c:pt idx="114">
                  <c:v>30130.48160775852</c:v>
                </c:pt>
                <c:pt idx="115">
                  <c:v>30816.006451039771</c:v>
                </c:pt>
                <c:pt idx="116">
                  <c:v>30816.006451039771</c:v>
                </c:pt>
                <c:pt idx="117">
                  <c:v>30816.006451039771</c:v>
                </c:pt>
                <c:pt idx="118">
                  <c:v>30816.006451039771</c:v>
                </c:pt>
                <c:pt idx="119">
                  <c:v>30816.006451039771</c:v>
                </c:pt>
                <c:pt idx="120">
                  <c:v>30816.006451039771</c:v>
                </c:pt>
              </c:numCache>
            </c:numRef>
          </c:yVal>
          <c:smooth val="0"/>
          <c:extLst>
            <c:ext xmlns:c16="http://schemas.microsoft.com/office/drawing/2014/chart" uri="{C3380CC4-5D6E-409C-BE32-E72D297353CC}">
              <c16:uniqueId val="{00000001-F2AE-4E45-A548-04CE9989A3CA}"/>
            </c:ext>
          </c:extLst>
        </c:ser>
        <c:ser>
          <c:idx val="2"/>
          <c:order val="2"/>
          <c:tx>
            <c:strRef>
              <c:f>Bxl_Inflow!$AJ$3</c:f>
              <c:strCache>
                <c:ptCount val="1"/>
                <c:pt idx="0">
                  <c:v>raw materials, average</c:v>
                </c:pt>
              </c:strCache>
            </c:strRef>
          </c:tx>
          <c:spPr>
            <a:ln w="19050" cap="rnd">
              <a:solidFill>
                <a:schemeClr val="accent3"/>
              </a:solidFill>
              <a:round/>
            </a:ln>
            <a:effectLst/>
          </c:spPr>
          <c:marker>
            <c:symbol val="none"/>
          </c:marker>
          <c:xVal>
            <c:numRef>
              <c:f>Bxl_Inflow!$A$5:$A$125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Bxl_Inflow!$AJ$5:$AJ$125</c:f>
              <c:numCache>
                <c:formatCode>#,##0</c:formatCode>
                <c:ptCount val="121"/>
                <c:pt idx="75">
                  <c:v>19130.91439068452</c:v>
                </c:pt>
                <c:pt idx="76">
                  <c:v>19130.91439068452</c:v>
                </c:pt>
                <c:pt idx="77">
                  <c:v>19130.91439068452</c:v>
                </c:pt>
                <c:pt idx="78">
                  <c:v>19130.91439068452</c:v>
                </c:pt>
                <c:pt idx="79">
                  <c:v>19130.91439068452</c:v>
                </c:pt>
                <c:pt idx="80">
                  <c:v>19130.91439068452</c:v>
                </c:pt>
                <c:pt idx="81">
                  <c:v>19130.91439068452</c:v>
                </c:pt>
                <c:pt idx="82">
                  <c:v>19130.91439068452</c:v>
                </c:pt>
                <c:pt idx="83">
                  <c:v>19130.91439068452</c:v>
                </c:pt>
                <c:pt idx="84">
                  <c:v>19562.845387404697</c:v>
                </c:pt>
                <c:pt idx="85">
                  <c:v>19562.845387404697</c:v>
                </c:pt>
                <c:pt idx="86">
                  <c:v>21182.516857909173</c:v>
                </c:pt>
                <c:pt idx="87">
                  <c:v>21527.675043765132</c:v>
                </c:pt>
                <c:pt idx="88">
                  <c:v>21800.612530269849</c:v>
                </c:pt>
                <c:pt idx="89">
                  <c:v>21800.612530269849</c:v>
                </c:pt>
                <c:pt idx="90">
                  <c:v>22131.714927294921</c:v>
                </c:pt>
                <c:pt idx="91">
                  <c:v>22131.714927294921</c:v>
                </c:pt>
                <c:pt idx="92">
                  <c:v>22131.714927294921</c:v>
                </c:pt>
                <c:pt idx="93">
                  <c:v>22131.714927294921</c:v>
                </c:pt>
                <c:pt idx="94">
                  <c:v>23136.84786246275</c:v>
                </c:pt>
                <c:pt idx="95">
                  <c:v>23136.84786246275</c:v>
                </c:pt>
                <c:pt idx="96">
                  <c:v>24966.477175550397</c:v>
                </c:pt>
                <c:pt idx="97">
                  <c:v>25548.448444831862</c:v>
                </c:pt>
                <c:pt idx="98">
                  <c:v>25548.448444831862</c:v>
                </c:pt>
                <c:pt idx="99">
                  <c:v>25746.808632341283</c:v>
                </c:pt>
                <c:pt idx="100">
                  <c:v>25746.808632341283</c:v>
                </c:pt>
                <c:pt idx="101">
                  <c:v>25746.808632341283</c:v>
                </c:pt>
                <c:pt idx="102">
                  <c:v>25746.808632341283</c:v>
                </c:pt>
                <c:pt idx="103">
                  <c:v>26252.770462988257</c:v>
                </c:pt>
                <c:pt idx="104">
                  <c:v>26252.770462988257</c:v>
                </c:pt>
                <c:pt idx="105">
                  <c:v>26252.770462988257</c:v>
                </c:pt>
                <c:pt idx="106">
                  <c:v>26252.770462988257</c:v>
                </c:pt>
                <c:pt idx="107">
                  <c:v>26252.770462988257</c:v>
                </c:pt>
                <c:pt idx="108">
                  <c:v>26252.770462988257</c:v>
                </c:pt>
                <c:pt idx="109">
                  <c:v>26252.770462988257</c:v>
                </c:pt>
                <c:pt idx="110">
                  <c:v>27098.917919954813</c:v>
                </c:pt>
                <c:pt idx="111">
                  <c:v>27465.290886022758</c:v>
                </c:pt>
                <c:pt idx="112">
                  <c:v>27894.422070836252</c:v>
                </c:pt>
                <c:pt idx="113">
                  <c:v>27894.422070836252</c:v>
                </c:pt>
                <c:pt idx="114">
                  <c:v>27894.422070836252</c:v>
                </c:pt>
                <c:pt idx="115">
                  <c:v>28422.911587154973</c:v>
                </c:pt>
                <c:pt idx="116">
                  <c:v>28422.911587154973</c:v>
                </c:pt>
                <c:pt idx="117">
                  <c:v>28422.911587154973</c:v>
                </c:pt>
                <c:pt idx="118">
                  <c:v>28422.911587154973</c:v>
                </c:pt>
                <c:pt idx="119">
                  <c:v>28422.911587154973</c:v>
                </c:pt>
                <c:pt idx="120">
                  <c:v>28422.911587154973</c:v>
                </c:pt>
              </c:numCache>
            </c:numRef>
          </c:yVal>
          <c:smooth val="0"/>
          <c:extLst>
            <c:ext xmlns:c16="http://schemas.microsoft.com/office/drawing/2014/chart" uri="{C3380CC4-5D6E-409C-BE32-E72D297353CC}">
              <c16:uniqueId val="{00000002-F2AE-4E45-A548-04CE9989A3CA}"/>
            </c:ext>
          </c:extLst>
        </c:ser>
        <c:ser>
          <c:idx val="3"/>
          <c:order val="3"/>
          <c:tx>
            <c:strRef>
              <c:f>Bxl_Inflow!$AK$3</c:f>
              <c:strCache>
                <c:ptCount val="1"/>
                <c:pt idx="0">
                  <c:v>raw materials, max</c:v>
                </c:pt>
              </c:strCache>
            </c:strRef>
          </c:tx>
          <c:spPr>
            <a:ln w="19050" cap="rnd">
              <a:solidFill>
                <a:schemeClr val="accent4"/>
              </a:solidFill>
              <a:round/>
            </a:ln>
            <a:effectLst/>
          </c:spPr>
          <c:marker>
            <c:symbol val="none"/>
          </c:marker>
          <c:xVal>
            <c:numRef>
              <c:f>Bxl_Inflow!$A$5:$A$125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Bxl_Inflow!$AK$5:$AK$125</c:f>
              <c:numCache>
                <c:formatCode>#,##0</c:formatCode>
                <c:ptCount val="121"/>
                <c:pt idx="75">
                  <c:v>19130.91439068452</c:v>
                </c:pt>
                <c:pt idx="76">
                  <c:v>19130.91439068452</c:v>
                </c:pt>
                <c:pt idx="77">
                  <c:v>19130.91439068452</c:v>
                </c:pt>
                <c:pt idx="78">
                  <c:v>19130.91439068452</c:v>
                </c:pt>
                <c:pt idx="79">
                  <c:v>19130.91439068452</c:v>
                </c:pt>
                <c:pt idx="80">
                  <c:v>19130.91439068452</c:v>
                </c:pt>
                <c:pt idx="81">
                  <c:v>19130.91439068452</c:v>
                </c:pt>
                <c:pt idx="82">
                  <c:v>19130.91439068452</c:v>
                </c:pt>
                <c:pt idx="83">
                  <c:v>19130.91439068452</c:v>
                </c:pt>
                <c:pt idx="84">
                  <c:v>19511.730609304919</c:v>
                </c:pt>
                <c:pt idx="85">
                  <c:v>19511.730609304919</c:v>
                </c:pt>
                <c:pt idx="86">
                  <c:v>20794.709883659991</c:v>
                </c:pt>
                <c:pt idx="87">
                  <c:v>21053.0814738359</c:v>
                </c:pt>
                <c:pt idx="88">
                  <c:v>21247.398382471511</c:v>
                </c:pt>
                <c:pt idx="89">
                  <c:v>21247.398382471511</c:v>
                </c:pt>
                <c:pt idx="90">
                  <c:v>21467.355351777922</c:v>
                </c:pt>
                <c:pt idx="91">
                  <c:v>21467.355351777922</c:v>
                </c:pt>
                <c:pt idx="92">
                  <c:v>21467.355351777922</c:v>
                </c:pt>
                <c:pt idx="93">
                  <c:v>21467.355351777922</c:v>
                </c:pt>
                <c:pt idx="94">
                  <c:v>22104.460011780535</c:v>
                </c:pt>
                <c:pt idx="95">
                  <c:v>22104.460011780535</c:v>
                </c:pt>
                <c:pt idx="96">
                  <c:v>23258.102677790244</c:v>
                </c:pt>
                <c:pt idx="97">
                  <c:v>23624.608033673543</c:v>
                </c:pt>
                <c:pt idx="98">
                  <c:v>23624.608033673543</c:v>
                </c:pt>
                <c:pt idx="99">
                  <c:v>23749.379325569738</c:v>
                </c:pt>
                <c:pt idx="100">
                  <c:v>23749.379325569738</c:v>
                </c:pt>
                <c:pt idx="101">
                  <c:v>23749.379325569738</c:v>
                </c:pt>
                <c:pt idx="102">
                  <c:v>23749.379325569738</c:v>
                </c:pt>
                <c:pt idx="103">
                  <c:v>24067.444344525433</c:v>
                </c:pt>
                <c:pt idx="104">
                  <c:v>24067.444344525433</c:v>
                </c:pt>
                <c:pt idx="105">
                  <c:v>24067.444344525433</c:v>
                </c:pt>
                <c:pt idx="106">
                  <c:v>24067.444344525433</c:v>
                </c:pt>
                <c:pt idx="107">
                  <c:v>24067.444344525433</c:v>
                </c:pt>
                <c:pt idx="108">
                  <c:v>24067.444344525433</c:v>
                </c:pt>
                <c:pt idx="109">
                  <c:v>24067.444344525433</c:v>
                </c:pt>
                <c:pt idx="110">
                  <c:v>24599.312972700183</c:v>
                </c:pt>
                <c:pt idx="111">
                  <c:v>24829.606246353058</c:v>
                </c:pt>
                <c:pt idx="112">
                  <c:v>25099.347649683423</c:v>
                </c:pt>
                <c:pt idx="113">
                  <c:v>25099.347649683423</c:v>
                </c:pt>
                <c:pt idx="114">
                  <c:v>25099.347649683423</c:v>
                </c:pt>
                <c:pt idx="115">
                  <c:v>25431.543007298984</c:v>
                </c:pt>
                <c:pt idx="116">
                  <c:v>25431.543007298984</c:v>
                </c:pt>
                <c:pt idx="117">
                  <c:v>25431.543007298984</c:v>
                </c:pt>
                <c:pt idx="118">
                  <c:v>25431.543007298984</c:v>
                </c:pt>
                <c:pt idx="119">
                  <c:v>25431.543007298984</c:v>
                </c:pt>
                <c:pt idx="120">
                  <c:v>25431.543007298984</c:v>
                </c:pt>
              </c:numCache>
            </c:numRef>
          </c:yVal>
          <c:smooth val="0"/>
          <c:extLst>
            <c:ext xmlns:c16="http://schemas.microsoft.com/office/drawing/2014/chart" uri="{C3380CC4-5D6E-409C-BE32-E72D297353CC}">
              <c16:uniqueId val="{00000003-F2AE-4E45-A548-04CE9989A3CA}"/>
            </c:ext>
          </c:extLst>
        </c:ser>
        <c:dLbls>
          <c:showLegendKey val="0"/>
          <c:showVal val="0"/>
          <c:showCatName val="0"/>
          <c:showSerName val="0"/>
          <c:showPercent val="0"/>
          <c:showBubbleSize val="0"/>
        </c:dLbls>
        <c:axId val="1859657056"/>
        <c:axId val="1859657888"/>
        <c:extLst/>
      </c:scatterChart>
      <c:valAx>
        <c:axId val="1859657056"/>
        <c:scaling>
          <c:orientation val="minMax"/>
          <c:max val="2070"/>
          <c:min val="19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autoZero"/>
        <c:crossBetween val="midCat"/>
      </c:valAx>
      <c:valAx>
        <c:axId val="1859657888"/>
        <c:scaling>
          <c:orientation val="minMax"/>
          <c:max val="14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Bxl_Inflow!$T$3</c:f>
              <c:strCache>
                <c:ptCount val="1"/>
                <c:pt idx="0">
                  <c:v>CO2 emissions</c:v>
                </c:pt>
              </c:strCache>
            </c:strRef>
          </c:tx>
          <c:spPr>
            <a:ln w="19050" cap="rnd">
              <a:solidFill>
                <a:schemeClr val="accent1"/>
              </a:solidFill>
              <a:round/>
            </a:ln>
            <a:effectLst/>
          </c:spPr>
          <c:marker>
            <c:symbol val="none"/>
          </c:marker>
          <c:xVal>
            <c:numRef>
              <c:f>Bxl_Inflow!$A$5:$A$125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Bxl_Inflow!$T$5:$T$80</c:f>
              <c:numCache>
                <c:formatCode>#,##0</c:formatCode>
                <c:ptCount val="76"/>
                <c:pt idx="0">
                  <c:v>0</c:v>
                </c:pt>
                <c:pt idx="1">
                  <c:v>0</c:v>
                </c:pt>
                <c:pt idx="2">
                  <c:v>0</c:v>
                </c:pt>
                <c:pt idx="3">
                  <c:v>0</c:v>
                </c:pt>
                <c:pt idx="4">
                  <c:v>0</c:v>
                </c:pt>
                <c:pt idx="5">
                  <c:v>0</c:v>
                </c:pt>
                <c:pt idx="6">
                  <c:v>0</c:v>
                </c:pt>
                <c:pt idx="7">
                  <c:v>0</c:v>
                </c:pt>
                <c:pt idx="8">
                  <c:v>0</c:v>
                </c:pt>
                <c:pt idx="9">
                  <c:v>0</c:v>
                </c:pt>
                <c:pt idx="10">
                  <c:v>0</c:v>
                </c:pt>
                <c:pt idx="11">
                  <c:v>1451.1502228397806</c:v>
                </c:pt>
                <c:pt idx="12">
                  <c:v>1451.1502228397806</c:v>
                </c:pt>
                <c:pt idx="13">
                  <c:v>1451.1502228397806</c:v>
                </c:pt>
                <c:pt idx="14">
                  <c:v>1451.1502228397806</c:v>
                </c:pt>
                <c:pt idx="15">
                  <c:v>2003.4561748397805</c:v>
                </c:pt>
                <c:pt idx="16">
                  <c:v>2003.4561748397805</c:v>
                </c:pt>
                <c:pt idx="17">
                  <c:v>2003.4561748397805</c:v>
                </c:pt>
                <c:pt idx="18">
                  <c:v>2003.4561748397805</c:v>
                </c:pt>
                <c:pt idx="19">
                  <c:v>2003.4561748397805</c:v>
                </c:pt>
                <c:pt idx="20">
                  <c:v>2003.4561748397805</c:v>
                </c:pt>
                <c:pt idx="21">
                  <c:v>2003.4561748397805</c:v>
                </c:pt>
                <c:pt idx="22">
                  <c:v>3227.0431251337973</c:v>
                </c:pt>
                <c:pt idx="23">
                  <c:v>3227.0431251337973</c:v>
                </c:pt>
                <c:pt idx="24">
                  <c:v>3227.0431251337973</c:v>
                </c:pt>
                <c:pt idx="25">
                  <c:v>3227.0431251337973</c:v>
                </c:pt>
                <c:pt idx="26">
                  <c:v>3985.59055593925</c:v>
                </c:pt>
                <c:pt idx="27">
                  <c:v>3985.59055593925</c:v>
                </c:pt>
                <c:pt idx="28">
                  <c:v>4592.1867783392463</c:v>
                </c:pt>
                <c:pt idx="29">
                  <c:v>4592.1867783392463</c:v>
                </c:pt>
                <c:pt idx="30">
                  <c:v>4592.1867783392463</c:v>
                </c:pt>
                <c:pt idx="31">
                  <c:v>4592.1867783392463</c:v>
                </c:pt>
                <c:pt idx="32">
                  <c:v>4592.1867783392463</c:v>
                </c:pt>
                <c:pt idx="33">
                  <c:v>5008.8913942134277</c:v>
                </c:pt>
                <c:pt idx="34">
                  <c:v>5008.8913942134277</c:v>
                </c:pt>
                <c:pt idx="35">
                  <c:v>5008.8913942134277</c:v>
                </c:pt>
                <c:pt idx="36">
                  <c:v>5008.8913942134277</c:v>
                </c:pt>
                <c:pt idx="37">
                  <c:v>5008.8913942134277</c:v>
                </c:pt>
                <c:pt idx="38">
                  <c:v>5008.8913942134277</c:v>
                </c:pt>
                <c:pt idx="39">
                  <c:v>5008.8913942134277</c:v>
                </c:pt>
                <c:pt idx="40">
                  <c:v>5008.8913942134277</c:v>
                </c:pt>
                <c:pt idx="41">
                  <c:v>5008.8913942134277</c:v>
                </c:pt>
                <c:pt idx="42">
                  <c:v>5008.8913942134277</c:v>
                </c:pt>
                <c:pt idx="43">
                  <c:v>5008.8913942134277</c:v>
                </c:pt>
                <c:pt idx="44">
                  <c:v>5389.0631446134275</c:v>
                </c:pt>
                <c:pt idx="45">
                  <c:v>5389.0631446134275</c:v>
                </c:pt>
                <c:pt idx="46">
                  <c:v>6893.2410750297367</c:v>
                </c:pt>
                <c:pt idx="47">
                  <c:v>7212.9615637419947</c:v>
                </c:pt>
                <c:pt idx="48">
                  <c:v>7461.3972263174783</c:v>
                </c:pt>
                <c:pt idx="49">
                  <c:v>7461.3972263174783</c:v>
                </c:pt>
                <c:pt idx="50">
                  <c:v>7752.046826317478</c:v>
                </c:pt>
                <c:pt idx="51">
                  <c:v>7752.046826317478</c:v>
                </c:pt>
                <c:pt idx="52">
                  <c:v>7752.046826317478</c:v>
                </c:pt>
                <c:pt idx="53">
                  <c:v>7752.046826317478</c:v>
                </c:pt>
                <c:pt idx="54">
                  <c:v>8618.7353948587952</c:v>
                </c:pt>
                <c:pt idx="55">
                  <c:v>8618.7353948587952</c:v>
                </c:pt>
                <c:pt idx="56">
                  <c:v>10141.57200222091</c:v>
                </c:pt>
                <c:pt idx="57">
                  <c:v>10613.17200222091</c:v>
                </c:pt>
                <c:pt idx="58">
                  <c:v>10613.17200222091</c:v>
                </c:pt>
                <c:pt idx="59">
                  <c:v>10768.660155727608</c:v>
                </c:pt>
                <c:pt idx="60">
                  <c:v>10768.660155727608</c:v>
                </c:pt>
                <c:pt idx="61">
                  <c:v>10768.660155727608</c:v>
                </c:pt>
                <c:pt idx="62">
                  <c:v>10768.660155727608</c:v>
                </c:pt>
                <c:pt idx="63">
                  <c:v>11148.540940065033</c:v>
                </c:pt>
                <c:pt idx="64">
                  <c:v>11148.540940065033</c:v>
                </c:pt>
                <c:pt idx="65">
                  <c:v>11148.540940065033</c:v>
                </c:pt>
                <c:pt idx="66">
                  <c:v>11148.540940065033</c:v>
                </c:pt>
                <c:pt idx="67">
                  <c:v>11148.540940065033</c:v>
                </c:pt>
                <c:pt idx="68">
                  <c:v>11148.540940065033</c:v>
                </c:pt>
                <c:pt idx="69">
                  <c:v>11148.540940065033</c:v>
                </c:pt>
                <c:pt idx="70">
                  <c:v>11736.240010549614</c:v>
                </c:pt>
                <c:pt idx="71">
                  <c:v>11990.707649316135</c:v>
                </c:pt>
                <c:pt idx="72">
                  <c:v>12288.764652130623</c:v>
                </c:pt>
                <c:pt idx="73">
                  <c:v>13219.213848470768</c:v>
                </c:pt>
                <c:pt idx="74">
                  <c:v>13219.213848470768</c:v>
                </c:pt>
                <c:pt idx="75">
                  <c:v>13586.281208470999</c:v>
                </c:pt>
              </c:numCache>
            </c:numRef>
          </c:yVal>
          <c:smooth val="0"/>
          <c:extLst>
            <c:ext xmlns:c16="http://schemas.microsoft.com/office/drawing/2014/chart" uri="{C3380CC4-5D6E-409C-BE32-E72D297353CC}">
              <c16:uniqueId val="{00000000-0F11-40EB-A983-5AD4345C62EB}"/>
            </c:ext>
          </c:extLst>
        </c:ser>
        <c:ser>
          <c:idx val="1"/>
          <c:order val="1"/>
          <c:tx>
            <c:strRef>
              <c:f>Bxl_Inflow!$AQ$3</c:f>
              <c:strCache>
                <c:ptCount val="1"/>
                <c:pt idx="0">
                  <c:v>CO2 emissions, min</c:v>
                </c:pt>
              </c:strCache>
            </c:strRef>
          </c:tx>
          <c:spPr>
            <a:ln w="19050" cap="rnd">
              <a:solidFill>
                <a:schemeClr val="accent2"/>
              </a:solidFill>
              <a:round/>
            </a:ln>
            <a:effectLst/>
          </c:spPr>
          <c:marker>
            <c:symbol val="none"/>
          </c:marker>
          <c:xVal>
            <c:numRef>
              <c:f>Bxl_Inflow!$A$5:$A$125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Bxl_Inflow!$AQ$5:$AQ$125</c:f>
              <c:numCache>
                <c:formatCode>#,##0</c:formatCode>
                <c:ptCount val="121"/>
                <c:pt idx="75">
                  <c:v>13586.281208470999</c:v>
                </c:pt>
                <c:pt idx="76">
                  <c:v>13586.281208470999</c:v>
                </c:pt>
                <c:pt idx="77">
                  <c:v>13586.281208470999</c:v>
                </c:pt>
                <c:pt idx="78">
                  <c:v>13586.281208470999</c:v>
                </c:pt>
                <c:pt idx="79">
                  <c:v>13586.281208470999</c:v>
                </c:pt>
                <c:pt idx="80">
                  <c:v>13586.281208470999</c:v>
                </c:pt>
                <c:pt idx="81">
                  <c:v>13586.281208470999</c:v>
                </c:pt>
                <c:pt idx="82">
                  <c:v>13586.281208470999</c:v>
                </c:pt>
                <c:pt idx="83">
                  <c:v>13586.281208470999</c:v>
                </c:pt>
                <c:pt idx="84">
                  <c:v>13838.373202799339</c:v>
                </c:pt>
                <c:pt idx="85">
                  <c:v>13838.373202799339</c:v>
                </c:pt>
                <c:pt idx="86">
                  <c:v>14845.533004696361</c:v>
                </c:pt>
                <c:pt idx="87">
                  <c:v>15066.57601695363</c:v>
                </c:pt>
                <c:pt idx="88">
                  <c:v>15245.630509415303</c:v>
                </c:pt>
                <c:pt idx="89">
                  <c:v>15245.630509415303</c:v>
                </c:pt>
                <c:pt idx="90">
                  <c:v>15469.569281658474</c:v>
                </c:pt>
                <c:pt idx="91">
                  <c:v>15469.569281658474</c:v>
                </c:pt>
                <c:pt idx="92">
                  <c:v>15469.569281658474</c:v>
                </c:pt>
                <c:pt idx="93">
                  <c:v>15469.569281658474</c:v>
                </c:pt>
                <c:pt idx="94">
                  <c:v>16162.445213979912</c:v>
                </c:pt>
                <c:pt idx="95">
                  <c:v>16162.445213979912</c:v>
                </c:pt>
                <c:pt idx="96">
                  <c:v>17426.266535103707</c:v>
                </c:pt>
                <c:pt idx="97">
                  <c:v>17828.455422034691</c:v>
                </c:pt>
                <c:pt idx="98">
                  <c:v>17828.455422034691</c:v>
                </c:pt>
                <c:pt idx="99">
                  <c:v>17965.601832478158</c:v>
                </c:pt>
                <c:pt idx="100">
                  <c:v>17965.601832478158</c:v>
                </c:pt>
                <c:pt idx="101">
                  <c:v>17965.601832478158</c:v>
                </c:pt>
                <c:pt idx="102">
                  <c:v>17965.601832478158</c:v>
                </c:pt>
                <c:pt idx="103">
                  <c:v>18315.506164108112</c:v>
                </c:pt>
                <c:pt idx="104">
                  <c:v>18315.506164108112</c:v>
                </c:pt>
                <c:pt idx="105">
                  <c:v>18315.506164108112</c:v>
                </c:pt>
                <c:pt idx="106">
                  <c:v>18315.506164108112</c:v>
                </c:pt>
                <c:pt idx="107">
                  <c:v>18315.506164108112</c:v>
                </c:pt>
                <c:pt idx="108">
                  <c:v>18315.506164108112</c:v>
                </c:pt>
                <c:pt idx="109">
                  <c:v>18315.506164108112</c:v>
                </c:pt>
                <c:pt idx="110">
                  <c:v>18900.690994592693</c:v>
                </c:pt>
                <c:pt idx="111">
                  <c:v>19154.069993359211</c:v>
                </c:pt>
                <c:pt idx="112">
                  <c:v>19450.8518761737</c:v>
                </c:pt>
                <c:pt idx="113">
                  <c:v>19450.8518761737</c:v>
                </c:pt>
                <c:pt idx="114">
                  <c:v>19450.8518761737</c:v>
                </c:pt>
                <c:pt idx="115">
                  <c:v>19816.348882423928</c:v>
                </c:pt>
                <c:pt idx="116">
                  <c:v>19816.348882423928</c:v>
                </c:pt>
                <c:pt idx="117">
                  <c:v>19816.348882423928</c:v>
                </c:pt>
                <c:pt idx="118">
                  <c:v>19816.348882423928</c:v>
                </c:pt>
                <c:pt idx="119">
                  <c:v>19816.348882423928</c:v>
                </c:pt>
                <c:pt idx="120">
                  <c:v>19816.348882423928</c:v>
                </c:pt>
              </c:numCache>
            </c:numRef>
          </c:yVal>
          <c:smooth val="0"/>
          <c:extLst>
            <c:ext xmlns:c16="http://schemas.microsoft.com/office/drawing/2014/chart" uri="{C3380CC4-5D6E-409C-BE32-E72D297353CC}">
              <c16:uniqueId val="{00000001-0F11-40EB-A983-5AD4345C62EB}"/>
            </c:ext>
          </c:extLst>
        </c:ser>
        <c:ser>
          <c:idx val="2"/>
          <c:order val="2"/>
          <c:tx>
            <c:strRef>
              <c:f>Bxl_Inflow!$AR$3</c:f>
              <c:strCache>
                <c:ptCount val="1"/>
                <c:pt idx="0">
                  <c:v>CO2 emissions, average</c:v>
                </c:pt>
              </c:strCache>
            </c:strRef>
          </c:tx>
          <c:spPr>
            <a:ln w="19050" cap="rnd">
              <a:solidFill>
                <a:schemeClr val="accent3"/>
              </a:solidFill>
              <a:round/>
            </a:ln>
            <a:effectLst/>
          </c:spPr>
          <c:marker>
            <c:symbol val="none"/>
          </c:marker>
          <c:xVal>
            <c:numRef>
              <c:f>Bxl_Inflow!$A$5:$A$125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Bxl_Inflow!$AR$5:$AR$125</c:f>
              <c:numCache>
                <c:formatCode>#,##0</c:formatCode>
                <c:ptCount val="121"/>
                <c:pt idx="75">
                  <c:v>13586.281208470999</c:v>
                </c:pt>
                <c:pt idx="76">
                  <c:v>13586.281208470999</c:v>
                </c:pt>
                <c:pt idx="77">
                  <c:v>13586.281208470999</c:v>
                </c:pt>
                <c:pt idx="78">
                  <c:v>13586.281208470999</c:v>
                </c:pt>
                <c:pt idx="79">
                  <c:v>13586.281208470999</c:v>
                </c:pt>
                <c:pt idx="80">
                  <c:v>13586.281208470999</c:v>
                </c:pt>
                <c:pt idx="81">
                  <c:v>13586.281208470999</c:v>
                </c:pt>
                <c:pt idx="82">
                  <c:v>13586.281208470999</c:v>
                </c:pt>
                <c:pt idx="83">
                  <c:v>13586.281208470999</c:v>
                </c:pt>
                <c:pt idx="84">
                  <c:v>13828.559165404182</c:v>
                </c:pt>
                <c:pt idx="85">
                  <c:v>13828.559165404182</c:v>
                </c:pt>
                <c:pt idx="86">
                  <c:v>14771.074065640518</c:v>
                </c:pt>
                <c:pt idx="87">
                  <c:v>14975.454051527217</c:v>
                </c:pt>
                <c:pt idx="88">
                  <c:v>15139.413393038023</c:v>
                </c:pt>
                <c:pt idx="89">
                  <c:v>15139.413393038023</c:v>
                </c:pt>
                <c:pt idx="90">
                  <c:v>15342.012243159212</c:v>
                </c:pt>
                <c:pt idx="91">
                  <c:v>15342.012243159212</c:v>
                </c:pt>
                <c:pt idx="92">
                  <c:v>15342.012243159212</c:v>
                </c:pt>
                <c:pt idx="93">
                  <c:v>15342.012243159212</c:v>
                </c:pt>
                <c:pt idx="94">
                  <c:v>15964.22674664893</c:v>
                </c:pt>
                <c:pt idx="95">
                  <c:v>15964.22674664893</c:v>
                </c:pt>
                <c:pt idx="96">
                  <c:v>17098.258631533761</c:v>
                </c:pt>
                <c:pt idx="97">
                  <c:v>17459.078063092296</c:v>
                </c:pt>
                <c:pt idx="98">
                  <c:v>17459.078063092296</c:v>
                </c:pt>
                <c:pt idx="99">
                  <c:v>17582.095405578024</c:v>
                </c:pt>
                <c:pt idx="100">
                  <c:v>17582.095405578024</c:v>
                </c:pt>
                <c:pt idx="101">
                  <c:v>17582.095405578024</c:v>
                </c:pt>
                <c:pt idx="102">
                  <c:v>17582.095405578024</c:v>
                </c:pt>
                <c:pt idx="103">
                  <c:v>17895.923549363255</c:v>
                </c:pt>
                <c:pt idx="104">
                  <c:v>17895.923549363255</c:v>
                </c:pt>
                <c:pt idx="105">
                  <c:v>17895.923549363255</c:v>
                </c:pt>
                <c:pt idx="106">
                  <c:v>17895.923549363255</c:v>
                </c:pt>
                <c:pt idx="107">
                  <c:v>17895.923549363255</c:v>
                </c:pt>
                <c:pt idx="108">
                  <c:v>17895.923549363255</c:v>
                </c:pt>
                <c:pt idx="109">
                  <c:v>17895.923549363255</c:v>
                </c:pt>
                <c:pt idx="110">
                  <c:v>18420.766844719808</c:v>
                </c:pt>
                <c:pt idx="111">
                  <c:v>18648.018542542635</c:v>
                </c:pt>
                <c:pt idx="112">
                  <c:v>18914.197587312363</c:v>
                </c:pt>
                <c:pt idx="113">
                  <c:v>18914.197587312363</c:v>
                </c:pt>
                <c:pt idx="114">
                  <c:v>18914.197587312363</c:v>
                </c:pt>
                <c:pt idx="115">
                  <c:v>19242.006115091586</c:v>
                </c:pt>
                <c:pt idx="116">
                  <c:v>19242.006115091586</c:v>
                </c:pt>
                <c:pt idx="117">
                  <c:v>19242.006115091586</c:v>
                </c:pt>
                <c:pt idx="118">
                  <c:v>19242.006115091586</c:v>
                </c:pt>
                <c:pt idx="119">
                  <c:v>19242.006115091586</c:v>
                </c:pt>
                <c:pt idx="120">
                  <c:v>19242.006115091586</c:v>
                </c:pt>
              </c:numCache>
            </c:numRef>
          </c:yVal>
          <c:smooth val="0"/>
          <c:extLst>
            <c:ext xmlns:c16="http://schemas.microsoft.com/office/drawing/2014/chart" uri="{C3380CC4-5D6E-409C-BE32-E72D297353CC}">
              <c16:uniqueId val="{00000002-0F11-40EB-A983-5AD4345C62EB}"/>
            </c:ext>
          </c:extLst>
        </c:ser>
        <c:ser>
          <c:idx val="3"/>
          <c:order val="3"/>
          <c:tx>
            <c:strRef>
              <c:f>Bxl_Inflow!$AS$3</c:f>
              <c:strCache>
                <c:ptCount val="1"/>
                <c:pt idx="0">
                  <c:v>CO2 emissions, max</c:v>
                </c:pt>
              </c:strCache>
            </c:strRef>
          </c:tx>
          <c:spPr>
            <a:ln w="19050" cap="rnd">
              <a:solidFill>
                <a:schemeClr val="accent4"/>
              </a:solidFill>
              <a:round/>
            </a:ln>
            <a:effectLst/>
          </c:spPr>
          <c:marker>
            <c:symbol val="none"/>
          </c:marker>
          <c:xVal>
            <c:numRef>
              <c:f>Bxl_Inflow!$A$5:$A$125</c:f>
              <c:numCache>
                <c:formatCode>General</c:formatCode>
                <c:ptCount val="121"/>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pt idx="76">
                  <c:v>2026</c:v>
                </c:pt>
                <c:pt idx="77">
                  <c:v>2027</c:v>
                </c:pt>
                <c:pt idx="78">
                  <c:v>2028</c:v>
                </c:pt>
                <c:pt idx="79">
                  <c:v>2029</c:v>
                </c:pt>
                <c:pt idx="80">
                  <c:v>2030</c:v>
                </c:pt>
                <c:pt idx="81">
                  <c:v>2031</c:v>
                </c:pt>
                <c:pt idx="82">
                  <c:v>2032</c:v>
                </c:pt>
                <c:pt idx="83">
                  <c:v>2033</c:v>
                </c:pt>
                <c:pt idx="84">
                  <c:v>2034</c:v>
                </c:pt>
                <c:pt idx="85">
                  <c:v>2035</c:v>
                </c:pt>
                <c:pt idx="86">
                  <c:v>2036</c:v>
                </c:pt>
                <c:pt idx="87">
                  <c:v>2037</c:v>
                </c:pt>
                <c:pt idx="88">
                  <c:v>2038</c:v>
                </c:pt>
                <c:pt idx="89">
                  <c:v>2039</c:v>
                </c:pt>
                <c:pt idx="90">
                  <c:v>2040</c:v>
                </c:pt>
                <c:pt idx="91">
                  <c:v>2041</c:v>
                </c:pt>
                <c:pt idx="92">
                  <c:v>2042</c:v>
                </c:pt>
                <c:pt idx="93">
                  <c:v>2043</c:v>
                </c:pt>
                <c:pt idx="94">
                  <c:v>2044</c:v>
                </c:pt>
                <c:pt idx="95">
                  <c:v>2045</c:v>
                </c:pt>
                <c:pt idx="96">
                  <c:v>2046</c:v>
                </c:pt>
                <c:pt idx="97">
                  <c:v>2047</c:v>
                </c:pt>
                <c:pt idx="98">
                  <c:v>2048</c:v>
                </c:pt>
                <c:pt idx="99">
                  <c:v>2049</c:v>
                </c:pt>
                <c:pt idx="100">
                  <c:v>2050</c:v>
                </c:pt>
                <c:pt idx="101">
                  <c:v>2051</c:v>
                </c:pt>
                <c:pt idx="102">
                  <c:v>2052</c:v>
                </c:pt>
                <c:pt idx="103">
                  <c:v>2053</c:v>
                </c:pt>
                <c:pt idx="104">
                  <c:v>2054</c:v>
                </c:pt>
                <c:pt idx="105">
                  <c:v>2055</c:v>
                </c:pt>
                <c:pt idx="106">
                  <c:v>2056</c:v>
                </c:pt>
                <c:pt idx="107">
                  <c:v>2057</c:v>
                </c:pt>
                <c:pt idx="108">
                  <c:v>2058</c:v>
                </c:pt>
                <c:pt idx="109">
                  <c:v>2059</c:v>
                </c:pt>
                <c:pt idx="110">
                  <c:v>2060</c:v>
                </c:pt>
                <c:pt idx="111">
                  <c:v>2061</c:v>
                </c:pt>
                <c:pt idx="112">
                  <c:v>2062</c:v>
                </c:pt>
                <c:pt idx="113">
                  <c:v>2063</c:v>
                </c:pt>
                <c:pt idx="114">
                  <c:v>2064</c:v>
                </c:pt>
                <c:pt idx="115">
                  <c:v>2065</c:v>
                </c:pt>
                <c:pt idx="116">
                  <c:v>2066</c:v>
                </c:pt>
                <c:pt idx="117">
                  <c:v>2067</c:v>
                </c:pt>
                <c:pt idx="118">
                  <c:v>2068</c:v>
                </c:pt>
                <c:pt idx="119">
                  <c:v>2069</c:v>
                </c:pt>
                <c:pt idx="120">
                  <c:v>2070</c:v>
                </c:pt>
              </c:numCache>
            </c:numRef>
          </c:xVal>
          <c:yVal>
            <c:numRef>
              <c:f>Bxl_Inflow!$AS$5:$AS$125</c:f>
              <c:numCache>
                <c:formatCode>#,##0</c:formatCode>
                <c:ptCount val="121"/>
                <c:pt idx="75">
                  <c:v>13586.281208470999</c:v>
                </c:pt>
                <c:pt idx="76">
                  <c:v>13586.281208470999</c:v>
                </c:pt>
                <c:pt idx="77">
                  <c:v>13586.281208470999</c:v>
                </c:pt>
                <c:pt idx="78">
                  <c:v>13586.281208470999</c:v>
                </c:pt>
                <c:pt idx="79">
                  <c:v>13586.281208470999</c:v>
                </c:pt>
                <c:pt idx="80">
                  <c:v>13586.281208470999</c:v>
                </c:pt>
                <c:pt idx="81">
                  <c:v>13586.281208470999</c:v>
                </c:pt>
                <c:pt idx="82">
                  <c:v>13586.281208470999</c:v>
                </c:pt>
                <c:pt idx="83">
                  <c:v>13586.281208470999</c:v>
                </c:pt>
                <c:pt idx="84">
                  <c:v>13816.291618660234</c:v>
                </c:pt>
                <c:pt idx="85">
                  <c:v>13816.291618660234</c:v>
                </c:pt>
                <c:pt idx="86">
                  <c:v>14678.000391820713</c:v>
                </c:pt>
                <c:pt idx="87">
                  <c:v>14861.5515947442</c:v>
                </c:pt>
                <c:pt idx="88">
                  <c:v>15006.641997566421</c:v>
                </c:pt>
                <c:pt idx="89">
                  <c:v>15006.641997566421</c:v>
                </c:pt>
                <c:pt idx="90">
                  <c:v>15182.56594503513</c:v>
                </c:pt>
                <c:pt idx="91">
                  <c:v>15182.56594503513</c:v>
                </c:pt>
                <c:pt idx="92">
                  <c:v>15182.56594503513</c:v>
                </c:pt>
                <c:pt idx="93">
                  <c:v>15182.56594503513</c:v>
                </c:pt>
                <c:pt idx="94">
                  <c:v>15716.453662485197</c:v>
                </c:pt>
                <c:pt idx="95">
                  <c:v>15716.453662485197</c:v>
                </c:pt>
                <c:pt idx="96">
                  <c:v>16688.248752071322</c:v>
                </c:pt>
                <c:pt idx="97">
                  <c:v>16997.356364414296</c:v>
                </c:pt>
                <c:pt idx="98">
                  <c:v>16997.356364414296</c:v>
                </c:pt>
                <c:pt idx="99">
                  <c:v>17102.712371952846</c:v>
                </c:pt>
                <c:pt idx="100">
                  <c:v>17102.712371952846</c:v>
                </c:pt>
                <c:pt idx="101">
                  <c:v>17102.712371952846</c:v>
                </c:pt>
                <c:pt idx="102">
                  <c:v>17102.712371952846</c:v>
                </c:pt>
                <c:pt idx="103">
                  <c:v>17371.44528093217</c:v>
                </c:pt>
                <c:pt idx="104">
                  <c:v>17371.44528093217</c:v>
                </c:pt>
                <c:pt idx="105">
                  <c:v>17371.44528093217</c:v>
                </c:pt>
                <c:pt idx="106">
                  <c:v>17371.44528093217</c:v>
                </c:pt>
                <c:pt idx="107">
                  <c:v>17371.44528093217</c:v>
                </c:pt>
                <c:pt idx="108">
                  <c:v>17371.44528093217</c:v>
                </c:pt>
                <c:pt idx="109">
                  <c:v>17371.44528093217</c:v>
                </c:pt>
                <c:pt idx="110">
                  <c:v>17820.861657378693</c:v>
                </c:pt>
                <c:pt idx="111">
                  <c:v>18015.454229021903</c:v>
                </c:pt>
                <c:pt idx="112">
                  <c:v>18243.379726235678</c:v>
                </c:pt>
                <c:pt idx="113">
                  <c:v>18243.379726235678</c:v>
                </c:pt>
                <c:pt idx="114">
                  <c:v>18243.379726235678</c:v>
                </c:pt>
                <c:pt idx="115">
                  <c:v>18524.077655926143</c:v>
                </c:pt>
                <c:pt idx="116">
                  <c:v>18524.077655926143</c:v>
                </c:pt>
                <c:pt idx="117">
                  <c:v>18524.077655926143</c:v>
                </c:pt>
                <c:pt idx="118">
                  <c:v>18524.077655926143</c:v>
                </c:pt>
                <c:pt idx="119">
                  <c:v>18524.077655926143</c:v>
                </c:pt>
                <c:pt idx="120">
                  <c:v>18524.077655926143</c:v>
                </c:pt>
              </c:numCache>
            </c:numRef>
          </c:yVal>
          <c:smooth val="0"/>
          <c:extLst>
            <c:ext xmlns:c16="http://schemas.microsoft.com/office/drawing/2014/chart" uri="{C3380CC4-5D6E-409C-BE32-E72D297353CC}">
              <c16:uniqueId val="{00000003-0F11-40EB-A983-5AD4345C62EB}"/>
            </c:ext>
          </c:extLst>
        </c:ser>
        <c:dLbls>
          <c:showLegendKey val="0"/>
          <c:showVal val="0"/>
          <c:showCatName val="0"/>
          <c:showSerName val="0"/>
          <c:showPercent val="0"/>
          <c:showBubbleSize val="0"/>
        </c:dLbls>
        <c:axId val="1859657056"/>
        <c:axId val="1859657888"/>
        <c:extLst/>
      </c:scatterChart>
      <c:valAx>
        <c:axId val="1859657056"/>
        <c:scaling>
          <c:orientation val="minMax"/>
          <c:max val="2070"/>
          <c:min val="19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autoZero"/>
        <c:crossBetween val="midCat"/>
      </c:valAx>
      <c:valAx>
        <c:axId val="1859657888"/>
        <c:scaling>
          <c:orientation val="minMax"/>
          <c:max val="80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Bxl_Stock!$F$2</c:f>
              <c:strCache>
                <c:ptCount val="1"/>
                <c:pt idx="0">
                  <c:v>gasket, total lenght</c:v>
                </c:pt>
              </c:strCache>
            </c:strRef>
          </c:tx>
          <c:spPr>
            <a:ln w="19050" cap="rnd">
              <a:solidFill>
                <a:schemeClr val="accent1"/>
              </a:solidFill>
              <a:round/>
            </a:ln>
            <a:effectLst/>
          </c:spPr>
          <c:marker>
            <c:symbol val="none"/>
          </c:marker>
          <c:xVal>
            <c:numRef>
              <c:f>Bxl_Stock!$A$4:$A$79</c:f>
              <c:numCache>
                <c:formatCode>General</c:formatCode>
                <c:ptCount val="76"/>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numCache>
            </c:numRef>
          </c:xVal>
          <c:yVal>
            <c:numRef>
              <c:f>Bxl_Stock!$F$4:$F$79</c:f>
              <c:numCache>
                <c:formatCode>#,##0</c:formatCode>
                <c:ptCount val="76"/>
                <c:pt idx="0">
                  <c:v>0</c:v>
                </c:pt>
                <c:pt idx="1">
                  <c:v>0</c:v>
                </c:pt>
                <c:pt idx="2">
                  <c:v>0</c:v>
                </c:pt>
                <c:pt idx="3">
                  <c:v>0</c:v>
                </c:pt>
                <c:pt idx="4">
                  <c:v>0</c:v>
                </c:pt>
                <c:pt idx="5">
                  <c:v>0</c:v>
                </c:pt>
                <c:pt idx="6">
                  <c:v>0</c:v>
                </c:pt>
                <c:pt idx="7">
                  <c:v>0</c:v>
                </c:pt>
                <c:pt idx="8">
                  <c:v>0</c:v>
                </c:pt>
                <c:pt idx="9">
                  <c:v>0</c:v>
                </c:pt>
                <c:pt idx="10">
                  <c:v>0</c:v>
                </c:pt>
                <c:pt idx="11">
                  <c:v>16.961052631578948</c:v>
                </c:pt>
                <c:pt idx="12">
                  <c:v>16.961052631578948</c:v>
                </c:pt>
                <c:pt idx="13">
                  <c:v>16.961052631578948</c:v>
                </c:pt>
                <c:pt idx="14">
                  <c:v>16.961052631578948</c:v>
                </c:pt>
                <c:pt idx="15">
                  <c:v>37.247772631578954</c:v>
                </c:pt>
                <c:pt idx="16">
                  <c:v>37.247772631578954</c:v>
                </c:pt>
                <c:pt idx="17">
                  <c:v>37.247772631578954</c:v>
                </c:pt>
                <c:pt idx="18">
                  <c:v>37.247772631578954</c:v>
                </c:pt>
                <c:pt idx="19">
                  <c:v>37.247772631578954</c:v>
                </c:pt>
                <c:pt idx="20">
                  <c:v>37.247772631578954</c:v>
                </c:pt>
                <c:pt idx="21">
                  <c:v>37.247772631578954</c:v>
                </c:pt>
                <c:pt idx="22">
                  <c:v>89.266772631578959</c:v>
                </c:pt>
                <c:pt idx="23">
                  <c:v>89.266772631578959</c:v>
                </c:pt>
                <c:pt idx="24">
                  <c:v>89.266772631578959</c:v>
                </c:pt>
                <c:pt idx="25">
                  <c:v>89.266772631578959</c:v>
                </c:pt>
                <c:pt idx="26">
                  <c:v>138.56217263157896</c:v>
                </c:pt>
                <c:pt idx="27">
                  <c:v>138.56217263157896</c:v>
                </c:pt>
                <c:pt idx="28">
                  <c:v>174.78717263157895</c:v>
                </c:pt>
                <c:pt idx="29">
                  <c:v>174.78717263157895</c:v>
                </c:pt>
                <c:pt idx="30">
                  <c:v>174.78717263157895</c:v>
                </c:pt>
                <c:pt idx="31">
                  <c:v>174.78717263157895</c:v>
                </c:pt>
                <c:pt idx="32">
                  <c:v>174.78717263157895</c:v>
                </c:pt>
                <c:pt idx="33">
                  <c:v>206.61897263157897</c:v>
                </c:pt>
                <c:pt idx="34">
                  <c:v>206.61897263157897</c:v>
                </c:pt>
                <c:pt idx="35">
                  <c:v>206.61897263157897</c:v>
                </c:pt>
                <c:pt idx="36">
                  <c:v>206.61897263157897</c:v>
                </c:pt>
                <c:pt idx="37">
                  <c:v>206.61897263157897</c:v>
                </c:pt>
                <c:pt idx="38">
                  <c:v>206.61897263157897</c:v>
                </c:pt>
                <c:pt idx="39">
                  <c:v>206.61897263157897</c:v>
                </c:pt>
                <c:pt idx="40">
                  <c:v>206.61897263157897</c:v>
                </c:pt>
                <c:pt idx="41">
                  <c:v>206.61897263157897</c:v>
                </c:pt>
                <c:pt idx="42">
                  <c:v>206.61897263157897</c:v>
                </c:pt>
                <c:pt idx="43">
                  <c:v>206.61897263157897</c:v>
                </c:pt>
                <c:pt idx="44">
                  <c:v>232.94457263157898</c:v>
                </c:pt>
                <c:pt idx="45">
                  <c:v>232.94457263157898</c:v>
                </c:pt>
                <c:pt idx="46">
                  <c:v>339.79026863157901</c:v>
                </c:pt>
                <c:pt idx="47">
                  <c:v>366.17106863157903</c:v>
                </c:pt>
                <c:pt idx="48">
                  <c:v>387.54066863157902</c:v>
                </c:pt>
                <c:pt idx="49">
                  <c:v>387.54066863157902</c:v>
                </c:pt>
                <c:pt idx="50">
                  <c:v>414.26706863157904</c:v>
                </c:pt>
                <c:pt idx="51">
                  <c:v>397.30601600000011</c:v>
                </c:pt>
                <c:pt idx="52">
                  <c:v>397.30601600000011</c:v>
                </c:pt>
                <c:pt idx="53">
                  <c:v>397.30601600000011</c:v>
                </c:pt>
                <c:pt idx="54">
                  <c:v>472.51415000000009</c:v>
                </c:pt>
                <c:pt idx="55">
                  <c:v>472.51415000000009</c:v>
                </c:pt>
                <c:pt idx="56">
                  <c:v>628.95841666666672</c:v>
                </c:pt>
                <c:pt idx="57">
                  <c:v>671.62508333333335</c:v>
                </c:pt>
                <c:pt idx="58">
                  <c:v>671.62508333333335</c:v>
                </c:pt>
                <c:pt idx="59">
                  <c:v>692.15841666666665</c:v>
                </c:pt>
                <c:pt idx="60">
                  <c:v>692.15841666666665</c:v>
                </c:pt>
                <c:pt idx="61">
                  <c:v>692.15841666666665</c:v>
                </c:pt>
                <c:pt idx="62">
                  <c:v>692.15841666666665</c:v>
                </c:pt>
                <c:pt idx="63">
                  <c:v>728.69841666666662</c:v>
                </c:pt>
                <c:pt idx="64">
                  <c:v>728.69841666666662</c:v>
                </c:pt>
                <c:pt idx="65">
                  <c:v>728.69841666666662</c:v>
                </c:pt>
                <c:pt idx="66">
                  <c:v>728.69841666666662</c:v>
                </c:pt>
                <c:pt idx="67">
                  <c:v>711.23481666666657</c:v>
                </c:pt>
                <c:pt idx="68">
                  <c:v>711.23481666666657</c:v>
                </c:pt>
                <c:pt idx="69">
                  <c:v>711.23481666666657</c:v>
                </c:pt>
                <c:pt idx="70">
                  <c:v>704.80041666666659</c:v>
                </c:pt>
                <c:pt idx="71">
                  <c:v>727.37961666666661</c:v>
                </c:pt>
                <c:pt idx="72">
                  <c:v>723.74601666666661</c:v>
                </c:pt>
                <c:pt idx="73">
                  <c:v>857.07934999999998</c:v>
                </c:pt>
                <c:pt idx="74">
                  <c:v>857.07934999999998</c:v>
                </c:pt>
                <c:pt idx="75">
                  <c:v>869.48354999999992</c:v>
                </c:pt>
              </c:numCache>
            </c:numRef>
          </c:yVal>
          <c:smooth val="0"/>
          <c:extLst>
            <c:ext xmlns:c16="http://schemas.microsoft.com/office/drawing/2014/chart" uri="{C3380CC4-5D6E-409C-BE32-E72D297353CC}">
              <c16:uniqueId val="{00000000-4528-4C24-90BB-4FE80F86FC47}"/>
            </c:ext>
          </c:extLst>
        </c:ser>
        <c:dLbls>
          <c:showLegendKey val="0"/>
          <c:showVal val="0"/>
          <c:showCatName val="0"/>
          <c:showSerName val="0"/>
          <c:showPercent val="0"/>
          <c:showBubbleSize val="0"/>
        </c:dLbls>
        <c:axId val="1859657056"/>
        <c:axId val="1859657888"/>
        <c:extLst/>
      </c:scatterChart>
      <c:valAx>
        <c:axId val="1859657056"/>
        <c:scaling>
          <c:orientation val="minMax"/>
          <c:min val="19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autoZero"/>
        <c:crossBetween val="midCat"/>
      </c:valAx>
      <c:valAx>
        <c:axId val="1859657888"/>
        <c:scaling>
          <c:orientation val="minMax"/>
          <c:max val="35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Bxl_Stock!$G$2</c:f>
              <c:strCache>
                <c:ptCount val="1"/>
                <c:pt idx="0">
                  <c:v>spacer, total lenght</c:v>
                </c:pt>
              </c:strCache>
            </c:strRef>
          </c:tx>
          <c:spPr>
            <a:ln w="19050" cap="rnd">
              <a:solidFill>
                <a:schemeClr val="accent1"/>
              </a:solidFill>
              <a:round/>
            </a:ln>
            <a:effectLst/>
          </c:spPr>
          <c:marker>
            <c:symbol val="none"/>
          </c:marker>
          <c:xVal>
            <c:numRef>
              <c:f>Bxl_Stock!$A$4:$A$79</c:f>
              <c:numCache>
                <c:formatCode>General</c:formatCode>
                <c:ptCount val="76"/>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pt idx="74">
                  <c:v>2024</c:v>
                </c:pt>
                <c:pt idx="75">
                  <c:v>2025</c:v>
                </c:pt>
              </c:numCache>
            </c:numRef>
          </c:xVal>
          <c:yVal>
            <c:numRef>
              <c:f>Bxl_Stock!$G$4:$G$79</c:f>
              <c:numCache>
                <c:formatCode>#,##0</c:formatCode>
                <c:ptCount val="7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15.63768</c:v>
                </c:pt>
                <c:pt idx="16">
                  <c:v>15.63768</c:v>
                </c:pt>
                <c:pt idx="17">
                  <c:v>15.63768</c:v>
                </c:pt>
                <c:pt idx="18">
                  <c:v>15.63768</c:v>
                </c:pt>
                <c:pt idx="19">
                  <c:v>15.63768</c:v>
                </c:pt>
                <c:pt idx="20">
                  <c:v>15.63768</c:v>
                </c:pt>
                <c:pt idx="21">
                  <c:v>15.63768</c:v>
                </c:pt>
                <c:pt idx="22">
                  <c:v>54.014480000000006</c:v>
                </c:pt>
                <c:pt idx="23">
                  <c:v>54.014480000000006</c:v>
                </c:pt>
                <c:pt idx="24">
                  <c:v>54.014480000000006</c:v>
                </c:pt>
                <c:pt idx="25">
                  <c:v>54.014480000000006</c:v>
                </c:pt>
                <c:pt idx="26">
                  <c:v>82.183279999999996</c:v>
                </c:pt>
                <c:pt idx="27">
                  <c:v>82.183279999999996</c:v>
                </c:pt>
                <c:pt idx="28">
                  <c:v>118.40827999999999</c:v>
                </c:pt>
                <c:pt idx="29">
                  <c:v>118.40827999999999</c:v>
                </c:pt>
                <c:pt idx="30">
                  <c:v>118.40827999999999</c:v>
                </c:pt>
                <c:pt idx="31">
                  <c:v>118.40827999999999</c:v>
                </c:pt>
                <c:pt idx="32">
                  <c:v>118.40827999999999</c:v>
                </c:pt>
                <c:pt idx="33">
                  <c:v>136.59787999999998</c:v>
                </c:pt>
                <c:pt idx="34">
                  <c:v>136.59787999999998</c:v>
                </c:pt>
                <c:pt idx="35">
                  <c:v>136.59787999999998</c:v>
                </c:pt>
                <c:pt idx="36">
                  <c:v>136.59787999999998</c:v>
                </c:pt>
                <c:pt idx="37">
                  <c:v>136.59787999999998</c:v>
                </c:pt>
                <c:pt idx="38">
                  <c:v>136.59787999999998</c:v>
                </c:pt>
                <c:pt idx="39">
                  <c:v>136.59787999999998</c:v>
                </c:pt>
                <c:pt idx="40">
                  <c:v>136.59787999999998</c:v>
                </c:pt>
                <c:pt idx="41">
                  <c:v>136.59787999999998</c:v>
                </c:pt>
                <c:pt idx="42">
                  <c:v>136.59787999999998</c:v>
                </c:pt>
                <c:pt idx="43">
                  <c:v>136.59787999999998</c:v>
                </c:pt>
                <c:pt idx="44">
                  <c:v>162.92347999999998</c:v>
                </c:pt>
                <c:pt idx="45">
                  <c:v>162.92347999999998</c:v>
                </c:pt>
                <c:pt idx="46">
                  <c:v>269.76917600000002</c:v>
                </c:pt>
                <c:pt idx="47">
                  <c:v>296.14997600000004</c:v>
                </c:pt>
                <c:pt idx="48">
                  <c:v>317.51957600000003</c:v>
                </c:pt>
                <c:pt idx="49">
                  <c:v>317.51957600000003</c:v>
                </c:pt>
                <c:pt idx="50">
                  <c:v>344.24597600000004</c:v>
                </c:pt>
                <c:pt idx="51">
                  <c:v>344.24597600000004</c:v>
                </c:pt>
                <c:pt idx="52">
                  <c:v>344.24597600000004</c:v>
                </c:pt>
                <c:pt idx="53">
                  <c:v>344.24597600000004</c:v>
                </c:pt>
                <c:pt idx="54">
                  <c:v>384.75209600000005</c:v>
                </c:pt>
                <c:pt idx="55">
                  <c:v>384.75209600000005</c:v>
                </c:pt>
                <c:pt idx="56">
                  <c:v>500.89846266666672</c:v>
                </c:pt>
                <c:pt idx="57">
                  <c:v>543.5651293333334</c:v>
                </c:pt>
                <c:pt idx="58">
                  <c:v>543.5651293333334</c:v>
                </c:pt>
                <c:pt idx="59">
                  <c:v>553.83179600000005</c:v>
                </c:pt>
                <c:pt idx="60">
                  <c:v>553.83179600000005</c:v>
                </c:pt>
                <c:pt idx="61">
                  <c:v>553.83179600000005</c:v>
                </c:pt>
                <c:pt idx="62">
                  <c:v>553.83179600000005</c:v>
                </c:pt>
                <c:pt idx="63">
                  <c:v>590.37179600000002</c:v>
                </c:pt>
                <c:pt idx="64">
                  <c:v>590.37179600000002</c:v>
                </c:pt>
                <c:pt idx="65">
                  <c:v>590.37179600000002</c:v>
                </c:pt>
                <c:pt idx="66">
                  <c:v>590.37179600000002</c:v>
                </c:pt>
                <c:pt idx="67">
                  <c:v>580.39259600000003</c:v>
                </c:pt>
                <c:pt idx="68">
                  <c:v>580.39259600000003</c:v>
                </c:pt>
                <c:pt idx="69">
                  <c:v>580.39259600000003</c:v>
                </c:pt>
                <c:pt idx="70">
                  <c:v>601.24259600000005</c:v>
                </c:pt>
                <c:pt idx="71">
                  <c:v>623.82179600000006</c:v>
                </c:pt>
                <c:pt idx="72">
                  <c:v>620.18819600000006</c:v>
                </c:pt>
                <c:pt idx="73">
                  <c:v>686.85486266666669</c:v>
                </c:pt>
                <c:pt idx="74">
                  <c:v>686.85486266666669</c:v>
                </c:pt>
                <c:pt idx="75">
                  <c:v>699.25906266666664</c:v>
                </c:pt>
              </c:numCache>
            </c:numRef>
          </c:yVal>
          <c:smooth val="0"/>
          <c:extLst>
            <c:ext xmlns:c16="http://schemas.microsoft.com/office/drawing/2014/chart" uri="{C3380CC4-5D6E-409C-BE32-E72D297353CC}">
              <c16:uniqueId val="{00000000-E20C-4A3A-A739-F1E114342D49}"/>
            </c:ext>
          </c:extLst>
        </c:ser>
        <c:dLbls>
          <c:showLegendKey val="0"/>
          <c:showVal val="0"/>
          <c:showCatName val="0"/>
          <c:showSerName val="0"/>
          <c:showPercent val="0"/>
          <c:showBubbleSize val="0"/>
        </c:dLbls>
        <c:axId val="1859657056"/>
        <c:axId val="1859657888"/>
        <c:extLst/>
      </c:scatterChart>
      <c:valAx>
        <c:axId val="1859657056"/>
        <c:scaling>
          <c:orientation val="minMax"/>
          <c:min val="19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888"/>
        <c:crosses val="autoZero"/>
        <c:crossBetween val="midCat"/>
      </c:valAx>
      <c:valAx>
        <c:axId val="1859657888"/>
        <c:scaling>
          <c:orientation val="minMax"/>
          <c:max val="35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657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18" Type="http://schemas.openxmlformats.org/officeDocument/2006/relationships/chart" Target="../charts/chart19.xml"/><Relationship Id="rId3" Type="http://schemas.openxmlformats.org/officeDocument/2006/relationships/chart" Target="../charts/chart4.xml"/><Relationship Id="rId21" Type="http://schemas.openxmlformats.org/officeDocument/2006/relationships/chart" Target="../charts/chart22.xml"/><Relationship Id="rId7" Type="http://schemas.openxmlformats.org/officeDocument/2006/relationships/chart" Target="../charts/chart8.xml"/><Relationship Id="rId12" Type="http://schemas.openxmlformats.org/officeDocument/2006/relationships/chart" Target="../charts/chart13.xml"/><Relationship Id="rId17" Type="http://schemas.openxmlformats.org/officeDocument/2006/relationships/chart" Target="../charts/chart18.xml"/><Relationship Id="rId2" Type="http://schemas.openxmlformats.org/officeDocument/2006/relationships/chart" Target="../charts/chart3.xml"/><Relationship Id="rId16" Type="http://schemas.openxmlformats.org/officeDocument/2006/relationships/chart" Target="../charts/chart17.xml"/><Relationship Id="rId20" Type="http://schemas.openxmlformats.org/officeDocument/2006/relationships/chart" Target="../charts/chart21.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5" Type="http://schemas.openxmlformats.org/officeDocument/2006/relationships/chart" Target="../charts/chart16.xml"/><Relationship Id="rId10" Type="http://schemas.openxmlformats.org/officeDocument/2006/relationships/chart" Target="../charts/chart11.xml"/><Relationship Id="rId19" Type="http://schemas.openxmlformats.org/officeDocument/2006/relationships/chart" Target="../charts/chart20.xml"/><Relationship Id="rId4" Type="http://schemas.openxmlformats.org/officeDocument/2006/relationships/chart" Target="../charts/chart5.xml"/><Relationship Id="rId9" Type="http://schemas.openxmlformats.org/officeDocument/2006/relationships/chart" Target="../charts/chart10.xml"/><Relationship Id="rId14" Type="http://schemas.openxmlformats.org/officeDocument/2006/relationships/chart" Target="../charts/chart15.xml"/><Relationship Id="rId22" Type="http://schemas.openxmlformats.org/officeDocument/2006/relationships/chart" Target="../charts/chart23.xml"/></Relationships>
</file>

<file path=xl/drawings/_rels/drawing3.xml.rels><?xml version="1.0" encoding="UTF-8" standalone="yes"?>
<Relationships xmlns="http://schemas.openxmlformats.org/package/2006/relationships"><Relationship Id="rId8" Type="http://schemas.openxmlformats.org/officeDocument/2006/relationships/chart" Target="../charts/chart31.xml"/><Relationship Id="rId13" Type="http://schemas.openxmlformats.org/officeDocument/2006/relationships/chart" Target="../charts/chart36.xml"/><Relationship Id="rId18" Type="http://schemas.openxmlformats.org/officeDocument/2006/relationships/chart" Target="../charts/chart41.xml"/><Relationship Id="rId3" Type="http://schemas.openxmlformats.org/officeDocument/2006/relationships/chart" Target="../charts/chart26.xml"/><Relationship Id="rId7" Type="http://schemas.openxmlformats.org/officeDocument/2006/relationships/chart" Target="../charts/chart30.xml"/><Relationship Id="rId12" Type="http://schemas.openxmlformats.org/officeDocument/2006/relationships/chart" Target="../charts/chart35.xml"/><Relationship Id="rId17" Type="http://schemas.openxmlformats.org/officeDocument/2006/relationships/chart" Target="../charts/chart40.xml"/><Relationship Id="rId2" Type="http://schemas.openxmlformats.org/officeDocument/2006/relationships/chart" Target="../charts/chart25.xml"/><Relationship Id="rId16" Type="http://schemas.openxmlformats.org/officeDocument/2006/relationships/chart" Target="../charts/chart39.xml"/><Relationship Id="rId1" Type="http://schemas.openxmlformats.org/officeDocument/2006/relationships/chart" Target="../charts/chart24.xml"/><Relationship Id="rId6" Type="http://schemas.openxmlformats.org/officeDocument/2006/relationships/chart" Target="../charts/chart29.xml"/><Relationship Id="rId11" Type="http://schemas.openxmlformats.org/officeDocument/2006/relationships/chart" Target="../charts/chart34.xml"/><Relationship Id="rId5" Type="http://schemas.openxmlformats.org/officeDocument/2006/relationships/chart" Target="../charts/chart28.xml"/><Relationship Id="rId15" Type="http://schemas.openxmlformats.org/officeDocument/2006/relationships/chart" Target="../charts/chart38.xml"/><Relationship Id="rId10" Type="http://schemas.openxmlformats.org/officeDocument/2006/relationships/chart" Target="../charts/chart33.xml"/><Relationship Id="rId4" Type="http://schemas.openxmlformats.org/officeDocument/2006/relationships/chart" Target="../charts/chart27.xml"/><Relationship Id="rId9" Type="http://schemas.openxmlformats.org/officeDocument/2006/relationships/chart" Target="../charts/chart32.xml"/><Relationship Id="rId14"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xdr:from>
      <xdr:col>5</xdr:col>
      <xdr:colOff>771525</xdr:colOff>
      <xdr:row>24</xdr:row>
      <xdr:rowOff>104775</xdr:rowOff>
    </xdr:from>
    <xdr:to>
      <xdr:col>11</xdr:col>
      <xdr:colOff>294825</xdr:colOff>
      <xdr:row>33</xdr:row>
      <xdr:rowOff>190275</xdr:rowOff>
    </xdr:to>
    <xdr:graphicFrame macro="">
      <xdr:nvGraphicFramePr>
        <xdr:cNvPr id="2" name="Chart 1">
          <a:extLst>
            <a:ext uri="{FF2B5EF4-FFF2-40B4-BE49-F238E27FC236}">
              <a16:creationId xmlns:a16="http://schemas.microsoft.com/office/drawing/2014/main" id="{CF0A66C5-AA97-4CEA-9AA7-CD0F269C9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481012</xdr:colOff>
      <xdr:row>2</xdr:row>
      <xdr:rowOff>47625</xdr:rowOff>
    </xdr:from>
    <xdr:to>
      <xdr:col>8</xdr:col>
      <xdr:colOff>533812</xdr:colOff>
      <xdr:row>11</xdr:row>
      <xdr:rowOff>133125</xdr:rowOff>
    </xdr:to>
    <xdr:graphicFrame macro="">
      <xdr:nvGraphicFramePr>
        <xdr:cNvPr id="8" name="Chart 7">
          <a:extLst>
            <a:ext uri="{FF2B5EF4-FFF2-40B4-BE49-F238E27FC236}">
              <a16:creationId xmlns:a16="http://schemas.microsoft.com/office/drawing/2014/main" id="{D6BEA5EC-4DDA-4DC8-A017-C181D01FDF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552450</xdr:colOff>
      <xdr:row>14</xdr:row>
      <xdr:rowOff>142875</xdr:rowOff>
    </xdr:from>
    <xdr:to>
      <xdr:col>8</xdr:col>
      <xdr:colOff>605250</xdr:colOff>
      <xdr:row>24</xdr:row>
      <xdr:rowOff>37875</xdr:rowOff>
    </xdr:to>
    <xdr:graphicFrame macro="">
      <xdr:nvGraphicFramePr>
        <xdr:cNvPr id="9" name="Chart 8">
          <a:extLst>
            <a:ext uri="{FF2B5EF4-FFF2-40B4-BE49-F238E27FC236}">
              <a16:creationId xmlns:a16="http://schemas.microsoft.com/office/drawing/2014/main" id="{E9E6D5D6-0FA6-406A-A072-A525949FBF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581025</xdr:colOff>
      <xdr:row>31</xdr:row>
      <xdr:rowOff>47625</xdr:rowOff>
    </xdr:from>
    <xdr:to>
      <xdr:col>9</xdr:col>
      <xdr:colOff>24225</xdr:colOff>
      <xdr:row>40</xdr:row>
      <xdr:rowOff>133125</xdr:rowOff>
    </xdr:to>
    <xdr:graphicFrame macro="">
      <xdr:nvGraphicFramePr>
        <xdr:cNvPr id="10" name="Chart 9">
          <a:extLst>
            <a:ext uri="{FF2B5EF4-FFF2-40B4-BE49-F238E27FC236}">
              <a16:creationId xmlns:a16="http://schemas.microsoft.com/office/drawing/2014/main" id="{07A00A42-6238-4A8D-924D-D88ABF1C14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xdr:row>
      <xdr:rowOff>0</xdr:rowOff>
    </xdr:from>
    <xdr:to>
      <xdr:col>18</xdr:col>
      <xdr:colOff>52800</xdr:colOff>
      <xdr:row>12</xdr:row>
      <xdr:rowOff>85500</xdr:rowOff>
    </xdr:to>
    <xdr:graphicFrame macro="">
      <xdr:nvGraphicFramePr>
        <xdr:cNvPr id="14" name="Chart 13">
          <a:extLst>
            <a:ext uri="{FF2B5EF4-FFF2-40B4-BE49-F238E27FC236}">
              <a16:creationId xmlns:a16="http://schemas.microsoft.com/office/drawing/2014/main" id="{4E852842-0B04-4366-A572-62A35F6B4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600075</xdr:colOff>
      <xdr:row>17</xdr:row>
      <xdr:rowOff>9525</xdr:rowOff>
    </xdr:from>
    <xdr:to>
      <xdr:col>18</xdr:col>
      <xdr:colOff>43275</xdr:colOff>
      <xdr:row>26</xdr:row>
      <xdr:rowOff>95025</xdr:rowOff>
    </xdr:to>
    <xdr:graphicFrame macro="">
      <xdr:nvGraphicFramePr>
        <xdr:cNvPr id="15" name="Chart 14">
          <a:extLst>
            <a:ext uri="{FF2B5EF4-FFF2-40B4-BE49-F238E27FC236}">
              <a16:creationId xmlns:a16="http://schemas.microsoft.com/office/drawing/2014/main" id="{F365031B-6152-4CDB-AD9C-759A6E4E0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547687</xdr:colOff>
      <xdr:row>3</xdr:row>
      <xdr:rowOff>38100</xdr:rowOff>
    </xdr:from>
    <xdr:to>
      <xdr:col>27</xdr:col>
      <xdr:colOff>600487</xdr:colOff>
      <xdr:row>14</xdr:row>
      <xdr:rowOff>102600</xdr:rowOff>
    </xdr:to>
    <xdr:graphicFrame macro="">
      <xdr:nvGraphicFramePr>
        <xdr:cNvPr id="17" name="Chart 16">
          <a:extLst>
            <a:ext uri="{FF2B5EF4-FFF2-40B4-BE49-F238E27FC236}">
              <a16:creationId xmlns:a16="http://schemas.microsoft.com/office/drawing/2014/main" id="{96085EAE-B76D-42F7-BBF9-D156C3BB3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31</xdr:col>
      <xdr:colOff>490537</xdr:colOff>
      <xdr:row>1</xdr:row>
      <xdr:rowOff>76200</xdr:rowOff>
    </xdr:from>
    <xdr:to>
      <xdr:col>38</xdr:col>
      <xdr:colOff>543337</xdr:colOff>
      <xdr:row>10</xdr:row>
      <xdr:rowOff>161700</xdr:rowOff>
    </xdr:to>
    <xdr:graphicFrame macro="">
      <xdr:nvGraphicFramePr>
        <xdr:cNvPr id="18" name="Chart 17">
          <a:extLst>
            <a:ext uri="{FF2B5EF4-FFF2-40B4-BE49-F238E27FC236}">
              <a16:creationId xmlns:a16="http://schemas.microsoft.com/office/drawing/2014/main" id="{B23D2847-C52C-468C-8488-DFB736C3E7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552450</xdr:colOff>
      <xdr:row>14</xdr:row>
      <xdr:rowOff>142875</xdr:rowOff>
    </xdr:from>
    <xdr:to>
      <xdr:col>38</xdr:col>
      <xdr:colOff>605250</xdr:colOff>
      <xdr:row>24</xdr:row>
      <xdr:rowOff>37875</xdr:rowOff>
    </xdr:to>
    <xdr:graphicFrame macro="">
      <xdr:nvGraphicFramePr>
        <xdr:cNvPr id="19" name="Chart 18">
          <a:extLst>
            <a:ext uri="{FF2B5EF4-FFF2-40B4-BE49-F238E27FC236}">
              <a16:creationId xmlns:a16="http://schemas.microsoft.com/office/drawing/2014/main" id="{CFF1B200-D546-4F29-83EB-5FBFF4E8F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31</xdr:col>
      <xdr:colOff>581025</xdr:colOff>
      <xdr:row>31</xdr:row>
      <xdr:rowOff>47625</xdr:rowOff>
    </xdr:from>
    <xdr:to>
      <xdr:col>39</xdr:col>
      <xdr:colOff>24225</xdr:colOff>
      <xdr:row>40</xdr:row>
      <xdr:rowOff>133125</xdr:rowOff>
    </xdr:to>
    <xdr:graphicFrame macro="">
      <xdr:nvGraphicFramePr>
        <xdr:cNvPr id="20" name="Chart 19">
          <a:extLst>
            <a:ext uri="{FF2B5EF4-FFF2-40B4-BE49-F238E27FC236}">
              <a16:creationId xmlns:a16="http://schemas.microsoft.com/office/drawing/2014/main" id="{B237F266-C311-48C8-AE08-AC3AA2958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41</xdr:col>
      <xdr:colOff>0</xdr:colOff>
      <xdr:row>3</xdr:row>
      <xdr:rowOff>0</xdr:rowOff>
    </xdr:from>
    <xdr:to>
      <xdr:col>48</xdr:col>
      <xdr:colOff>52800</xdr:colOff>
      <xdr:row>12</xdr:row>
      <xdr:rowOff>85500</xdr:rowOff>
    </xdr:to>
    <xdr:graphicFrame macro="">
      <xdr:nvGraphicFramePr>
        <xdr:cNvPr id="21" name="Chart 20">
          <a:extLst>
            <a:ext uri="{FF2B5EF4-FFF2-40B4-BE49-F238E27FC236}">
              <a16:creationId xmlns:a16="http://schemas.microsoft.com/office/drawing/2014/main" id="{CEDCBB24-0EAF-41D1-92A5-09A63C8199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41</xdr:col>
      <xdr:colOff>19050</xdr:colOff>
      <xdr:row>17</xdr:row>
      <xdr:rowOff>76200</xdr:rowOff>
    </xdr:from>
    <xdr:to>
      <xdr:col>48</xdr:col>
      <xdr:colOff>71850</xdr:colOff>
      <xdr:row>26</xdr:row>
      <xdr:rowOff>161700</xdr:rowOff>
    </xdr:to>
    <xdr:graphicFrame macro="">
      <xdr:nvGraphicFramePr>
        <xdr:cNvPr id="22" name="Chart 21">
          <a:extLst>
            <a:ext uri="{FF2B5EF4-FFF2-40B4-BE49-F238E27FC236}">
              <a16:creationId xmlns:a16="http://schemas.microsoft.com/office/drawing/2014/main" id="{99B4FD47-CC1A-4317-A3A0-92A370389A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0</xdr:colOff>
      <xdr:row>55</xdr:row>
      <xdr:rowOff>76200</xdr:rowOff>
    </xdr:from>
    <xdr:to>
      <xdr:col>8</xdr:col>
      <xdr:colOff>52800</xdr:colOff>
      <xdr:row>66</xdr:row>
      <xdr:rowOff>140700</xdr:rowOff>
    </xdr:to>
    <xdr:graphicFrame macro="">
      <xdr:nvGraphicFramePr>
        <xdr:cNvPr id="23" name="Chart 22">
          <a:extLst>
            <a:ext uri="{FF2B5EF4-FFF2-40B4-BE49-F238E27FC236}">
              <a16:creationId xmlns:a16="http://schemas.microsoft.com/office/drawing/2014/main" id="{3427B4E2-F243-43C8-A22F-5F64DFDF1A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0</xdr:colOff>
      <xdr:row>73</xdr:row>
      <xdr:rowOff>0</xdr:rowOff>
    </xdr:from>
    <xdr:to>
      <xdr:col>8</xdr:col>
      <xdr:colOff>52800</xdr:colOff>
      <xdr:row>84</xdr:row>
      <xdr:rowOff>64500</xdr:rowOff>
    </xdr:to>
    <xdr:graphicFrame macro="">
      <xdr:nvGraphicFramePr>
        <xdr:cNvPr id="24" name="Chart 23">
          <a:extLst>
            <a:ext uri="{FF2B5EF4-FFF2-40B4-BE49-F238E27FC236}">
              <a16:creationId xmlns:a16="http://schemas.microsoft.com/office/drawing/2014/main" id="{584B6D7F-81A8-4E50-ACF1-CECEFBDAF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28575</xdr:colOff>
      <xdr:row>86</xdr:row>
      <xdr:rowOff>152400</xdr:rowOff>
    </xdr:from>
    <xdr:to>
      <xdr:col>8</xdr:col>
      <xdr:colOff>81375</xdr:colOff>
      <xdr:row>98</xdr:row>
      <xdr:rowOff>26400</xdr:rowOff>
    </xdr:to>
    <xdr:graphicFrame macro="">
      <xdr:nvGraphicFramePr>
        <xdr:cNvPr id="25" name="Chart 24">
          <a:extLst>
            <a:ext uri="{FF2B5EF4-FFF2-40B4-BE49-F238E27FC236}">
              <a16:creationId xmlns:a16="http://schemas.microsoft.com/office/drawing/2014/main" id="{621DBFA4-4B60-48A8-A8BF-FCEA7AC02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51</xdr:col>
      <xdr:colOff>109537</xdr:colOff>
      <xdr:row>4</xdr:row>
      <xdr:rowOff>104775</xdr:rowOff>
    </xdr:from>
    <xdr:to>
      <xdr:col>58</xdr:col>
      <xdr:colOff>162337</xdr:colOff>
      <xdr:row>15</xdr:row>
      <xdr:rowOff>169275</xdr:rowOff>
    </xdr:to>
    <xdr:graphicFrame macro="">
      <xdr:nvGraphicFramePr>
        <xdr:cNvPr id="26" name="Chart 25">
          <a:extLst>
            <a:ext uri="{FF2B5EF4-FFF2-40B4-BE49-F238E27FC236}">
              <a16:creationId xmlns:a16="http://schemas.microsoft.com/office/drawing/2014/main" id="{E82B0FBB-F1F7-4F63-8785-033769E7EC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51</xdr:col>
      <xdr:colOff>190500</xdr:colOff>
      <xdr:row>20</xdr:row>
      <xdr:rowOff>95250</xdr:rowOff>
    </xdr:from>
    <xdr:to>
      <xdr:col>58</xdr:col>
      <xdr:colOff>243300</xdr:colOff>
      <xdr:row>31</xdr:row>
      <xdr:rowOff>159750</xdr:rowOff>
    </xdr:to>
    <xdr:graphicFrame macro="">
      <xdr:nvGraphicFramePr>
        <xdr:cNvPr id="27" name="Chart 26">
          <a:extLst>
            <a:ext uri="{FF2B5EF4-FFF2-40B4-BE49-F238E27FC236}">
              <a16:creationId xmlns:a16="http://schemas.microsoft.com/office/drawing/2014/main" id="{A1E451E9-5DF2-4EEC-AC09-97F777477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21</xdr:col>
      <xdr:colOff>0</xdr:colOff>
      <xdr:row>17</xdr:row>
      <xdr:rowOff>0</xdr:rowOff>
    </xdr:from>
    <xdr:to>
      <xdr:col>28</xdr:col>
      <xdr:colOff>52800</xdr:colOff>
      <xdr:row>28</xdr:row>
      <xdr:rowOff>64500</xdr:rowOff>
    </xdr:to>
    <xdr:graphicFrame macro="">
      <xdr:nvGraphicFramePr>
        <xdr:cNvPr id="28" name="Chart 27">
          <a:extLst>
            <a:ext uri="{FF2B5EF4-FFF2-40B4-BE49-F238E27FC236}">
              <a16:creationId xmlns:a16="http://schemas.microsoft.com/office/drawing/2014/main" id="{72DD5EAA-AD34-4F9A-A574-E649046084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21</xdr:col>
      <xdr:colOff>9525</xdr:colOff>
      <xdr:row>30</xdr:row>
      <xdr:rowOff>95250</xdr:rowOff>
    </xdr:from>
    <xdr:to>
      <xdr:col>28</xdr:col>
      <xdr:colOff>62325</xdr:colOff>
      <xdr:row>41</xdr:row>
      <xdr:rowOff>159750</xdr:rowOff>
    </xdr:to>
    <xdr:graphicFrame macro="">
      <xdr:nvGraphicFramePr>
        <xdr:cNvPr id="29" name="Chart 28">
          <a:extLst>
            <a:ext uri="{FF2B5EF4-FFF2-40B4-BE49-F238E27FC236}">
              <a16:creationId xmlns:a16="http://schemas.microsoft.com/office/drawing/2014/main" id="{8D61F9CD-E304-40F4-B74F-9FE1A19EFD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62</xdr:col>
      <xdr:colOff>0</xdr:colOff>
      <xdr:row>5</xdr:row>
      <xdr:rowOff>0</xdr:rowOff>
    </xdr:from>
    <xdr:to>
      <xdr:col>69</xdr:col>
      <xdr:colOff>52800</xdr:colOff>
      <xdr:row>14</xdr:row>
      <xdr:rowOff>85500</xdr:rowOff>
    </xdr:to>
    <xdr:graphicFrame macro="">
      <xdr:nvGraphicFramePr>
        <xdr:cNvPr id="30" name="Chart 29">
          <a:extLst>
            <a:ext uri="{FF2B5EF4-FFF2-40B4-BE49-F238E27FC236}">
              <a16:creationId xmlns:a16="http://schemas.microsoft.com/office/drawing/2014/main" id="{25E3C620-68BF-478C-8B17-6559712B2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70</xdr:col>
      <xdr:colOff>495300</xdr:colOff>
      <xdr:row>5</xdr:row>
      <xdr:rowOff>85725</xdr:rowOff>
    </xdr:from>
    <xdr:to>
      <xdr:col>77</xdr:col>
      <xdr:colOff>548100</xdr:colOff>
      <xdr:row>14</xdr:row>
      <xdr:rowOff>171225</xdr:rowOff>
    </xdr:to>
    <xdr:graphicFrame macro="">
      <xdr:nvGraphicFramePr>
        <xdr:cNvPr id="32" name="Chart 31">
          <a:extLst>
            <a:ext uri="{FF2B5EF4-FFF2-40B4-BE49-F238E27FC236}">
              <a16:creationId xmlns:a16="http://schemas.microsoft.com/office/drawing/2014/main" id="{171B9EC0-1C50-461A-8911-8290893C1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62</xdr:col>
      <xdr:colOff>0</xdr:colOff>
      <xdr:row>21</xdr:row>
      <xdr:rowOff>28575</xdr:rowOff>
    </xdr:from>
    <xdr:to>
      <xdr:col>69</xdr:col>
      <xdr:colOff>52800</xdr:colOff>
      <xdr:row>30</xdr:row>
      <xdr:rowOff>114075</xdr:rowOff>
    </xdr:to>
    <xdr:graphicFrame macro="">
      <xdr:nvGraphicFramePr>
        <xdr:cNvPr id="33" name="Chart 32">
          <a:extLst>
            <a:ext uri="{FF2B5EF4-FFF2-40B4-BE49-F238E27FC236}">
              <a16:creationId xmlns:a16="http://schemas.microsoft.com/office/drawing/2014/main" id="{91DEE0B7-354B-453C-9DF4-EA7FE10D9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70</xdr:col>
      <xdr:colOff>552450</xdr:colOff>
      <xdr:row>20</xdr:row>
      <xdr:rowOff>171450</xdr:rowOff>
    </xdr:from>
    <xdr:to>
      <xdr:col>77</xdr:col>
      <xdr:colOff>605250</xdr:colOff>
      <xdr:row>30</xdr:row>
      <xdr:rowOff>66450</xdr:rowOff>
    </xdr:to>
    <xdr:graphicFrame macro="">
      <xdr:nvGraphicFramePr>
        <xdr:cNvPr id="35" name="Chart 34">
          <a:extLst>
            <a:ext uri="{FF2B5EF4-FFF2-40B4-BE49-F238E27FC236}">
              <a16:creationId xmlns:a16="http://schemas.microsoft.com/office/drawing/2014/main" id="{0B21C69A-9BB3-4AAE-A47A-A8D9791B78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490537</xdr:colOff>
      <xdr:row>1</xdr:row>
      <xdr:rowOff>76200</xdr:rowOff>
    </xdr:from>
    <xdr:to>
      <xdr:col>8</xdr:col>
      <xdr:colOff>543337</xdr:colOff>
      <xdr:row>10</xdr:row>
      <xdr:rowOff>161700</xdr:rowOff>
    </xdr:to>
    <xdr:graphicFrame macro="">
      <xdr:nvGraphicFramePr>
        <xdr:cNvPr id="2" name="Chart 1">
          <a:extLst>
            <a:ext uri="{FF2B5EF4-FFF2-40B4-BE49-F238E27FC236}">
              <a16:creationId xmlns:a16="http://schemas.microsoft.com/office/drawing/2014/main" id="{8CDB9022-358D-4D21-B1DB-CC2479E75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552450</xdr:colOff>
      <xdr:row>14</xdr:row>
      <xdr:rowOff>142875</xdr:rowOff>
    </xdr:from>
    <xdr:to>
      <xdr:col>8</xdr:col>
      <xdr:colOff>605250</xdr:colOff>
      <xdr:row>24</xdr:row>
      <xdr:rowOff>37875</xdr:rowOff>
    </xdr:to>
    <xdr:graphicFrame macro="">
      <xdr:nvGraphicFramePr>
        <xdr:cNvPr id="3" name="Chart 2">
          <a:extLst>
            <a:ext uri="{FF2B5EF4-FFF2-40B4-BE49-F238E27FC236}">
              <a16:creationId xmlns:a16="http://schemas.microsoft.com/office/drawing/2014/main" id="{E936920B-31F6-4452-99F0-60203F2E5E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581025</xdr:colOff>
      <xdr:row>31</xdr:row>
      <xdr:rowOff>47625</xdr:rowOff>
    </xdr:from>
    <xdr:to>
      <xdr:col>9</xdr:col>
      <xdr:colOff>24225</xdr:colOff>
      <xdr:row>40</xdr:row>
      <xdr:rowOff>133125</xdr:rowOff>
    </xdr:to>
    <xdr:graphicFrame macro="">
      <xdr:nvGraphicFramePr>
        <xdr:cNvPr id="4" name="Chart 3">
          <a:extLst>
            <a:ext uri="{FF2B5EF4-FFF2-40B4-BE49-F238E27FC236}">
              <a16:creationId xmlns:a16="http://schemas.microsoft.com/office/drawing/2014/main" id="{BCAA02DE-4C30-4B94-98DB-CF4014F34C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3</xdr:row>
      <xdr:rowOff>0</xdr:rowOff>
    </xdr:from>
    <xdr:to>
      <xdr:col>18</xdr:col>
      <xdr:colOff>52800</xdr:colOff>
      <xdr:row>12</xdr:row>
      <xdr:rowOff>85500</xdr:rowOff>
    </xdr:to>
    <xdr:graphicFrame macro="">
      <xdr:nvGraphicFramePr>
        <xdr:cNvPr id="5" name="Chart 4">
          <a:extLst>
            <a:ext uri="{FF2B5EF4-FFF2-40B4-BE49-F238E27FC236}">
              <a16:creationId xmlns:a16="http://schemas.microsoft.com/office/drawing/2014/main" id="{DA7C1DB7-6E23-433D-AB85-59C5958D8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600075</xdr:colOff>
      <xdr:row>17</xdr:row>
      <xdr:rowOff>9525</xdr:rowOff>
    </xdr:from>
    <xdr:to>
      <xdr:col>18</xdr:col>
      <xdr:colOff>43275</xdr:colOff>
      <xdr:row>26</xdr:row>
      <xdr:rowOff>95025</xdr:rowOff>
    </xdr:to>
    <xdr:graphicFrame macro="">
      <xdr:nvGraphicFramePr>
        <xdr:cNvPr id="6" name="Chart 5">
          <a:extLst>
            <a:ext uri="{FF2B5EF4-FFF2-40B4-BE49-F238E27FC236}">
              <a16:creationId xmlns:a16="http://schemas.microsoft.com/office/drawing/2014/main" id="{92AAA11A-7F0C-4A8F-902B-F127CA012B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547687</xdr:colOff>
      <xdr:row>3</xdr:row>
      <xdr:rowOff>38100</xdr:rowOff>
    </xdr:from>
    <xdr:to>
      <xdr:col>27</xdr:col>
      <xdr:colOff>600487</xdr:colOff>
      <xdr:row>14</xdr:row>
      <xdr:rowOff>102600</xdr:rowOff>
    </xdr:to>
    <xdr:graphicFrame macro="">
      <xdr:nvGraphicFramePr>
        <xdr:cNvPr id="7" name="Chart 6">
          <a:extLst>
            <a:ext uri="{FF2B5EF4-FFF2-40B4-BE49-F238E27FC236}">
              <a16:creationId xmlns:a16="http://schemas.microsoft.com/office/drawing/2014/main" id="{6E494A12-0CD2-4B23-94BC-1D3F78BAA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31</xdr:col>
      <xdr:colOff>490537</xdr:colOff>
      <xdr:row>1</xdr:row>
      <xdr:rowOff>76200</xdr:rowOff>
    </xdr:from>
    <xdr:to>
      <xdr:col>38</xdr:col>
      <xdr:colOff>543337</xdr:colOff>
      <xdr:row>10</xdr:row>
      <xdr:rowOff>161700</xdr:rowOff>
    </xdr:to>
    <xdr:graphicFrame macro="">
      <xdr:nvGraphicFramePr>
        <xdr:cNvPr id="8" name="Chart 7">
          <a:extLst>
            <a:ext uri="{FF2B5EF4-FFF2-40B4-BE49-F238E27FC236}">
              <a16:creationId xmlns:a16="http://schemas.microsoft.com/office/drawing/2014/main" id="{B1332E91-D7CC-4660-AFAC-0B079852F5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552450</xdr:colOff>
      <xdr:row>14</xdr:row>
      <xdr:rowOff>142875</xdr:rowOff>
    </xdr:from>
    <xdr:to>
      <xdr:col>38</xdr:col>
      <xdr:colOff>605250</xdr:colOff>
      <xdr:row>24</xdr:row>
      <xdr:rowOff>37875</xdr:rowOff>
    </xdr:to>
    <xdr:graphicFrame macro="">
      <xdr:nvGraphicFramePr>
        <xdr:cNvPr id="9" name="Chart 8">
          <a:extLst>
            <a:ext uri="{FF2B5EF4-FFF2-40B4-BE49-F238E27FC236}">
              <a16:creationId xmlns:a16="http://schemas.microsoft.com/office/drawing/2014/main" id="{48DE5D8E-21CE-4605-B5EA-84CA040BA8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31</xdr:col>
      <xdr:colOff>581025</xdr:colOff>
      <xdr:row>31</xdr:row>
      <xdr:rowOff>47625</xdr:rowOff>
    </xdr:from>
    <xdr:to>
      <xdr:col>39</xdr:col>
      <xdr:colOff>24225</xdr:colOff>
      <xdr:row>40</xdr:row>
      <xdr:rowOff>133125</xdr:rowOff>
    </xdr:to>
    <xdr:graphicFrame macro="">
      <xdr:nvGraphicFramePr>
        <xdr:cNvPr id="10" name="Chart 9">
          <a:extLst>
            <a:ext uri="{FF2B5EF4-FFF2-40B4-BE49-F238E27FC236}">
              <a16:creationId xmlns:a16="http://schemas.microsoft.com/office/drawing/2014/main" id="{34BD59ED-507C-47E6-87DB-AD45F5D14C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41</xdr:col>
      <xdr:colOff>0</xdr:colOff>
      <xdr:row>3</xdr:row>
      <xdr:rowOff>0</xdr:rowOff>
    </xdr:from>
    <xdr:to>
      <xdr:col>48</xdr:col>
      <xdr:colOff>52800</xdr:colOff>
      <xdr:row>12</xdr:row>
      <xdr:rowOff>85500</xdr:rowOff>
    </xdr:to>
    <xdr:graphicFrame macro="">
      <xdr:nvGraphicFramePr>
        <xdr:cNvPr id="11" name="Chart 10">
          <a:extLst>
            <a:ext uri="{FF2B5EF4-FFF2-40B4-BE49-F238E27FC236}">
              <a16:creationId xmlns:a16="http://schemas.microsoft.com/office/drawing/2014/main" id="{9F03A2C0-CBDA-40C3-A3E2-D447BEBF9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41</xdr:col>
      <xdr:colOff>19050</xdr:colOff>
      <xdr:row>17</xdr:row>
      <xdr:rowOff>76200</xdr:rowOff>
    </xdr:from>
    <xdr:to>
      <xdr:col>48</xdr:col>
      <xdr:colOff>71850</xdr:colOff>
      <xdr:row>26</xdr:row>
      <xdr:rowOff>161700</xdr:rowOff>
    </xdr:to>
    <xdr:graphicFrame macro="">
      <xdr:nvGraphicFramePr>
        <xdr:cNvPr id="12" name="Chart 11">
          <a:extLst>
            <a:ext uri="{FF2B5EF4-FFF2-40B4-BE49-F238E27FC236}">
              <a16:creationId xmlns:a16="http://schemas.microsoft.com/office/drawing/2014/main" id="{26B8CEE4-F658-4A4D-A9D7-E582660F0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0</xdr:colOff>
      <xdr:row>55</xdr:row>
      <xdr:rowOff>76200</xdr:rowOff>
    </xdr:from>
    <xdr:to>
      <xdr:col>8</xdr:col>
      <xdr:colOff>52800</xdr:colOff>
      <xdr:row>66</xdr:row>
      <xdr:rowOff>140700</xdr:rowOff>
    </xdr:to>
    <xdr:graphicFrame macro="">
      <xdr:nvGraphicFramePr>
        <xdr:cNvPr id="13" name="Chart 12">
          <a:extLst>
            <a:ext uri="{FF2B5EF4-FFF2-40B4-BE49-F238E27FC236}">
              <a16:creationId xmlns:a16="http://schemas.microsoft.com/office/drawing/2014/main" id="{579A9906-B211-487C-A491-BA4620192C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0</xdr:colOff>
      <xdr:row>73</xdr:row>
      <xdr:rowOff>0</xdr:rowOff>
    </xdr:from>
    <xdr:to>
      <xdr:col>8</xdr:col>
      <xdr:colOff>52800</xdr:colOff>
      <xdr:row>84</xdr:row>
      <xdr:rowOff>64500</xdr:rowOff>
    </xdr:to>
    <xdr:graphicFrame macro="">
      <xdr:nvGraphicFramePr>
        <xdr:cNvPr id="14" name="Chart 13">
          <a:extLst>
            <a:ext uri="{FF2B5EF4-FFF2-40B4-BE49-F238E27FC236}">
              <a16:creationId xmlns:a16="http://schemas.microsoft.com/office/drawing/2014/main" id="{859380BA-C9C0-4029-A778-81BD9FF360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28575</xdr:colOff>
      <xdr:row>86</xdr:row>
      <xdr:rowOff>152400</xdr:rowOff>
    </xdr:from>
    <xdr:to>
      <xdr:col>8</xdr:col>
      <xdr:colOff>81375</xdr:colOff>
      <xdr:row>98</xdr:row>
      <xdr:rowOff>26400</xdr:rowOff>
    </xdr:to>
    <xdr:graphicFrame macro="">
      <xdr:nvGraphicFramePr>
        <xdr:cNvPr id="15" name="Chart 14">
          <a:extLst>
            <a:ext uri="{FF2B5EF4-FFF2-40B4-BE49-F238E27FC236}">
              <a16:creationId xmlns:a16="http://schemas.microsoft.com/office/drawing/2014/main" id="{BB84D274-F755-4F84-9A25-E6897BD64F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51</xdr:col>
      <xdr:colOff>109537</xdr:colOff>
      <xdr:row>4</xdr:row>
      <xdr:rowOff>104775</xdr:rowOff>
    </xdr:from>
    <xdr:to>
      <xdr:col>58</xdr:col>
      <xdr:colOff>162337</xdr:colOff>
      <xdr:row>15</xdr:row>
      <xdr:rowOff>169275</xdr:rowOff>
    </xdr:to>
    <xdr:graphicFrame macro="">
      <xdr:nvGraphicFramePr>
        <xdr:cNvPr id="16" name="Chart 15">
          <a:extLst>
            <a:ext uri="{FF2B5EF4-FFF2-40B4-BE49-F238E27FC236}">
              <a16:creationId xmlns:a16="http://schemas.microsoft.com/office/drawing/2014/main" id="{1FE707A3-EDB2-40AE-8BA8-6635C1C54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51</xdr:col>
      <xdr:colOff>190500</xdr:colOff>
      <xdr:row>20</xdr:row>
      <xdr:rowOff>95250</xdr:rowOff>
    </xdr:from>
    <xdr:to>
      <xdr:col>58</xdr:col>
      <xdr:colOff>243300</xdr:colOff>
      <xdr:row>31</xdr:row>
      <xdr:rowOff>159750</xdr:rowOff>
    </xdr:to>
    <xdr:graphicFrame macro="">
      <xdr:nvGraphicFramePr>
        <xdr:cNvPr id="17" name="Chart 16">
          <a:extLst>
            <a:ext uri="{FF2B5EF4-FFF2-40B4-BE49-F238E27FC236}">
              <a16:creationId xmlns:a16="http://schemas.microsoft.com/office/drawing/2014/main" id="{AE7B44CB-97B6-4593-BE3F-F0195BE3A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21</xdr:col>
      <xdr:colOff>0</xdr:colOff>
      <xdr:row>19</xdr:row>
      <xdr:rowOff>0</xdr:rowOff>
    </xdr:from>
    <xdr:to>
      <xdr:col>28</xdr:col>
      <xdr:colOff>52800</xdr:colOff>
      <xdr:row>30</xdr:row>
      <xdr:rowOff>64500</xdr:rowOff>
    </xdr:to>
    <xdr:graphicFrame macro="">
      <xdr:nvGraphicFramePr>
        <xdr:cNvPr id="18" name="Chart 17">
          <a:extLst>
            <a:ext uri="{FF2B5EF4-FFF2-40B4-BE49-F238E27FC236}">
              <a16:creationId xmlns:a16="http://schemas.microsoft.com/office/drawing/2014/main" id="{6E1A05E4-54FF-4533-83C2-B26D45C36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21</xdr:col>
      <xdr:colOff>0</xdr:colOff>
      <xdr:row>33</xdr:row>
      <xdr:rowOff>0</xdr:rowOff>
    </xdr:from>
    <xdr:to>
      <xdr:col>28</xdr:col>
      <xdr:colOff>52800</xdr:colOff>
      <xdr:row>44</xdr:row>
      <xdr:rowOff>64500</xdr:rowOff>
    </xdr:to>
    <xdr:graphicFrame macro="">
      <xdr:nvGraphicFramePr>
        <xdr:cNvPr id="19" name="Chart 18">
          <a:extLst>
            <a:ext uri="{FF2B5EF4-FFF2-40B4-BE49-F238E27FC236}">
              <a16:creationId xmlns:a16="http://schemas.microsoft.com/office/drawing/2014/main" id="{18F1400F-67DF-4914-B343-748B9D164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www.cstb.fr/archives/webzines/editions/avril-2004/la-tour-pb12-en-ses-nouveaux-habits.html" TargetMode="External"/><Relationship Id="rId13" Type="http://schemas.openxmlformats.org/officeDocument/2006/relationships/hyperlink" Target="https://www.pca-stream.com/fr/projets/the-link-39" TargetMode="External"/><Relationship Id="rId18" Type="http://schemas.openxmlformats.org/officeDocument/2006/relationships/comments" Target="../comments1.xml"/><Relationship Id="rId3" Type="http://schemas.openxmlformats.org/officeDocument/2006/relationships/hyperlink" Target="http://www.perraultarchitecture.com/fr/projets/3295-restructuration_des_tours_pascal_a_la_defense_-_landscape.html" TargetMode="External"/><Relationship Id="rId7" Type="http://schemas.openxmlformats.org/officeDocument/2006/relationships/hyperlink" Target="https://www.lbb-architecture.com/portfolio/bureaux-kupka" TargetMode="External"/><Relationship Id="rId12" Type="http://schemas.openxmlformats.org/officeDocument/2006/relationships/hyperlink" Target="https://www.christiandeportzamparc.com/fr/projects/eria-puteaux/" TargetMode="External"/><Relationship Id="rId17" Type="http://schemas.openxmlformats.org/officeDocument/2006/relationships/vmlDrawing" Target="../drawings/vmlDrawing1.vml"/><Relationship Id="rId2" Type="http://schemas.openxmlformats.org/officeDocument/2006/relationships/hyperlink" Target="https://saa-architectes.com/projets/travailler-au-galion/" TargetMode="External"/><Relationship Id="rId16" Type="http://schemas.openxmlformats.org/officeDocument/2006/relationships/printerSettings" Target="../printerSettings/printerSettings1.bin"/><Relationship Id="rId1" Type="http://schemas.openxmlformats.org/officeDocument/2006/relationships/hyperlink" Target="https://parisladefense.com/fr/decouvrir/tours/bellini-residence" TargetMode="External"/><Relationship Id="rId6" Type="http://schemas.openxmlformats.org/officeDocument/2006/relationships/hyperlink" Target="https://parisladefense.com/fr/decouvrir/tours/eqho" TargetMode="External"/><Relationship Id="rId11" Type="http://schemas.openxmlformats.org/officeDocument/2006/relationships/hyperlink" Target="http://www.goyer.fr/projet/la-tour-granite/" TargetMode="External"/><Relationship Id="rId5" Type="http://schemas.openxmlformats.org/officeDocument/2006/relationships/hyperlink" Target="https://parisladefense.com/fr/projet/carre-michelet" TargetMode="External"/><Relationship Id="rId15" Type="http://schemas.openxmlformats.org/officeDocument/2006/relationships/hyperlink" Target="https://www.pss-archi.eu/immeubles/FR-92062-2577.html" TargetMode="External"/><Relationship Id="rId10" Type="http://schemas.openxmlformats.org/officeDocument/2006/relationships/hyperlink" Target="http://www.goyer.fr/projet/tour-defense-plaza/" TargetMode="External"/><Relationship Id="rId4" Type="http://schemas.openxmlformats.org/officeDocument/2006/relationships/hyperlink" Target="https://parisladefense.com/fr/decouvrir/tours/allianz-one" TargetMode="External"/><Relationship Id="rId9" Type="http://schemas.openxmlformats.org/officeDocument/2006/relationships/hyperlink" Target="http://www.goyer.fr/projet/berkeley/" TargetMode="External"/><Relationship Id="rId14" Type="http://schemas.openxmlformats.org/officeDocument/2006/relationships/hyperlink" Target="https://www.aimarchitectes.com/realisations/bureaux/realisation-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8" Type="http://schemas.openxmlformats.org/officeDocument/2006/relationships/hyperlink" Target="https://www.jaspers-eyers.be/engie-electrabel-hq" TargetMode="External"/><Relationship Id="rId13" Type="http://schemas.openxmlformats.org/officeDocument/2006/relationships/printerSettings" Target="../printerSettings/printerSettings4.bin"/><Relationship Id="rId3" Type="http://schemas.openxmlformats.org/officeDocument/2006/relationships/hyperlink" Target="https://monument.heritage.brussels/nl/buildings/37502" TargetMode="External"/><Relationship Id="rId7" Type="http://schemas.openxmlformats.org/officeDocument/2006/relationships/hyperlink" Target="https://monument.heritage.brussels/fr/buildings/10609" TargetMode="External"/><Relationship Id="rId12" Type="http://schemas.openxmlformats.org/officeDocument/2006/relationships/hyperlink" Target="https://www.emporis.com/buildings/108964/tbr-building-brussels-belgium" TargetMode="External"/><Relationship Id="rId2" Type="http://schemas.openxmlformats.org/officeDocument/2006/relationships/hyperlink" Target="https://monument.heritage.brussels/nl/buildings/37502" TargetMode="External"/><Relationship Id="rId1" Type="http://schemas.openxmlformats.org/officeDocument/2006/relationships/hyperlink" Target="https://www.emporis.com/buildings/108975/botanic-building-brussels-belgium" TargetMode="External"/><Relationship Id="rId6" Type="http://schemas.openxmlformats.org/officeDocument/2006/relationships/hyperlink" Target="https://zin.brussels/" TargetMode="External"/><Relationship Id="rId11" Type="http://schemas.openxmlformats.org/officeDocument/2006/relationships/hyperlink" Target="https://www.jaspers-eyers.be/manhattan-center" TargetMode="External"/><Relationship Id="rId5" Type="http://schemas.openxmlformats.org/officeDocument/2006/relationships/hyperlink" Target="https://www.51n4e.com/projects/victoria" TargetMode="External"/><Relationship Id="rId15" Type="http://schemas.openxmlformats.org/officeDocument/2006/relationships/comments" Target="../comments2.xml"/><Relationship Id="rId10" Type="http://schemas.openxmlformats.org/officeDocument/2006/relationships/hyperlink" Target="https://www.jaspers-eyers.be/dexia-tower" TargetMode="External"/><Relationship Id="rId4" Type="http://schemas.openxmlformats.org/officeDocument/2006/relationships/hyperlink" Target="https://monument.heritage.brussels/nl/buildings/37502" TargetMode="External"/><Relationship Id="rId9" Type="http://schemas.openxmlformats.org/officeDocument/2006/relationships/hyperlink" Target="https://www.emporis.com/buildings/108974/boreal-building-brussels-belgium" TargetMode="External"/><Relationship Id="rId14"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6307-722B-45A2-8925-6E1BFE8C8150}">
  <dimension ref="B2:C20"/>
  <sheetViews>
    <sheetView showGridLines="0" tabSelected="1" workbookViewId="0"/>
  </sheetViews>
  <sheetFormatPr defaultRowHeight="15" x14ac:dyDescent="0.25"/>
  <cols>
    <col min="1" max="1" width="9.140625" style="263"/>
    <col min="2" max="2" width="40.42578125" style="263" bestFit="1" customWidth="1"/>
    <col min="3" max="3" width="125.28515625" style="263" customWidth="1"/>
    <col min="4" max="16384" width="9.140625" style="263"/>
  </cols>
  <sheetData>
    <row r="2" spans="2:3" ht="30" x14ac:dyDescent="0.25">
      <c r="B2" s="264" t="s">
        <v>423</v>
      </c>
      <c r="C2" s="265" t="s">
        <v>426</v>
      </c>
    </row>
    <row r="4" spans="2:3" x14ac:dyDescent="0.25">
      <c r="B4" s="266"/>
    </row>
    <row r="5" spans="2:3" ht="30" x14ac:dyDescent="0.25">
      <c r="B5" s="264" t="s">
        <v>424</v>
      </c>
      <c r="C5" s="267" t="s">
        <v>425</v>
      </c>
    </row>
    <row r="7" spans="2:3" x14ac:dyDescent="0.25">
      <c r="B7" s="266"/>
    </row>
    <row r="8" spans="2:3" x14ac:dyDescent="0.25">
      <c r="B8" s="264" t="s">
        <v>420</v>
      </c>
      <c r="C8" s="266"/>
    </row>
    <row r="10" spans="2:3" x14ac:dyDescent="0.25">
      <c r="B10" s="258" t="s">
        <v>421</v>
      </c>
      <c r="C10" s="258" t="s">
        <v>422</v>
      </c>
    </row>
    <row r="11" spans="2:3" ht="30" x14ac:dyDescent="0.25">
      <c r="B11" s="259" t="s">
        <v>444</v>
      </c>
      <c r="C11" s="260" t="s">
        <v>427</v>
      </c>
    </row>
    <row r="12" spans="2:3" ht="30" x14ac:dyDescent="0.25">
      <c r="B12" s="259" t="s">
        <v>443</v>
      </c>
      <c r="C12" s="260" t="s">
        <v>428</v>
      </c>
    </row>
    <row r="13" spans="2:3" ht="45" x14ac:dyDescent="0.25">
      <c r="B13" s="259" t="s">
        <v>431</v>
      </c>
      <c r="C13" s="260" t="s">
        <v>429</v>
      </c>
    </row>
    <row r="14" spans="2:3" ht="30" x14ac:dyDescent="0.25">
      <c r="B14" s="259" t="s">
        <v>430</v>
      </c>
      <c r="C14" s="260" t="s">
        <v>436</v>
      </c>
    </row>
    <row r="15" spans="2:3" ht="45" x14ac:dyDescent="0.25">
      <c r="B15" s="259" t="s">
        <v>432</v>
      </c>
      <c r="C15" s="260" t="s">
        <v>438</v>
      </c>
    </row>
    <row r="16" spans="2:3" ht="30" x14ac:dyDescent="0.25">
      <c r="B16" s="259" t="s">
        <v>433</v>
      </c>
      <c r="C16" s="260" t="s">
        <v>437</v>
      </c>
    </row>
    <row r="17" spans="2:3" x14ac:dyDescent="0.25">
      <c r="B17" s="259" t="s">
        <v>434</v>
      </c>
      <c r="C17" s="260" t="s">
        <v>439</v>
      </c>
    </row>
    <row r="18" spans="2:3" s="266" customFormat="1" x14ac:dyDescent="0.25">
      <c r="B18" s="268" t="s">
        <v>435</v>
      </c>
      <c r="C18" s="265" t="s">
        <v>440</v>
      </c>
    </row>
    <row r="19" spans="2:3" x14ac:dyDescent="0.25">
      <c r="B19" s="261" t="s">
        <v>441</v>
      </c>
      <c r="C19" s="262" t="s">
        <v>442</v>
      </c>
    </row>
    <row r="20" spans="2:3" x14ac:dyDescent="0.25">
      <c r="C20" s="26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B00F3-3700-463B-A60D-A4F389F5E9A0}">
  <dimension ref="B2:J94"/>
  <sheetViews>
    <sheetView showGridLines="0" workbookViewId="0">
      <selection activeCell="L17" sqref="L17"/>
    </sheetView>
  </sheetViews>
  <sheetFormatPr defaultRowHeight="15" x14ac:dyDescent="0.25"/>
  <cols>
    <col min="2" max="2" width="5.85546875" customWidth="1"/>
    <col min="3" max="3" width="48.85546875" bestFit="1" customWidth="1"/>
    <col min="5" max="6" width="15.42578125" bestFit="1" customWidth="1"/>
  </cols>
  <sheetData>
    <row r="2" spans="2:5" x14ac:dyDescent="0.25">
      <c r="B2" s="269" t="s">
        <v>270</v>
      </c>
      <c r="C2" s="269"/>
      <c r="D2" s="269"/>
      <c r="E2" s="1"/>
    </row>
    <row r="3" spans="2:5" x14ac:dyDescent="0.25">
      <c r="C3" t="s">
        <v>144</v>
      </c>
      <c r="D3" s="256">
        <v>40</v>
      </c>
      <c r="E3" s="257" t="s">
        <v>143</v>
      </c>
    </row>
    <row r="4" spans="2:5" x14ac:dyDescent="0.25">
      <c r="C4" t="s">
        <v>235</v>
      </c>
      <c r="D4" s="256">
        <v>30</v>
      </c>
      <c r="E4" s="257" t="s">
        <v>143</v>
      </c>
    </row>
    <row r="6" spans="2:5" x14ac:dyDescent="0.25">
      <c r="B6" s="269" t="s">
        <v>298</v>
      </c>
      <c r="C6" s="269"/>
      <c r="D6" s="269"/>
      <c r="E6" s="1"/>
    </row>
    <row r="7" spans="2:5" x14ac:dyDescent="0.25">
      <c r="C7" t="s">
        <v>272</v>
      </c>
      <c r="D7" s="100">
        <v>0.12</v>
      </c>
      <c r="E7" t="s">
        <v>0</v>
      </c>
    </row>
    <row r="8" spans="2:5" x14ac:dyDescent="0.25">
      <c r="D8" s="100"/>
    </row>
    <row r="9" spans="2:5" x14ac:dyDescent="0.25">
      <c r="C9" s="4" t="s">
        <v>2</v>
      </c>
      <c r="D9" s="4">
        <v>100</v>
      </c>
      <c r="E9" s="4" t="s">
        <v>9</v>
      </c>
    </row>
    <row r="10" spans="2:5" x14ac:dyDescent="0.25">
      <c r="C10" s="5"/>
      <c r="D10" s="5">
        <v>50</v>
      </c>
      <c r="E10" s="5" t="s">
        <v>1</v>
      </c>
    </row>
    <row r="11" spans="2:5" x14ac:dyDescent="0.25">
      <c r="C11" s="1"/>
      <c r="D11" s="117">
        <f>$D$7*D10</f>
        <v>6</v>
      </c>
      <c r="E11" s="1" t="s">
        <v>5</v>
      </c>
    </row>
    <row r="12" spans="2:5" x14ac:dyDescent="0.25">
      <c r="C12" s="4" t="s">
        <v>281</v>
      </c>
      <c r="D12" s="4">
        <v>200</v>
      </c>
      <c r="E12" s="4" t="s">
        <v>9</v>
      </c>
    </row>
    <row r="13" spans="2:5" x14ac:dyDescent="0.25">
      <c r="C13" s="5"/>
      <c r="D13" s="5">
        <v>100</v>
      </c>
      <c r="E13" s="5" t="s">
        <v>1</v>
      </c>
    </row>
    <row r="14" spans="2:5" x14ac:dyDescent="0.25">
      <c r="C14" s="1"/>
      <c r="D14" s="141">
        <f>$D$7*D13/1000</f>
        <v>1.2E-2</v>
      </c>
      <c r="E14" s="142" t="s">
        <v>288</v>
      </c>
    </row>
    <row r="15" spans="2:5" x14ac:dyDescent="0.25">
      <c r="C15" s="4" t="s">
        <v>277</v>
      </c>
      <c r="D15" s="5">
        <v>250</v>
      </c>
      <c r="E15" s="5" t="s">
        <v>9</v>
      </c>
    </row>
    <row r="16" spans="2:5" x14ac:dyDescent="0.25">
      <c r="C16" s="6" t="s">
        <v>278</v>
      </c>
      <c r="D16" s="119">
        <v>50</v>
      </c>
      <c r="E16" s="119" t="s">
        <v>1</v>
      </c>
    </row>
    <row r="17" spans="2:7" x14ac:dyDescent="0.25">
      <c r="C17" s="120" t="s">
        <v>279</v>
      </c>
      <c r="D17" s="119">
        <v>100</v>
      </c>
      <c r="E17" s="119" t="s">
        <v>6</v>
      </c>
    </row>
    <row r="18" spans="2:7" x14ac:dyDescent="0.25">
      <c r="C18" s="120" t="s">
        <v>280</v>
      </c>
      <c r="D18" s="119">
        <v>200</v>
      </c>
      <c r="E18" s="119" t="s">
        <v>6</v>
      </c>
    </row>
    <row r="19" spans="2:7" x14ac:dyDescent="0.25">
      <c r="C19" s="121" t="s">
        <v>278</v>
      </c>
      <c r="D19" s="140">
        <f>$D$7*D16/1000</f>
        <v>6.0000000000000001E-3</v>
      </c>
      <c r="E19" s="122" t="s">
        <v>288</v>
      </c>
    </row>
    <row r="20" spans="2:7" x14ac:dyDescent="0.25">
      <c r="C20" s="123" t="s">
        <v>279</v>
      </c>
      <c r="D20" s="140">
        <f>$D$7*D17/1000</f>
        <v>1.2E-2</v>
      </c>
      <c r="E20" s="122" t="s">
        <v>6</v>
      </c>
    </row>
    <row r="21" spans="2:7" x14ac:dyDescent="0.25">
      <c r="C21" s="123" t="s">
        <v>280</v>
      </c>
      <c r="D21" s="140">
        <f>$D$7*D18/1000</f>
        <v>2.4E-2</v>
      </c>
      <c r="E21" s="122" t="s">
        <v>6</v>
      </c>
    </row>
    <row r="22" spans="2:7" x14ac:dyDescent="0.25">
      <c r="C22" s="4" t="s">
        <v>3</v>
      </c>
      <c r="D22" s="4">
        <v>25</v>
      </c>
      <c r="E22" s="4" t="s">
        <v>1</v>
      </c>
      <c r="G22" s="116"/>
    </row>
    <row r="23" spans="2:7" x14ac:dyDescent="0.25">
      <c r="C23" s="5"/>
      <c r="D23" s="118">
        <f>$D$7*D22</f>
        <v>3</v>
      </c>
      <c r="E23" s="5" t="s">
        <v>5</v>
      </c>
      <c r="G23" s="116"/>
    </row>
    <row r="24" spans="2:7" x14ac:dyDescent="0.25">
      <c r="C24" s="1"/>
      <c r="D24" s="1">
        <v>166</v>
      </c>
      <c r="E24" s="1" t="s">
        <v>9</v>
      </c>
      <c r="G24" s="116"/>
    </row>
    <row r="25" spans="2:7" x14ac:dyDescent="0.25">
      <c r="C25" s="4" t="s">
        <v>4</v>
      </c>
      <c r="D25" s="4">
        <v>100</v>
      </c>
      <c r="E25" s="4" t="s">
        <v>1</v>
      </c>
    </row>
    <row r="26" spans="2:7" x14ac:dyDescent="0.25">
      <c r="C26" s="5"/>
      <c r="D26" s="118">
        <f>$D$7*D25</f>
        <v>12</v>
      </c>
      <c r="E26" s="5" t="s">
        <v>5</v>
      </c>
    </row>
    <row r="27" spans="2:7" x14ac:dyDescent="0.25">
      <c r="C27" s="1"/>
      <c r="D27" s="1">
        <v>43</v>
      </c>
      <c r="E27" s="1" t="s">
        <v>9</v>
      </c>
    </row>
    <row r="29" spans="2:7" x14ac:dyDescent="0.25">
      <c r="B29" s="269" t="s">
        <v>271</v>
      </c>
      <c r="C29" s="269"/>
      <c r="D29" s="269"/>
      <c r="E29" s="1"/>
    </row>
    <row r="30" spans="2:7" x14ac:dyDescent="0.25">
      <c r="C30" t="s">
        <v>268</v>
      </c>
      <c r="D30">
        <v>0.3</v>
      </c>
      <c r="E30" t="s">
        <v>263</v>
      </c>
    </row>
    <row r="31" spans="2:7" x14ac:dyDescent="0.25">
      <c r="C31" t="s">
        <v>269</v>
      </c>
      <c r="D31">
        <v>1.2</v>
      </c>
      <c r="E31" t="s">
        <v>263</v>
      </c>
    </row>
    <row r="32" spans="2:7" x14ac:dyDescent="0.25">
      <c r="C32" t="s">
        <v>296</v>
      </c>
      <c r="D32" s="119">
        <v>0.05</v>
      </c>
      <c r="E32" s="119" t="s">
        <v>6</v>
      </c>
    </row>
    <row r="33" spans="3:10" x14ac:dyDescent="0.25">
      <c r="C33" t="s">
        <v>295</v>
      </c>
      <c r="D33" s="119">
        <v>0.25</v>
      </c>
      <c r="E33" s="119" t="s">
        <v>6</v>
      </c>
    </row>
    <row r="34" spans="3:10" x14ac:dyDescent="0.25">
      <c r="C34" t="s">
        <v>297</v>
      </c>
      <c r="D34" s="119">
        <v>0.5</v>
      </c>
      <c r="E34" s="119" t="s">
        <v>6</v>
      </c>
    </row>
    <row r="36" spans="3:10" x14ac:dyDescent="0.25">
      <c r="C36" t="s">
        <v>391</v>
      </c>
      <c r="E36" s="119"/>
    </row>
    <row r="37" spans="3:10" x14ac:dyDescent="0.25">
      <c r="G37" s="239"/>
      <c r="H37" s="239" t="s">
        <v>389</v>
      </c>
      <c r="I37" s="239" t="s">
        <v>392</v>
      </c>
      <c r="J37" s="239" t="s">
        <v>393</v>
      </c>
    </row>
    <row r="38" spans="3:10" x14ac:dyDescent="0.25">
      <c r="G38" s="233" t="s">
        <v>278</v>
      </c>
      <c r="H38" s="230">
        <v>0.05</v>
      </c>
      <c r="I38" s="101">
        <v>0.05</v>
      </c>
      <c r="J38" s="101">
        <v>0.05</v>
      </c>
    </row>
    <row r="39" spans="3:10" x14ac:dyDescent="0.25">
      <c r="G39" s="236" t="s">
        <v>280</v>
      </c>
      <c r="H39" s="237">
        <v>0.05</v>
      </c>
      <c r="I39" s="238">
        <v>0.25</v>
      </c>
      <c r="J39" s="238">
        <v>0.5</v>
      </c>
    </row>
    <row r="40" spans="3:10" x14ac:dyDescent="0.25">
      <c r="G40" s="233" t="s">
        <v>388</v>
      </c>
      <c r="H40" s="230"/>
      <c r="I40" s="101">
        <v>0.5</v>
      </c>
      <c r="J40" s="101">
        <v>0.5</v>
      </c>
    </row>
    <row r="41" spans="3:10" x14ac:dyDescent="0.25">
      <c r="G41" s="233" t="s">
        <v>389</v>
      </c>
      <c r="H41" s="230"/>
      <c r="I41" s="101">
        <v>1</v>
      </c>
      <c r="J41" s="101">
        <v>1</v>
      </c>
    </row>
    <row r="42" spans="3:10" x14ac:dyDescent="0.25">
      <c r="G42" s="233" t="s">
        <v>390</v>
      </c>
      <c r="H42" s="230"/>
      <c r="I42" s="232">
        <v>2035</v>
      </c>
      <c r="J42" s="230">
        <v>2035</v>
      </c>
    </row>
    <row r="43" spans="3:10" x14ac:dyDescent="0.25">
      <c r="G43" s="107"/>
      <c r="H43" s="230"/>
      <c r="I43" s="230"/>
      <c r="J43" s="230"/>
    </row>
    <row r="44" spans="3:10" x14ac:dyDescent="0.25">
      <c r="G44" s="234">
        <v>2025</v>
      </c>
      <c r="H44" s="235">
        <f t="shared" ref="H44:H75" si="0">$H$39</f>
        <v>0.05</v>
      </c>
      <c r="I44" s="235">
        <f t="shared" ref="I44:I75" si="1">$I$38+($I$39-$I$38)*(1 /(1+EXP(-$I$40*(G44-$I$42)))^$I$41)</f>
        <v>5.1338570184856977E-2</v>
      </c>
      <c r="J44" s="235">
        <f t="shared" ref="J44:J75" si="2">$J$38+($J$39-$J$38)*(1 /(1+EXP(-$J$40*(G44-$J$42)))^$J$41)</f>
        <v>5.3011782915928188E-2</v>
      </c>
    </row>
    <row r="45" spans="3:10" x14ac:dyDescent="0.25">
      <c r="G45" s="231">
        <v>2026</v>
      </c>
      <c r="H45" s="101">
        <f t="shared" si="0"/>
        <v>0.05</v>
      </c>
      <c r="I45" s="101">
        <f t="shared" si="1"/>
        <v>5.2197388526118639E-2</v>
      </c>
      <c r="J45" s="101">
        <f t="shared" si="2"/>
        <v>5.4944124183766936E-2</v>
      </c>
    </row>
    <row r="46" spans="3:10" x14ac:dyDescent="0.25">
      <c r="G46" s="231">
        <v>2027</v>
      </c>
      <c r="H46" s="101">
        <f t="shared" si="0"/>
        <v>0.05</v>
      </c>
      <c r="I46" s="101">
        <f t="shared" si="1"/>
        <v>5.3597241992418318E-2</v>
      </c>
      <c r="J46" s="101">
        <f t="shared" si="2"/>
        <v>5.8093794482941205E-2</v>
      </c>
    </row>
    <row r="47" spans="3:10" x14ac:dyDescent="0.25">
      <c r="G47" s="231">
        <v>2028</v>
      </c>
      <c r="H47" s="101">
        <f t="shared" si="0"/>
        <v>0.05</v>
      </c>
      <c r="I47" s="101">
        <f t="shared" si="1"/>
        <v>5.5862446150271264E-2</v>
      </c>
      <c r="J47" s="101">
        <f t="shared" si="2"/>
        <v>6.319050383811034E-2</v>
      </c>
    </row>
    <row r="48" spans="3:10" x14ac:dyDescent="0.25">
      <c r="G48" s="231">
        <v>2029</v>
      </c>
      <c r="H48" s="101">
        <f t="shared" si="0"/>
        <v>0.05</v>
      </c>
      <c r="I48" s="101">
        <f t="shared" si="1"/>
        <v>5.9485174635513359E-2</v>
      </c>
      <c r="J48" s="101">
        <f t="shared" si="2"/>
        <v>7.1341642929905053E-2</v>
      </c>
    </row>
    <row r="49" spans="7:10" x14ac:dyDescent="0.25">
      <c r="G49" s="231">
        <v>2030</v>
      </c>
      <c r="H49" s="101">
        <f t="shared" si="0"/>
        <v>0.05</v>
      </c>
      <c r="I49" s="101">
        <f t="shared" si="1"/>
        <v>6.5171636004248717E-2</v>
      </c>
      <c r="J49" s="101">
        <f t="shared" si="2"/>
        <v>8.4136181009559607E-2</v>
      </c>
    </row>
    <row r="50" spans="7:10" x14ac:dyDescent="0.25">
      <c r="G50" s="231">
        <v>2031</v>
      </c>
      <c r="H50" s="101">
        <f t="shared" si="0"/>
        <v>0.05</v>
      </c>
      <c r="I50" s="101">
        <f t="shared" si="1"/>
        <v>7.3840584404423509E-2</v>
      </c>
      <c r="J50" s="101">
        <f t="shared" si="2"/>
        <v>0.1036413149099529</v>
      </c>
    </row>
    <row r="51" spans="7:10" x14ac:dyDescent="0.25">
      <c r="G51" s="231">
        <v>2032</v>
      </c>
      <c r="H51" s="101">
        <f t="shared" si="0"/>
        <v>0.05</v>
      </c>
      <c r="I51" s="101">
        <f t="shared" si="1"/>
        <v>8.6485104761271275E-2</v>
      </c>
      <c r="J51" s="101">
        <f t="shared" si="2"/>
        <v>0.13209148571286036</v>
      </c>
    </row>
    <row r="52" spans="7:10" x14ac:dyDescent="0.25">
      <c r="G52" s="231">
        <v>2033</v>
      </c>
      <c r="H52" s="101">
        <f t="shared" si="0"/>
        <v>0.05</v>
      </c>
      <c r="I52" s="101">
        <f t="shared" si="1"/>
        <v>0.10378828427399903</v>
      </c>
      <c r="J52" s="101">
        <f t="shared" si="2"/>
        <v>0.1710236396164978</v>
      </c>
    </row>
    <row r="53" spans="7:10" x14ac:dyDescent="0.25">
      <c r="G53" s="231">
        <v>2034</v>
      </c>
      <c r="H53" s="101">
        <f t="shared" si="0"/>
        <v>0.05</v>
      </c>
      <c r="I53" s="101">
        <f t="shared" si="1"/>
        <v>0.1255081337596291</v>
      </c>
      <c r="J53" s="101">
        <f t="shared" si="2"/>
        <v>0.21989330095916543</v>
      </c>
    </row>
    <row r="54" spans="7:10" x14ac:dyDescent="0.25">
      <c r="G54" s="231">
        <v>2035</v>
      </c>
      <c r="H54" s="101">
        <f t="shared" si="0"/>
        <v>0.05</v>
      </c>
      <c r="I54" s="101">
        <f t="shared" si="1"/>
        <v>0.15000000000000002</v>
      </c>
      <c r="J54" s="101">
        <f t="shared" si="2"/>
        <v>0.27500000000000002</v>
      </c>
    </row>
    <row r="55" spans="7:10" x14ac:dyDescent="0.25">
      <c r="G55" s="231">
        <v>2036</v>
      </c>
      <c r="H55" s="101">
        <f t="shared" si="0"/>
        <v>0.05</v>
      </c>
      <c r="I55" s="101">
        <f t="shared" si="1"/>
        <v>0.17449186624037094</v>
      </c>
      <c r="J55" s="101">
        <f t="shared" si="2"/>
        <v>0.33010669904083456</v>
      </c>
    </row>
    <row r="56" spans="7:10" x14ac:dyDescent="0.25">
      <c r="G56" s="231">
        <v>2037</v>
      </c>
      <c r="H56" s="101">
        <f t="shared" si="0"/>
        <v>0.05</v>
      </c>
      <c r="I56" s="101">
        <f t="shared" si="1"/>
        <v>0.19621171572600099</v>
      </c>
      <c r="J56" s="101">
        <f t="shared" si="2"/>
        <v>0.37897636038350219</v>
      </c>
    </row>
    <row r="57" spans="7:10" x14ac:dyDescent="0.25">
      <c r="G57" s="231">
        <v>2038</v>
      </c>
      <c r="H57" s="101">
        <f t="shared" si="0"/>
        <v>0.05</v>
      </c>
      <c r="I57" s="101">
        <f t="shared" si="1"/>
        <v>0.21351489523872874</v>
      </c>
      <c r="J57" s="101">
        <f t="shared" si="2"/>
        <v>0.41790851428713965</v>
      </c>
    </row>
    <row r="58" spans="7:10" x14ac:dyDescent="0.25">
      <c r="G58" s="231">
        <v>2039</v>
      </c>
      <c r="H58" s="101">
        <f t="shared" si="0"/>
        <v>0.05</v>
      </c>
      <c r="I58" s="101">
        <f t="shared" si="1"/>
        <v>0.22615941559557645</v>
      </c>
      <c r="J58" s="101">
        <f t="shared" si="2"/>
        <v>0.44635868509004706</v>
      </c>
    </row>
    <row r="59" spans="7:10" x14ac:dyDescent="0.25">
      <c r="G59" s="231">
        <v>2040</v>
      </c>
      <c r="H59" s="101">
        <f t="shared" si="0"/>
        <v>0.05</v>
      </c>
      <c r="I59" s="101">
        <f t="shared" si="1"/>
        <v>0.2348283639957513</v>
      </c>
      <c r="J59" s="101">
        <f t="shared" si="2"/>
        <v>0.46586381899044044</v>
      </c>
    </row>
    <row r="60" spans="7:10" x14ac:dyDescent="0.25">
      <c r="G60" s="231">
        <v>2041</v>
      </c>
      <c r="H60" s="101">
        <f t="shared" si="0"/>
        <v>0.05</v>
      </c>
      <c r="I60" s="101">
        <f t="shared" si="1"/>
        <v>0.24051482536448671</v>
      </c>
      <c r="J60" s="101">
        <f t="shared" si="2"/>
        <v>0.47865835707009502</v>
      </c>
    </row>
    <row r="61" spans="7:10" x14ac:dyDescent="0.25">
      <c r="G61" s="231">
        <v>2042</v>
      </c>
      <c r="H61" s="101">
        <f t="shared" si="0"/>
        <v>0.05</v>
      </c>
      <c r="I61" s="101">
        <f t="shared" si="1"/>
        <v>0.24413755384972874</v>
      </c>
      <c r="J61" s="101">
        <f t="shared" si="2"/>
        <v>0.48680949616188962</v>
      </c>
    </row>
    <row r="62" spans="7:10" x14ac:dyDescent="0.25">
      <c r="G62" s="231">
        <v>2043</v>
      </c>
      <c r="H62" s="101">
        <f t="shared" si="0"/>
        <v>0.05</v>
      </c>
      <c r="I62" s="101">
        <f t="shared" si="1"/>
        <v>0.24640275800758171</v>
      </c>
      <c r="J62" s="101">
        <f t="shared" si="2"/>
        <v>0.49190620551705883</v>
      </c>
    </row>
    <row r="63" spans="7:10" x14ac:dyDescent="0.25">
      <c r="G63" s="231">
        <v>2044</v>
      </c>
      <c r="H63" s="101">
        <f t="shared" si="0"/>
        <v>0.05</v>
      </c>
      <c r="I63" s="101">
        <f t="shared" si="1"/>
        <v>0.24780261147388138</v>
      </c>
      <c r="J63" s="101">
        <f t="shared" si="2"/>
        <v>0.49505587581623306</v>
      </c>
    </row>
    <row r="64" spans="7:10" x14ac:dyDescent="0.25">
      <c r="G64" s="231">
        <v>2045</v>
      </c>
      <c r="H64" s="101">
        <f t="shared" si="0"/>
        <v>0.05</v>
      </c>
      <c r="I64" s="101">
        <f t="shared" si="1"/>
        <v>0.24866142981514305</v>
      </c>
      <c r="J64" s="101">
        <f t="shared" si="2"/>
        <v>0.49698821708407187</v>
      </c>
    </row>
    <row r="65" spans="7:10" x14ac:dyDescent="0.25">
      <c r="G65" s="231">
        <v>2046</v>
      </c>
      <c r="H65" s="101">
        <f t="shared" si="0"/>
        <v>0.05</v>
      </c>
      <c r="I65" s="101">
        <f t="shared" si="1"/>
        <v>0.24918597245682078</v>
      </c>
      <c r="J65" s="101">
        <f t="shared" si="2"/>
        <v>0.49816843802784677</v>
      </c>
    </row>
    <row r="66" spans="7:10" x14ac:dyDescent="0.25">
      <c r="G66" s="231">
        <v>2047</v>
      </c>
      <c r="H66" s="101">
        <f t="shared" si="0"/>
        <v>0.05</v>
      </c>
      <c r="I66" s="101">
        <f t="shared" si="1"/>
        <v>0.24950547536867307</v>
      </c>
      <c r="J66" s="101">
        <f t="shared" si="2"/>
        <v>0.49888731957951438</v>
      </c>
    </row>
    <row r="67" spans="7:10" x14ac:dyDescent="0.25">
      <c r="G67" s="231">
        <v>2048</v>
      </c>
      <c r="H67" s="101">
        <f t="shared" si="0"/>
        <v>0.05</v>
      </c>
      <c r="I67" s="101">
        <f t="shared" si="1"/>
        <v>0.24969976354865259</v>
      </c>
      <c r="J67" s="101">
        <f t="shared" si="2"/>
        <v>0.49932446798446833</v>
      </c>
    </row>
    <row r="68" spans="7:10" x14ac:dyDescent="0.25">
      <c r="G68" s="231">
        <v>2049</v>
      </c>
      <c r="H68" s="101">
        <f t="shared" si="0"/>
        <v>0.05</v>
      </c>
      <c r="I68" s="101">
        <f t="shared" si="1"/>
        <v>0.2498177897611199</v>
      </c>
      <c r="J68" s="101">
        <f t="shared" si="2"/>
        <v>0.49959002696251975</v>
      </c>
    </row>
    <row r="69" spans="7:10" x14ac:dyDescent="0.25">
      <c r="G69" s="231">
        <v>2050</v>
      </c>
      <c r="H69" s="101">
        <f t="shared" si="0"/>
        <v>0.05</v>
      </c>
      <c r="I69" s="101">
        <f t="shared" si="1"/>
        <v>0.24988944427261528</v>
      </c>
      <c r="J69" s="101">
        <f t="shared" si="2"/>
        <v>0.49975124961338441</v>
      </c>
    </row>
    <row r="70" spans="7:10" x14ac:dyDescent="0.25">
      <c r="G70" s="231">
        <v>2051</v>
      </c>
      <c r="H70" s="101">
        <f t="shared" si="0"/>
        <v>0.05</v>
      </c>
      <c r="I70" s="101">
        <f t="shared" si="1"/>
        <v>0.24993292997390676</v>
      </c>
      <c r="J70" s="101">
        <f t="shared" si="2"/>
        <v>0.49984909244129011</v>
      </c>
    </row>
    <row r="71" spans="7:10" x14ac:dyDescent="0.25">
      <c r="G71" s="231">
        <v>2052</v>
      </c>
      <c r="H71" s="101">
        <f t="shared" si="0"/>
        <v>0.05</v>
      </c>
      <c r="I71" s="101">
        <f t="shared" si="1"/>
        <v>0.24995931460438897</v>
      </c>
      <c r="J71" s="101">
        <f t="shared" si="2"/>
        <v>0.49990845785987514</v>
      </c>
    </row>
    <row r="72" spans="7:10" x14ac:dyDescent="0.25">
      <c r="G72" s="231">
        <v>2053</v>
      </c>
      <c r="H72" s="101">
        <f t="shared" si="0"/>
        <v>0.05</v>
      </c>
      <c r="I72" s="101">
        <f t="shared" si="1"/>
        <v>0.24997532108480275</v>
      </c>
      <c r="J72" s="101">
        <f t="shared" si="2"/>
        <v>0.49994447244080614</v>
      </c>
    </row>
    <row r="73" spans="7:10" x14ac:dyDescent="0.25">
      <c r="G73" s="231">
        <v>2054</v>
      </c>
      <c r="H73" s="101">
        <f t="shared" si="0"/>
        <v>0.05</v>
      </c>
      <c r="I73" s="101">
        <f t="shared" si="1"/>
        <v>0.24998503075449791</v>
      </c>
      <c r="J73" s="101">
        <f t="shared" si="2"/>
        <v>0.49996631919762025</v>
      </c>
    </row>
    <row r="74" spans="7:10" x14ac:dyDescent="0.25">
      <c r="G74" s="231">
        <v>2055</v>
      </c>
      <c r="H74" s="101">
        <f t="shared" si="0"/>
        <v>0.05</v>
      </c>
      <c r="I74" s="101">
        <f t="shared" si="1"/>
        <v>0.24999092042625953</v>
      </c>
      <c r="J74" s="101">
        <f t="shared" si="2"/>
        <v>0.49997957095908391</v>
      </c>
    </row>
    <row r="75" spans="7:10" x14ac:dyDescent="0.25">
      <c r="G75" s="231">
        <v>2056</v>
      </c>
      <c r="H75" s="101">
        <f t="shared" si="0"/>
        <v>0.05</v>
      </c>
      <c r="I75" s="101">
        <f t="shared" si="1"/>
        <v>0.24999449286177705</v>
      </c>
      <c r="J75" s="101">
        <f t="shared" si="2"/>
        <v>0.49998760893899841</v>
      </c>
    </row>
    <row r="76" spans="7:10" x14ac:dyDescent="0.25">
      <c r="G76" s="231">
        <v>2057</v>
      </c>
      <c r="H76" s="101">
        <f t="shared" ref="H76:H94" si="3">$H$39</f>
        <v>0.05</v>
      </c>
      <c r="I76" s="101">
        <f t="shared" ref="I76:I94" si="4">$I$38+($I$39-$I$38)*(1 /(1+EXP(-$I$40*(G76-$I$42)))^$I$41)</f>
        <v>0.2499966597156304</v>
      </c>
      <c r="J76" s="101">
        <f t="shared" ref="J76:J94" si="5">$J$38+($J$39-$J$38)*(1 /(1+EXP(-$J$40*(G76-$J$42)))^$J$41)</f>
        <v>0.49999248436016841</v>
      </c>
    </row>
    <row r="77" spans="7:10" x14ac:dyDescent="0.25">
      <c r="G77" s="231">
        <v>2058</v>
      </c>
      <c r="H77" s="101">
        <f t="shared" si="3"/>
        <v>0.05</v>
      </c>
      <c r="I77" s="101">
        <f t="shared" si="4"/>
        <v>0.24999797400180385</v>
      </c>
      <c r="J77" s="101">
        <f t="shared" si="5"/>
        <v>0.49999544150405861</v>
      </c>
    </row>
    <row r="78" spans="7:10" x14ac:dyDescent="0.25">
      <c r="G78" s="231">
        <v>2059</v>
      </c>
      <c r="H78" s="101">
        <f t="shared" si="3"/>
        <v>0.05</v>
      </c>
      <c r="I78" s="101">
        <f t="shared" si="4"/>
        <v>0.24999877116507957</v>
      </c>
      <c r="J78" s="101">
        <f t="shared" si="5"/>
        <v>0.49999723512142902</v>
      </c>
    </row>
    <row r="79" spans="7:10" x14ac:dyDescent="0.25">
      <c r="G79" s="231">
        <v>2060</v>
      </c>
      <c r="H79" s="101">
        <f t="shared" si="3"/>
        <v>0.05</v>
      </c>
      <c r="I79" s="101">
        <f t="shared" si="4"/>
        <v>0.24999925467214318</v>
      </c>
      <c r="J79" s="101">
        <f t="shared" si="5"/>
        <v>0.49999832301232211</v>
      </c>
    </row>
    <row r="80" spans="7:10" x14ac:dyDescent="0.25">
      <c r="G80" s="231">
        <v>2061</v>
      </c>
      <c r="H80" s="101">
        <f t="shared" si="3"/>
        <v>0.05</v>
      </c>
      <c r="I80" s="101">
        <f t="shared" si="4"/>
        <v>0.2499995479351404</v>
      </c>
      <c r="J80" s="101">
        <f t="shared" si="5"/>
        <v>0.49999898285406591</v>
      </c>
    </row>
    <row r="81" spans="7:10" x14ac:dyDescent="0.25">
      <c r="G81" s="231">
        <v>2062</v>
      </c>
      <c r="H81" s="101">
        <f t="shared" si="3"/>
        <v>0.05</v>
      </c>
      <c r="I81" s="101">
        <f t="shared" si="4"/>
        <v>0.24999972580855861</v>
      </c>
      <c r="J81" s="101">
        <f t="shared" si="5"/>
        <v>0.49999938306925684</v>
      </c>
    </row>
    <row r="82" spans="7:10" x14ac:dyDescent="0.25">
      <c r="G82" s="231">
        <v>2063</v>
      </c>
      <c r="H82" s="101">
        <f t="shared" si="3"/>
        <v>0.05</v>
      </c>
      <c r="I82" s="101">
        <f t="shared" si="4"/>
        <v>0.24999983369439444</v>
      </c>
      <c r="J82" s="101">
        <f t="shared" si="5"/>
        <v>0.49999962581238749</v>
      </c>
    </row>
    <row r="83" spans="7:10" x14ac:dyDescent="0.25">
      <c r="G83" s="231">
        <v>2064</v>
      </c>
      <c r="H83" s="101">
        <f t="shared" si="3"/>
        <v>0.05</v>
      </c>
      <c r="I83" s="101">
        <f t="shared" si="4"/>
        <v>0.2499998991305184</v>
      </c>
      <c r="J83" s="101">
        <f t="shared" si="5"/>
        <v>0.49999977304366633</v>
      </c>
    </row>
    <row r="84" spans="7:10" x14ac:dyDescent="0.25">
      <c r="G84" s="231">
        <v>2065</v>
      </c>
      <c r="H84" s="101">
        <f t="shared" si="3"/>
        <v>0.05</v>
      </c>
      <c r="I84" s="101">
        <f t="shared" si="4"/>
        <v>0.24999993881955462</v>
      </c>
      <c r="J84" s="101">
        <f t="shared" si="5"/>
        <v>0.49999986234399785</v>
      </c>
    </row>
    <row r="85" spans="7:10" x14ac:dyDescent="0.25">
      <c r="G85" s="231">
        <v>2066</v>
      </c>
      <c r="H85" s="101">
        <f t="shared" si="3"/>
        <v>0.05</v>
      </c>
      <c r="I85" s="101">
        <f t="shared" si="4"/>
        <v>0.24999996289217963</v>
      </c>
      <c r="J85" s="101">
        <f t="shared" si="5"/>
        <v>0.49999991650740416</v>
      </c>
    </row>
    <row r="86" spans="7:10" x14ac:dyDescent="0.25">
      <c r="G86" s="231">
        <v>2067</v>
      </c>
      <c r="H86" s="101">
        <f t="shared" si="3"/>
        <v>0.05</v>
      </c>
      <c r="I86" s="101">
        <f t="shared" si="4"/>
        <v>0.2499999774929676</v>
      </c>
      <c r="J86" s="101">
        <f t="shared" si="5"/>
        <v>0.49999994935917708</v>
      </c>
    </row>
    <row r="87" spans="7:10" x14ac:dyDescent="0.25">
      <c r="G87" s="231">
        <v>2068</v>
      </c>
      <c r="H87" s="101">
        <f t="shared" si="3"/>
        <v>0.05</v>
      </c>
      <c r="I87" s="101">
        <f t="shared" si="4"/>
        <v>0.24999998634879422</v>
      </c>
      <c r="J87" s="101">
        <f t="shared" si="5"/>
        <v>0.4999999692847869</v>
      </c>
    </row>
    <row r="88" spans="7:10" x14ac:dyDescent="0.25">
      <c r="G88" s="231">
        <v>2069</v>
      </c>
      <c r="H88" s="101">
        <f t="shared" si="3"/>
        <v>0.05</v>
      </c>
      <c r="I88" s="101">
        <f t="shared" si="4"/>
        <v>0.24999999172012488</v>
      </c>
      <c r="J88" s="101">
        <f t="shared" si="5"/>
        <v>0.49999998137028095</v>
      </c>
    </row>
    <row r="89" spans="7:10" x14ac:dyDescent="0.25">
      <c r="G89" s="231">
        <v>2070</v>
      </c>
      <c r="H89" s="101">
        <f t="shared" si="3"/>
        <v>0.05</v>
      </c>
      <c r="I89" s="101">
        <f t="shared" si="4"/>
        <v>0.24999999497800179</v>
      </c>
      <c r="J89" s="101">
        <f t="shared" si="5"/>
        <v>0.49999998870050405</v>
      </c>
    </row>
    <row r="90" spans="7:10" x14ac:dyDescent="0.25">
      <c r="G90" s="231">
        <v>2071</v>
      </c>
      <c r="H90" s="101">
        <f t="shared" si="3"/>
        <v>0.05</v>
      </c>
      <c r="I90" s="101">
        <f t="shared" si="4"/>
        <v>0.2499999969540041</v>
      </c>
      <c r="J90" s="101">
        <f t="shared" si="5"/>
        <v>0.49999999314650923</v>
      </c>
    </row>
    <row r="91" spans="7:10" x14ac:dyDescent="0.25">
      <c r="G91" s="231">
        <v>2072</v>
      </c>
      <c r="H91" s="101">
        <f t="shared" si="3"/>
        <v>0.05</v>
      </c>
      <c r="I91" s="101">
        <f t="shared" si="4"/>
        <v>0.24999999815251012</v>
      </c>
      <c r="J91" s="101">
        <f t="shared" si="5"/>
        <v>0.49999999584314769</v>
      </c>
    </row>
    <row r="92" spans="7:10" x14ac:dyDescent="0.25">
      <c r="G92" s="231">
        <v>2073</v>
      </c>
      <c r="H92" s="101">
        <f t="shared" si="3"/>
        <v>0.05</v>
      </c>
      <c r="I92" s="101">
        <f t="shared" si="4"/>
        <v>0.24999999887944074</v>
      </c>
      <c r="J92" s="101">
        <f t="shared" si="5"/>
        <v>0.49999999747874158</v>
      </c>
    </row>
    <row r="93" spans="7:10" x14ac:dyDescent="0.25">
      <c r="G93" s="231">
        <v>2074</v>
      </c>
      <c r="H93" s="101">
        <f t="shared" si="3"/>
        <v>0.05</v>
      </c>
      <c r="I93" s="101">
        <f t="shared" si="4"/>
        <v>0.24999999932034644</v>
      </c>
      <c r="J93" s="101">
        <f t="shared" si="5"/>
        <v>0.49999999847077947</v>
      </c>
    </row>
    <row r="94" spans="7:10" x14ac:dyDescent="0.25">
      <c r="G94" s="231">
        <v>2075</v>
      </c>
      <c r="H94" s="101">
        <f t="shared" si="3"/>
        <v>0.05</v>
      </c>
      <c r="I94" s="101">
        <f t="shared" si="4"/>
        <v>0.24999999958776925</v>
      </c>
      <c r="J94" s="101">
        <f t="shared" si="5"/>
        <v>0.49999999907248083</v>
      </c>
    </row>
  </sheetData>
  <mergeCells count="3">
    <mergeCell ref="B2:D2"/>
    <mergeCell ref="B29:D29"/>
    <mergeCell ref="B6:D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47C42-D684-4B90-B50C-C43288ABA571}">
  <dimension ref="A1:G79"/>
  <sheetViews>
    <sheetView workbookViewId="0">
      <pane xSplit="1" ySplit="3" topLeftCell="B9" activePane="bottomRight" state="frozen"/>
      <selection pane="topRight" activeCell="B1" sqref="B1"/>
      <selection pane="bottomLeft" activeCell="A4" sqref="A4"/>
      <selection pane="bottomRight" activeCell="F2" sqref="F2"/>
    </sheetView>
  </sheetViews>
  <sheetFormatPr defaultRowHeight="15" x14ac:dyDescent="0.25"/>
  <cols>
    <col min="1" max="1" width="9.140625" style="107"/>
    <col min="2" max="5" width="14.140625" style="15" customWidth="1"/>
  </cols>
  <sheetData>
    <row r="1" spans="1:7" x14ac:dyDescent="0.25">
      <c r="A1" s="107" t="s">
        <v>258</v>
      </c>
      <c r="B1" s="15" t="s">
        <v>264</v>
      </c>
      <c r="C1" s="15" t="s">
        <v>262</v>
      </c>
      <c r="D1" s="270" t="s">
        <v>260</v>
      </c>
      <c r="E1" s="270"/>
      <c r="G1" t="s">
        <v>419</v>
      </c>
    </row>
    <row r="2" spans="1:7" x14ac:dyDescent="0.25">
      <c r="D2" s="15" t="s">
        <v>259</v>
      </c>
      <c r="E2" s="15" t="s">
        <v>191</v>
      </c>
    </row>
    <row r="3" spans="1:7" x14ac:dyDescent="0.25">
      <c r="A3" s="113"/>
      <c r="B3" s="103" t="s">
        <v>28</v>
      </c>
      <c r="C3" s="103" t="s">
        <v>263</v>
      </c>
      <c r="D3" s="103" t="s">
        <v>261</v>
      </c>
      <c r="E3" s="103" t="s">
        <v>261</v>
      </c>
    </row>
    <row r="4" spans="1:7" x14ac:dyDescent="0.25">
      <c r="A4" s="107">
        <v>1945</v>
      </c>
      <c r="B4" s="114"/>
      <c r="C4" s="114"/>
      <c r="D4" s="114"/>
      <c r="E4" s="114"/>
    </row>
    <row r="5" spans="1:7" x14ac:dyDescent="0.25">
      <c r="A5" s="107">
        <v>1946</v>
      </c>
      <c r="B5" s="114"/>
      <c r="C5" s="114"/>
      <c r="D5" s="114"/>
      <c r="E5" s="114"/>
    </row>
    <row r="6" spans="1:7" x14ac:dyDescent="0.25">
      <c r="A6" s="107">
        <v>1947</v>
      </c>
      <c r="B6" s="114"/>
      <c r="C6" s="114">
        <v>2.97</v>
      </c>
      <c r="D6" s="114"/>
      <c r="E6" s="114"/>
      <c r="F6" s="112"/>
    </row>
    <row r="7" spans="1:7" x14ac:dyDescent="0.25">
      <c r="A7" s="107">
        <v>1948</v>
      </c>
      <c r="B7" s="114"/>
      <c r="C7" s="114">
        <v>2.9672031349338699</v>
      </c>
      <c r="D7" s="114"/>
      <c r="E7" s="114"/>
      <c r="F7" s="112"/>
    </row>
    <row r="8" spans="1:7" x14ac:dyDescent="0.25">
      <c r="A8" s="107">
        <v>1949</v>
      </c>
      <c r="B8" s="114"/>
      <c r="C8" s="114">
        <v>2.95996182542329</v>
      </c>
      <c r="D8" s="114"/>
      <c r="E8" s="114"/>
      <c r="F8" s="112"/>
    </row>
    <row r="9" spans="1:7" x14ac:dyDescent="0.25">
      <c r="A9" s="107">
        <v>1950</v>
      </c>
      <c r="B9" s="114">
        <v>1.47704201680672</v>
      </c>
      <c r="C9" s="114">
        <v>2.95</v>
      </c>
      <c r="D9" s="114">
        <v>31.71</v>
      </c>
      <c r="E9" s="114">
        <v>31.706129747899102</v>
      </c>
      <c r="F9" s="112"/>
    </row>
    <row r="10" spans="1:7" x14ac:dyDescent="0.25">
      <c r="A10" s="107">
        <v>1951</v>
      </c>
      <c r="B10" s="114">
        <v>1.4717348710204701</v>
      </c>
      <c r="C10" s="114">
        <v>2.9216759492410902</v>
      </c>
      <c r="D10" s="114">
        <v>30.058619289021699</v>
      </c>
      <c r="E10" s="114">
        <v>30.425004910786601</v>
      </c>
      <c r="F10" s="112"/>
    </row>
    <row r="11" spans="1:7" x14ac:dyDescent="0.25">
      <c r="A11" s="107">
        <v>1952</v>
      </c>
      <c r="B11" s="114">
        <v>1.46951148225469</v>
      </c>
      <c r="C11" s="114">
        <v>2.8625103910477701</v>
      </c>
      <c r="D11" s="114">
        <v>28.500317472077299</v>
      </c>
      <c r="E11" s="114">
        <v>29.2074710165036</v>
      </c>
      <c r="F11" s="112"/>
    </row>
    <row r="12" spans="1:7" x14ac:dyDescent="0.25">
      <c r="A12" s="107">
        <v>1953</v>
      </c>
      <c r="B12" s="114">
        <v>1.4705507085085201</v>
      </c>
      <c r="C12" s="114">
        <v>2.7789708949378502</v>
      </c>
      <c r="D12" s="114">
        <v>27.048555023152201</v>
      </c>
      <c r="E12" s="114">
        <v>28.055224116682702</v>
      </c>
      <c r="F12" s="112"/>
    </row>
    <row r="13" spans="1:7" x14ac:dyDescent="0.25">
      <c r="A13" s="107">
        <v>1954</v>
      </c>
      <c r="B13" s="114">
        <v>1.47158993476234</v>
      </c>
      <c r="C13" s="114">
        <v>2.67752503042913</v>
      </c>
      <c r="D13" s="114">
        <v>25.7167924162319</v>
      </c>
      <c r="E13" s="114">
        <v>26.969960262956398</v>
      </c>
      <c r="F13" s="112"/>
    </row>
    <row r="14" spans="1:7" x14ac:dyDescent="0.25">
      <c r="A14" s="107">
        <v>1955</v>
      </c>
      <c r="B14" s="114">
        <v>1.47076771592236</v>
      </c>
      <c r="C14" s="114">
        <v>2.5646403670394502</v>
      </c>
      <c r="D14" s="114">
        <v>24.518490125302002</v>
      </c>
      <c r="E14" s="114">
        <v>25.953375506956998</v>
      </c>
      <c r="F14" s="112"/>
    </row>
    <row r="15" spans="1:7" x14ac:dyDescent="0.25">
      <c r="A15" s="107">
        <v>1956</v>
      </c>
      <c r="B15" s="114">
        <v>1.4689832707408601</v>
      </c>
      <c r="C15" s="114">
        <v>2.4467844742866101</v>
      </c>
      <c r="D15" s="114">
        <v>23.467108624347901</v>
      </c>
      <c r="E15" s="114">
        <v>25.007165900316899</v>
      </c>
      <c r="F15" s="112"/>
    </row>
    <row r="16" spans="1:7" x14ac:dyDescent="0.25">
      <c r="A16" s="107">
        <v>1957</v>
      </c>
      <c r="B16" s="114">
        <v>1.4658745620184399</v>
      </c>
      <c r="C16" s="114">
        <v>2.3304249216884299</v>
      </c>
      <c r="D16" s="114">
        <v>22.576108387355099</v>
      </c>
      <c r="E16" s="114">
        <v>24.133027494668799</v>
      </c>
      <c r="F16" s="112"/>
    </row>
    <row r="17" spans="1:6" x14ac:dyDescent="0.25">
      <c r="A17" s="107">
        <v>1958</v>
      </c>
      <c r="B17" s="114">
        <v>1.46163012181616</v>
      </c>
      <c r="C17" s="114">
        <v>2.2220292787627201</v>
      </c>
      <c r="D17" s="114">
        <v>21.858949888309201</v>
      </c>
      <c r="E17" s="114">
        <v>23.332656341644899</v>
      </c>
      <c r="F17" s="112"/>
    </row>
    <row r="18" spans="1:6" x14ac:dyDescent="0.25">
      <c r="A18" s="107">
        <v>1959</v>
      </c>
      <c r="B18" s="114">
        <v>1.45638705989665</v>
      </c>
      <c r="C18" s="114">
        <v>2.1280651150273</v>
      </c>
      <c r="D18" s="114">
        <v>21.329093601195702</v>
      </c>
      <c r="E18" s="114">
        <v>22.6077484928778</v>
      </c>
      <c r="F18" s="112"/>
    </row>
    <row r="19" spans="1:6" x14ac:dyDescent="0.25">
      <c r="A19" s="107">
        <v>1960</v>
      </c>
      <c r="B19" s="114">
        <v>1.4518578972635601</v>
      </c>
      <c r="C19" s="114">
        <v>2.0550000000000002</v>
      </c>
      <c r="D19" s="114">
        <v>21</v>
      </c>
      <c r="E19" s="114">
        <v>21.96</v>
      </c>
      <c r="F19" s="112"/>
    </row>
    <row r="20" spans="1:6" x14ac:dyDescent="0.25">
      <c r="A20" s="107">
        <v>1961</v>
      </c>
      <c r="B20" s="114">
        <v>1.44923481099408</v>
      </c>
      <c r="C20" s="114">
        <v>1.9986918570894299</v>
      </c>
      <c r="D20" s="114">
        <v>20.801585689784702</v>
      </c>
      <c r="E20" s="114">
        <v>21.402173441639501</v>
      </c>
      <c r="F20" s="112"/>
    </row>
    <row r="21" spans="1:6" x14ac:dyDescent="0.25">
      <c r="A21" s="107">
        <v>1962</v>
      </c>
      <c r="B21" s="114">
        <v>1.44799578325954</v>
      </c>
      <c r="C21" s="114">
        <v>1.9490272522690899</v>
      </c>
      <c r="D21" s="114">
        <v>20.6463575896442</v>
      </c>
      <c r="E21" s="114">
        <v>20.923244482185599</v>
      </c>
      <c r="F21" s="112"/>
    </row>
    <row r="22" spans="1:6" x14ac:dyDescent="0.25">
      <c r="A22" s="107">
        <v>1963</v>
      </c>
      <c r="B22" s="114">
        <v>1.4501341464631301</v>
      </c>
      <c r="C22" s="114">
        <v>1.9035167189040301</v>
      </c>
      <c r="D22" s="114">
        <v>20.5216616446112</v>
      </c>
      <c r="E22" s="114">
        <v>20.489228801911899</v>
      </c>
      <c r="F22" s="112"/>
    </row>
    <row r="23" spans="1:6" x14ac:dyDescent="0.25">
      <c r="A23" s="107">
        <v>1964</v>
      </c>
      <c r="B23" s="114">
        <v>1.4522725096667199</v>
      </c>
      <c r="C23" s="114">
        <v>1.8596707903593102</v>
      </c>
      <c r="D23" s="114">
        <v>20.414843799718899</v>
      </c>
      <c r="E23" s="114">
        <v>20.066142081092199</v>
      </c>
      <c r="F23" s="112"/>
    </row>
    <row r="24" spans="1:6" x14ac:dyDescent="0.25">
      <c r="A24" s="107">
        <v>1965</v>
      </c>
      <c r="B24" s="114">
        <v>1.41160456869203</v>
      </c>
      <c r="C24" s="114">
        <v>1.8149999999999999</v>
      </c>
      <c r="D24" s="114">
        <v>20.31325</v>
      </c>
      <c r="E24" s="114">
        <v>19.62</v>
      </c>
      <c r="F24" s="112"/>
    </row>
    <row r="25" spans="1:6" x14ac:dyDescent="0.25">
      <c r="A25" s="107">
        <v>1966</v>
      </c>
      <c r="B25" s="114">
        <v>1.3701548446917</v>
      </c>
      <c r="C25" s="114">
        <v>1.7710257456318499</v>
      </c>
      <c r="D25" s="114">
        <v>20.2267411020817</v>
      </c>
      <c r="E25" s="114">
        <v>19.158132552344998</v>
      </c>
      <c r="F25" s="112"/>
    </row>
    <row r="26" spans="1:6" x14ac:dyDescent="0.25">
      <c r="A26" s="107">
        <v>1967</v>
      </c>
      <c r="B26" s="114">
        <v>1.3689669956380399</v>
      </c>
      <c r="C26" s="114">
        <v>1.7293728890694799</v>
      </c>
      <c r="D26" s="114">
        <v>20.1610330607908</v>
      </c>
      <c r="E26" s="114">
        <v>18.7031950983996</v>
      </c>
      <c r="F26" s="112"/>
    </row>
    <row r="27" spans="1:6" x14ac:dyDescent="0.25">
      <c r="A27" s="107">
        <v>1968</v>
      </c>
      <c r="B27" s="114">
        <v>1.3685609296100201</v>
      </c>
      <c r="C27" s="114">
        <v>1.6877071596911801</v>
      </c>
      <c r="D27" s="114">
        <v>20.0972544684589</v>
      </c>
      <c r="E27" s="114">
        <v>18.244191368281701</v>
      </c>
      <c r="F27" s="112"/>
    </row>
    <row r="28" spans="1:6" x14ac:dyDescent="0.25">
      <c r="A28" s="107">
        <v>1969</v>
      </c>
      <c r="B28" s="114">
        <v>1.374532018372</v>
      </c>
      <c r="C28" s="114">
        <v>1.6436942868752502</v>
      </c>
      <c r="D28" s="114">
        <v>20.016533917417998</v>
      </c>
      <c r="E28" s="114">
        <v>17.7701250921092</v>
      </c>
      <c r="F28" s="112"/>
    </row>
    <row r="29" spans="1:6" x14ac:dyDescent="0.25">
      <c r="A29" s="107">
        <v>1970</v>
      </c>
      <c r="B29" s="114">
        <v>1.38050310713397</v>
      </c>
      <c r="C29" s="114">
        <v>1.595</v>
      </c>
      <c r="D29" s="114">
        <v>19.899999999999999</v>
      </c>
      <c r="E29" s="114">
        <v>17.27</v>
      </c>
      <c r="F29" s="112"/>
    </row>
    <row r="30" spans="1:6" x14ac:dyDescent="0.25">
      <c r="A30" s="107">
        <v>1971</v>
      </c>
      <c r="B30" s="114">
        <v>1.3750622110566799</v>
      </c>
      <c r="C30" s="114">
        <v>1.5371436261682199</v>
      </c>
      <c r="D30" s="114">
        <v>19.632521716342701</v>
      </c>
      <c r="E30" s="114">
        <v>16.7115526794489</v>
      </c>
      <c r="F30" s="112"/>
    </row>
    <row r="31" spans="1:6" x14ac:dyDescent="0.25">
      <c r="A31" s="107">
        <v>1972</v>
      </c>
      <c r="B31" s="114">
        <v>1.3682108222066001</v>
      </c>
      <c r="C31" s="114">
        <v>1.47100657943925</v>
      </c>
      <c r="D31" s="114">
        <v>19.1717584328233</v>
      </c>
      <c r="E31" s="114">
        <v>16.100041946392899</v>
      </c>
      <c r="F31" s="112"/>
    </row>
    <row r="32" spans="1:6" x14ac:dyDescent="0.25">
      <c r="A32" s="107">
        <v>1973</v>
      </c>
      <c r="B32" s="114">
        <v>1.3663311657247199</v>
      </c>
      <c r="C32" s="114">
        <v>1.4022977196261599</v>
      </c>
      <c r="D32" s="114">
        <v>18.608024291132601</v>
      </c>
      <c r="E32" s="114">
        <v>15.480754873612399</v>
      </c>
      <c r="F32" s="112"/>
    </row>
    <row r="33" spans="1:6" x14ac:dyDescent="0.25">
      <c r="A33" s="107">
        <v>1974</v>
      </c>
      <c r="B33" s="114">
        <v>1.3645496183206101</v>
      </c>
      <c r="C33" s="114">
        <v>1.33672590654205</v>
      </c>
      <c r="D33" s="114">
        <v>18.0316334329612</v>
      </c>
      <c r="E33" s="114">
        <v>14.898978533887901</v>
      </c>
      <c r="F33" s="112"/>
    </row>
    <row r="34" spans="1:6" x14ac:dyDescent="0.25">
      <c r="A34" s="107">
        <v>1975</v>
      </c>
      <c r="B34" s="114">
        <v>1.3607542267831301</v>
      </c>
      <c r="C34" s="114">
        <v>1.28</v>
      </c>
      <c r="D34" s="114">
        <v>17.532900000000001</v>
      </c>
      <c r="E34" s="114">
        <v>14.399999999999901</v>
      </c>
      <c r="F34" s="112"/>
    </row>
    <row r="35" spans="1:6" x14ac:dyDescent="0.25">
      <c r="A35" s="107">
        <v>1976</v>
      </c>
      <c r="B35" s="114">
        <v>1.3552381232408199</v>
      </c>
      <c r="C35" s="114">
        <v>1.2307912727272701</v>
      </c>
      <c r="D35" s="114">
        <v>17.116387920586899</v>
      </c>
      <c r="E35" s="114">
        <v>13.948363766744601</v>
      </c>
      <c r="F35" s="112"/>
    </row>
    <row r="36" spans="1:6" x14ac:dyDescent="0.25">
      <c r="A36" s="107">
        <v>1977</v>
      </c>
      <c r="B36" s="114">
        <v>1.3489321121287801</v>
      </c>
      <c r="C36" s="114">
        <v>1.1844538181818101</v>
      </c>
      <c r="D36" s="114">
        <v>16.720415769511899</v>
      </c>
      <c r="E36" s="114">
        <v>13.5040720282854</v>
      </c>
      <c r="F36" s="112"/>
    </row>
    <row r="37" spans="1:6" x14ac:dyDescent="0.25">
      <c r="A37" s="107">
        <v>1978</v>
      </c>
      <c r="B37" s="114">
        <v>1.3418947043742799</v>
      </c>
      <c r="C37" s="114">
        <v>1.1417207272727201</v>
      </c>
      <c r="D37" s="114">
        <v>16.335929658143499</v>
      </c>
      <c r="E37" s="114">
        <v>13.105598406453799</v>
      </c>
      <c r="F37" s="112"/>
    </row>
    <row r="38" spans="1:6" x14ac:dyDescent="0.25">
      <c r="A38" s="107">
        <v>1979</v>
      </c>
      <c r="B38" s="114">
        <v>1.3336758715443</v>
      </c>
      <c r="C38" s="114">
        <v>1.1033250909090899</v>
      </c>
      <c r="D38" s="114">
        <v>15.95387569785</v>
      </c>
      <c r="E38" s="114">
        <v>12.7914165230815</v>
      </c>
      <c r="F38" s="112"/>
    </row>
    <row r="39" spans="1:6" x14ac:dyDescent="0.25">
      <c r="A39" s="107">
        <v>1980</v>
      </c>
      <c r="B39" s="114">
        <v>1.3244436090334799</v>
      </c>
      <c r="C39" s="114">
        <v>1.07</v>
      </c>
      <c r="D39" s="114">
        <v>15.565200000000001</v>
      </c>
      <c r="E39" s="114">
        <v>12.6</v>
      </c>
      <c r="F39" s="112"/>
    </row>
    <row r="40" spans="1:6" x14ac:dyDescent="0.25">
      <c r="A40" s="107">
        <v>1981</v>
      </c>
      <c r="B40" s="114">
        <v>1.3143659122364699</v>
      </c>
      <c r="C40" s="114">
        <v>1.0419645090909</v>
      </c>
      <c r="D40" s="114">
        <v>15.1684596505744</v>
      </c>
      <c r="E40" s="114">
        <v>12.5064301649432</v>
      </c>
      <c r="F40" s="112"/>
    </row>
    <row r="41" spans="1:6" x14ac:dyDescent="0.25">
      <c r="A41" s="107">
        <v>1982</v>
      </c>
      <c r="B41" s="114">
        <v>1.3036107765478999</v>
      </c>
      <c r="C41" s="114">
        <v>1.0177480727272701</v>
      </c>
      <c r="D41" s="114">
        <v>14.7696883871299</v>
      </c>
      <c r="E41" s="114">
        <v>12.445941657620301</v>
      </c>
      <c r="F41" s="112"/>
    </row>
    <row r="42" spans="1:6" x14ac:dyDescent="0.25">
      <c r="A42" s="107">
        <v>1983</v>
      </c>
      <c r="B42" s="114">
        <v>1.2923461973624299</v>
      </c>
      <c r="C42" s="114">
        <v>0.99554938181818098</v>
      </c>
      <c r="D42" s="114">
        <v>14.371047298398199</v>
      </c>
      <c r="E42" s="114">
        <v>12.3972380678258</v>
      </c>
      <c r="F42" s="112"/>
    </row>
    <row r="43" spans="1:6" x14ac:dyDescent="0.25">
      <c r="A43" s="107">
        <v>1984</v>
      </c>
      <c r="B43" s="114">
        <v>1.2807401700747001</v>
      </c>
      <c r="C43" s="114">
        <v>0.97356712727272698</v>
      </c>
      <c r="D43" s="114">
        <v>13.974697473111</v>
      </c>
      <c r="E43" s="114">
        <v>12.3390229853542</v>
      </c>
      <c r="F43" s="112"/>
    </row>
    <row r="44" spans="1:6" x14ac:dyDescent="0.25">
      <c r="A44" s="107">
        <v>1985</v>
      </c>
      <c r="B44" s="114">
        <v>1.26896069007935</v>
      </c>
      <c r="C44" s="114">
        <v>0.95</v>
      </c>
      <c r="D44" s="114">
        <v>13.582800000000001</v>
      </c>
      <c r="E44" s="114">
        <v>12.25</v>
      </c>
      <c r="F44" s="112"/>
    </row>
    <row r="45" spans="1:6" x14ac:dyDescent="0.25">
      <c r="A45" s="107">
        <v>1986</v>
      </c>
      <c r="B45" s="114">
        <v>1.2571757527710401</v>
      </c>
      <c r="C45" s="114">
        <v>0.92050559999999992</v>
      </c>
      <c r="D45" s="114">
        <v>13.165994580565499</v>
      </c>
      <c r="E45" s="114">
        <v>12.056271334958099</v>
      </c>
      <c r="F45" s="112"/>
    </row>
    <row r="46" spans="1:6" x14ac:dyDescent="0.25">
      <c r="A46" s="107">
        <v>1987</v>
      </c>
      <c r="B46" s="114">
        <v>1.2455533535444101</v>
      </c>
      <c r="C46" s="114">
        <v>0.88626879999999908</v>
      </c>
      <c r="D46" s="114">
        <v>12.753289783872701</v>
      </c>
      <c r="E46" s="114">
        <v>11.738547036573699</v>
      </c>
      <c r="F46" s="112"/>
    </row>
    <row r="47" spans="1:6" x14ac:dyDescent="0.25">
      <c r="A47" s="107">
        <v>1988</v>
      </c>
      <c r="B47" s="114">
        <v>1.2342614877941001</v>
      </c>
      <c r="C47" s="114">
        <v>0.85377919999999996</v>
      </c>
      <c r="D47" s="114">
        <v>12.4344</v>
      </c>
      <c r="E47" s="114">
        <v>11.357442429366101</v>
      </c>
      <c r="F47" s="112"/>
    </row>
    <row r="48" spans="1:6" x14ac:dyDescent="0.25">
      <c r="A48" s="107">
        <v>1989</v>
      </c>
      <c r="B48" s="114">
        <v>1.22346815091476</v>
      </c>
      <c r="C48" s="114">
        <v>0.8295264</v>
      </c>
      <c r="D48" s="114">
        <v>12.2121725984422</v>
      </c>
      <c r="E48" s="114">
        <v>10.973572837855</v>
      </c>
      <c r="F48" s="112"/>
    </row>
    <row r="49" spans="1:6" x14ac:dyDescent="0.25">
      <c r="A49" s="107">
        <v>1990</v>
      </c>
      <c r="B49" s="114">
        <v>1.2133413383010301</v>
      </c>
      <c r="C49" s="114">
        <v>0.82</v>
      </c>
      <c r="D49" s="114">
        <v>12.0238968993086</v>
      </c>
      <c r="E49" s="114">
        <v>10.6475535865598</v>
      </c>
      <c r="F49" s="112"/>
    </row>
    <row r="50" spans="1:6" x14ac:dyDescent="0.25">
      <c r="A50" s="107">
        <v>1991</v>
      </c>
      <c r="B50" s="114">
        <v>1.2040490453475701</v>
      </c>
      <c r="C50" s="114">
        <v>0.8226</v>
      </c>
      <c r="D50" s="114">
        <v>11.860950218598999</v>
      </c>
      <c r="E50" s="114">
        <v>10.44</v>
      </c>
      <c r="F50" s="112"/>
    </row>
    <row r="51" spans="1:6" x14ac:dyDescent="0.25">
      <c r="A51" s="107">
        <v>1992</v>
      </c>
      <c r="B51" s="114">
        <v>1.1957592674490001</v>
      </c>
      <c r="C51" s="114">
        <v>0.82879999999999998</v>
      </c>
      <c r="D51" s="114">
        <v>11.714709872313399</v>
      </c>
      <c r="E51" s="114">
        <v>10.3142703139098</v>
      </c>
      <c r="F51" s="112"/>
    </row>
    <row r="52" spans="1:6" x14ac:dyDescent="0.25">
      <c r="A52" s="107">
        <v>1993</v>
      </c>
      <c r="B52" s="114">
        <v>1.1886399999999899</v>
      </c>
      <c r="C52" s="114">
        <v>0.83620000000000005</v>
      </c>
      <c r="D52" s="114">
        <v>11.5765531764517</v>
      </c>
      <c r="E52" s="114">
        <v>10.1934558937775</v>
      </c>
      <c r="F52" s="112"/>
    </row>
    <row r="53" spans="1:6" x14ac:dyDescent="0.25">
      <c r="A53" s="107">
        <v>1994</v>
      </c>
      <c r="B53" s="114">
        <v>1.1820944319396001</v>
      </c>
      <c r="C53" s="114">
        <v>0.84239999999999993</v>
      </c>
      <c r="D53" s="114">
        <v>11.437857447013901</v>
      </c>
      <c r="E53" s="114">
        <v>10.077771758753601</v>
      </c>
      <c r="F53" s="112"/>
    </row>
    <row r="54" spans="1:6" x14ac:dyDescent="0.25">
      <c r="A54" s="107">
        <v>1995</v>
      </c>
      <c r="B54" s="114">
        <v>1.1754558914595801</v>
      </c>
      <c r="C54" s="114">
        <v>0.84499999999999997</v>
      </c>
      <c r="D54" s="114">
        <v>11.29</v>
      </c>
      <c r="E54" s="114">
        <v>9.96743292798892</v>
      </c>
      <c r="F54" s="112"/>
    </row>
    <row r="55" spans="1:6" x14ac:dyDescent="0.25">
      <c r="A55" s="107">
        <v>1996</v>
      </c>
      <c r="B55" s="114">
        <v>1.1687875828336001</v>
      </c>
      <c r="C55" s="114">
        <v>0.83425419354838692</v>
      </c>
      <c r="D55" s="114">
        <v>11.1268033038879</v>
      </c>
      <c r="E55" s="114">
        <v>9.8626544206338007</v>
      </c>
      <c r="F55" s="112"/>
    </row>
    <row r="56" spans="1:6" x14ac:dyDescent="0.25">
      <c r="A56" s="107">
        <v>1997</v>
      </c>
      <c r="B56" s="114">
        <v>1.16215271033533</v>
      </c>
      <c r="C56" s="114">
        <v>0.80796258064516102</v>
      </c>
      <c r="D56" s="114">
        <v>10.950268282555101</v>
      </c>
      <c r="E56" s="114">
        <v>9.7636512558388908</v>
      </c>
      <c r="F56" s="112"/>
    </row>
    <row r="57" spans="1:6" x14ac:dyDescent="0.25">
      <c r="A57" s="107">
        <v>1998</v>
      </c>
      <c r="B57" s="114">
        <v>1.1556144782384501</v>
      </c>
      <c r="C57" s="114">
        <v>0.77504387096774097</v>
      </c>
      <c r="D57" s="114">
        <v>10.7640399351</v>
      </c>
      <c r="E57" s="114">
        <v>9.6706384527547904</v>
      </c>
      <c r="F57" s="112"/>
    </row>
    <row r="58" spans="1:6" x14ac:dyDescent="0.25">
      <c r="A58" s="107">
        <v>1999</v>
      </c>
      <c r="B58" s="114">
        <v>1.1492360908166199</v>
      </c>
      <c r="C58" s="114">
        <v>0.74441677419354801</v>
      </c>
      <c r="D58" s="114">
        <v>10.571763260621299</v>
      </c>
      <c r="E58" s="114">
        <v>9.58383103053208</v>
      </c>
      <c r="F58" s="112"/>
    </row>
    <row r="59" spans="1:6" x14ac:dyDescent="0.25">
      <c r="A59" s="107">
        <v>2000</v>
      </c>
      <c r="B59" s="114">
        <v>1.14308075234351</v>
      </c>
      <c r="C59" s="114">
        <v>0.72499999999999998</v>
      </c>
      <c r="D59" s="114">
        <v>10.377083258217599</v>
      </c>
      <c r="E59" s="114">
        <v>9.5034440083213294</v>
      </c>
      <c r="F59" s="112"/>
    </row>
    <row r="60" spans="1:6" x14ac:dyDescent="0.25">
      <c r="A60" s="107">
        <v>2001</v>
      </c>
      <c r="B60" s="114">
        <v>1.1372116670928001</v>
      </c>
      <c r="C60" s="114">
        <v>0.71612757363253798</v>
      </c>
      <c r="D60" s="114">
        <v>10.183644926987499</v>
      </c>
      <c r="E60" s="114">
        <v>9.4296924052731299</v>
      </c>
      <c r="F60" s="112"/>
    </row>
    <row r="61" spans="1:6" x14ac:dyDescent="0.25">
      <c r="A61" s="107">
        <v>2002</v>
      </c>
      <c r="B61" s="114">
        <v>1.13169203933816</v>
      </c>
      <c r="C61" s="114">
        <v>0.70998917251051896</v>
      </c>
      <c r="D61" s="114">
        <v>9.9950932660296807</v>
      </c>
      <c r="E61" s="114">
        <v>9.3627912405380602</v>
      </c>
      <c r="F61" s="112"/>
    </row>
    <row r="62" spans="1:6" x14ac:dyDescent="0.25">
      <c r="A62" s="107">
        <v>2003</v>
      </c>
      <c r="B62" s="114">
        <v>1.1265850733532601</v>
      </c>
      <c r="C62" s="114">
        <v>0.70478698457222999</v>
      </c>
      <c r="D62" s="114">
        <v>9.8150732744426392</v>
      </c>
      <c r="E62" s="114">
        <v>9.3029555332667009</v>
      </c>
      <c r="F62" s="112"/>
    </row>
    <row r="63" spans="1:6" x14ac:dyDescent="0.25">
      <c r="A63" s="107">
        <v>2004</v>
      </c>
      <c r="B63" s="114">
        <v>1.1219539734117701</v>
      </c>
      <c r="C63" s="114">
        <v>0.69872319775595992</v>
      </c>
      <c r="D63" s="114">
        <v>9.6472299513250395</v>
      </c>
      <c r="E63" s="114">
        <v>9.2504003026096395</v>
      </c>
      <c r="F63" s="112"/>
    </row>
    <row r="64" spans="1:6" x14ac:dyDescent="0.25">
      <c r="A64" s="107">
        <v>2005</v>
      </c>
      <c r="B64" s="114">
        <v>1.11786194378736</v>
      </c>
      <c r="C64" s="114">
        <v>0.69</v>
      </c>
      <c r="D64" s="114">
        <v>9.4952082957754893</v>
      </c>
      <c r="E64" s="114">
        <v>9.2053405677174496</v>
      </c>
      <c r="F64" s="112"/>
    </row>
    <row r="65" spans="1:6" x14ac:dyDescent="0.25">
      <c r="A65" s="107">
        <v>2006</v>
      </c>
      <c r="B65" s="114">
        <v>1.1143721887536999</v>
      </c>
      <c r="C65" s="114">
        <v>0.67307769726247901</v>
      </c>
      <c r="D65" s="114">
        <v>9.3626533068926108</v>
      </c>
      <c r="E65" s="114">
        <v>9.1679913477407204</v>
      </c>
      <c r="F65" s="112"/>
    </row>
    <row r="66" spans="1:6" x14ac:dyDescent="0.25">
      <c r="A66" s="107">
        <v>2007</v>
      </c>
      <c r="B66" s="114">
        <v>1.1115479125844601</v>
      </c>
      <c r="C66" s="114">
        <v>0.65500000000000003</v>
      </c>
      <c r="D66" s="114">
        <v>9.2532099837750099</v>
      </c>
      <c r="E66" s="114">
        <v>9.1385676618300202</v>
      </c>
      <c r="F66" s="112"/>
    </row>
    <row r="67" spans="1:6" x14ac:dyDescent="0.25">
      <c r="A67" s="107">
        <v>2008</v>
      </c>
      <c r="B67" s="114">
        <v>1.1094523195533199</v>
      </c>
      <c r="C67" s="114">
        <v>0.64316303300936795</v>
      </c>
      <c r="D67" s="114">
        <v>9.1705233255212999</v>
      </c>
      <c r="E67" s="114">
        <v>9.1172845291359508</v>
      </c>
      <c r="F67" s="112"/>
    </row>
    <row r="68" spans="1:6" x14ac:dyDescent="0.25">
      <c r="A68" s="107">
        <v>2009</v>
      </c>
      <c r="B68" s="114">
        <v>1.10814861393394</v>
      </c>
      <c r="C68" s="114">
        <v>0.63330137466071201</v>
      </c>
      <c r="D68" s="114">
        <v>9.1182383312300903</v>
      </c>
      <c r="E68" s="114">
        <v>9.1043569688090802</v>
      </c>
      <c r="F68" s="112"/>
    </row>
    <row r="69" spans="1:6" x14ac:dyDescent="0.25">
      <c r="A69" s="107">
        <v>2010</v>
      </c>
      <c r="B69" s="114">
        <v>1.1076999999999999</v>
      </c>
      <c r="C69" s="114">
        <v>0.625</v>
      </c>
      <c r="D69" s="114">
        <v>9.1</v>
      </c>
      <c r="E69" s="114">
        <v>9.1</v>
      </c>
      <c r="F69" s="112"/>
    </row>
    <row r="70" spans="1:6" x14ac:dyDescent="0.25">
      <c r="A70" s="107">
        <v>2011</v>
      </c>
      <c r="B70" s="114">
        <v>1.1076999999999999</v>
      </c>
      <c r="C70" s="114">
        <v>0.61799285031399298</v>
      </c>
      <c r="D70" s="114">
        <v>9.1</v>
      </c>
      <c r="E70" s="114">
        <v>9.1</v>
      </c>
      <c r="F70" s="112"/>
    </row>
    <row r="71" spans="1:6" x14ac:dyDescent="0.25">
      <c r="A71" s="107">
        <v>2012</v>
      </c>
      <c r="B71" s="114">
        <v>1.1076999999999999</v>
      </c>
      <c r="C71" s="114">
        <v>0.61197004030368307</v>
      </c>
      <c r="D71" s="114">
        <v>9.1</v>
      </c>
      <c r="E71" s="114">
        <v>9.1</v>
      </c>
      <c r="F71" s="112"/>
    </row>
    <row r="72" spans="1:6" x14ac:dyDescent="0.25">
      <c r="A72" s="107">
        <v>2013</v>
      </c>
      <c r="B72" s="114">
        <v>1.1076999999999999</v>
      </c>
      <c r="C72" s="114">
        <v>0.60645080513637595</v>
      </c>
      <c r="D72" s="114">
        <v>9.1</v>
      </c>
      <c r="E72" s="114">
        <v>9.1</v>
      </c>
      <c r="F72" s="112"/>
    </row>
    <row r="73" spans="1:6" x14ac:dyDescent="0.25">
      <c r="A73" s="107">
        <v>2014</v>
      </c>
      <c r="B73" s="114">
        <v>1.1076999999999999</v>
      </c>
      <c r="C73" s="114">
        <v>0.60095437997937906</v>
      </c>
      <c r="D73" s="114">
        <v>9.1</v>
      </c>
      <c r="E73" s="114">
        <v>9.1</v>
      </c>
      <c r="F73" s="112"/>
    </row>
    <row r="74" spans="1:6" x14ac:dyDescent="0.25">
      <c r="A74" s="107">
        <v>2015</v>
      </c>
      <c r="B74" s="114">
        <v>1.1076999999999999</v>
      </c>
      <c r="C74" s="114">
        <v>0.59499999999999997</v>
      </c>
      <c r="D74" s="114">
        <v>9.1</v>
      </c>
      <c r="E74" s="114">
        <v>9.1</v>
      </c>
      <c r="F74" s="112"/>
    </row>
    <row r="75" spans="1:6" x14ac:dyDescent="0.25">
      <c r="A75" s="107">
        <v>2016</v>
      </c>
      <c r="B75" s="114">
        <v>1.1076999999999999</v>
      </c>
      <c r="C75" s="114">
        <v>0.58853246859193997</v>
      </c>
      <c r="D75" s="114">
        <v>9.1</v>
      </c>
      <c r="E75" s="114">
        <v>9.1</v>
      </c>
      <c r="F75" s="112"/>
    </row>
    <row r="76" spans="1:6" x14ac:dyDescent="0.25">
      <c r="A76" s="107">
        <v>2017</v>
      </c>
      <c r="B76" s="114">
        <v>1.1076999999999999</v>
      </c>
      <c r="C76" s="114">
        <v>0.58184956762930296</v>
      </c>
      <c r="D76" s="114">
        <v>9.1</v>
      </c>
      <c r="E76" s="114">
        <v>9.1</v>
      </c>
      <c r="F76" s="112"/>
    </row>
    <row r="77" spans="1:6" x14ac:dyDescent="0.25">
      <c r="A77" s="107">
        <v>2018</v>
      </c>
      <c r="B77" s="114">
        <v>1.1076999999999999</v>
      </c>
      <c r="C77" s="114">
        <v>0.57499999999999996</v>
      </c>
      <c r="D77" s="114">
        <v>9.1</v>
      </c>
      <c r="E77" s="114">
        <v>9.1</v>
      </c>
      <c r="F77" s="112"/>
    </row>
    <row r="78" spans="1:6" x14ac:dyDescent="0.25">
      <c r="A78" s="107">
        <v>2019</v>
      </c>
      <c r="B78" s="114">
        <v>1.1076999999999999</v>
      </c>
      <c r="C78" s="114">
        <v>0.56803246859194001</v>
      </c>
      <c r="D78" s="114">
        <v>9.1</v>
      </c>
      <c r="E78" s="114">
        <v>9.1</v>
      </c>
      <c r="F78" s="112"/>
    </row>
    <row r="79" spans="1:6" x14ac:dyDescent="0.25">
      <c r="A79" s="107">
        <v>2020</v>
      </c>
      <c r="B79" s="114">
        <v>1.1076999999999999</v>
      </c>
      <c r="C79" s="114">
        <v>0.56099567629303293</v>
      </c>
      <c r="D79" s="114">
        <v>9.1</v>
      </c>
      <c r="E79" s="114">
        <v>9.1</v>
      </c>
      <c r="F79" s="112"/>
    </row>
  </sheetData>
  <mergeCells count="1">
    <mergeCell ref="D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834E0-F69E-4961-8144-577C907881BD}">
  <dimension ref="A1:BI107"/>
  <sheetViews>
    <sheetView zoomScale="70" zoomScaleNormal="70" workbookViewId="0">
      <pane xSplit="1" ySplit="3" topLeftCell="B4" activePane="bottomRight" state="frozen"/>
      <selection activeCell="A2" sqref="A2"/>
      <selection pane="topRight" activeCell="B2" sqref="B2"/>
      <selection pane="bottomLeft" activeCell="A4" sqref="A4"/>
      <selection pane="bottomRight" activeCell="B7" sqref="B7"/>
    </sheetView>
  </sheetViews>
  <sheetFormatPr defaultColWidth="13.85546875" defaultRowHeight="18.75" customHeight="1" x14ac:dyDescent="0.25"/>
  <cols>
    <col min="1" max="1" width="63" style="17" bestFit="1" customWidth="1"/>
    <col min="2" max="2" width="14.42578125" style="51" bestFit="1" customWidth="1"/>
    <col min="3" max="3" width="13.85546875" style="50"/>
    <col min="4" max="4" width="13.85546875" style="25"/>
    <col min="5" max="6" width="13.85546875" style="50"/>
    <col min="7" max="7" width="13.85546875" style="18"/>
    <col min="8" max="8" width="13.85546875" style="76"/>
    <col min="9" max="9" width="13.85546875" style="18"/>
    <col min="10" max="11" width="13.85546875" style="76"/>
    <col min="12" max="12" width="13.85546875" style="18"/>
    <col min="13" max="14" width="13.85546875" style="76"/>
    <col min="15" max="15" width="13.85546875" style="144"/>
    <col min="16" max="16" width="13.85546875" style="77"/>
    <col min="17" max="17" width="13.85546875" style="78"/>
    <col min="18" max="18" width="13.85546875" style="144"/>
    <col min="19" max="21" width="13.85546875" style="76"/>
    <col min="22" max="23" width="13.85546875" style="146"/>
    <col min="24" max="24" width="13.85546875" style="76"/>
    <col min="25" max="25" width="13.85546875" style="147"/>
    <col min="26" max="26" width="13.85546875" style="77"/>
    <col min="27" max="33" width="13.85546875" style="50"/>
    <col min="34" max="36" width="13.85546875" style="76"/>
    <col min="37" max="38" width="13.85546875" style="77"/>
    <col min="39" max="40" width="13.85546875" style="18"/>
    <col min="41" max="41" width="13.85546875" style="77"/>
    <col min="42" max="44" width="13.85546875" style="76"/>
    <col min="45" max="46" width="13.85546875" style="18"/>
    <col min="47" max="47" width="13.85546875" style="83"/>
    <col min="48" max="48" width="13.85546875" style="22"/>
    <col min="49" max="50" width="13.85546875" style="50"/>
    <col min="51" max="51" width="13.85546875" style="16"/>
    <col min="52" max="52" width="13.85546875" style="50"/>
    <col min="53" max="53" width="13.85546875" style="76"/>
    <col min="54" max="54" width="3.85546875" style="98" customWidth="1"/>
    <col min="55" max="56" width="13.85546875" style="50"/>
    <col min="57" max="57" width="13.85546875" style="47"/>
    <col min="58" max="58" width="58.42578125" style="90" customWidth="1"/>
    <col min="59" max="59" width="13.85546875" style="50"/>
    <col min="60" max="61" width="13.85546875" style="47"/>
    <col min="62" max="16384" width="13.85546875" style="48"/>
  </cols>
  <sheetData>
    <row r="1" spans="1:61" s="39" customFormat="1" ht="21.75" customHeight="1" x14ac:dyDescent="0.25">
      <c r="A1" s="272" t="s">
        <v>126</v>
      </c>
      <c r="B1" s="271" t="s">
        <v>123</v>
      </c>
      <c r="C1" s="271"/>
      <c r="D1" s="271"/>
      <c r="E1" s="271"/>
      <c r="F1" s="271"/>
      <c r="G1" s="271"/>
      <c r="H1" s="66" t="s">
        <v>127</v>
      </c>
      <c r="I1" s="41"/>
      <c r="J1" s="41"/>
      <c r="K1" s="41"/>
      <c r="L1" s="41"/>
      <c r="M1" s="41"/>
      <c r="N1" s="84"/>
      <c r="O1" s="41"/>
      <c r="P1" s="41"/>
      <c r="Q1" s="41"/>
      <c r="R1" s="41"/>
      <c r="S1" s="41"/>
      <c r="T1" s="41"/>
      <c r="U1" s="41"/>
      <c r="V1" s="41"/>
      <c r="W1" s="41"/>
      <c r="X1" s="41"/>
      <c r="Y1" s="41"/>
      <c r="Z1" s="41"/>
      <c r="AA1" s="65" t="s">
        <v>140</v>
      </c>
      <c r="AB1" s="65"/>
      <c r="AC1" s="53"/>
      <c r="AD1" s="53"/>
      <c r="AE1" s="53"/>
      <c r="AF1" s="53"/>
      <c r="AG1" s="53"/>
      <c r="AH1" s="54"/>
      <c r="AI1" s="54"/>
      <c r="AJ1" s="54"/>
      <c r="AK1" s="55"/>
      <c r="AL1" s="55"/>
      <c r="AM1" s="54"/>
      <c r="AN1" s="55"/>
      <c r="AO1" s="55"/>
      <c r="AP1" s="54"/>
      <c r="AQ1" s="54"/>
      <c r="AR1" s="54"/>
      <c r="AS1" s="54"/>
      <c r="AT1" s="56"/>
      <c r="AU1" s="67" t="s">
        <v>141</v>
      </c>
      <c r="AV1" s="68"/>
      <c r="AW1" s="67"/>
      <c r="AX1" s="67"/>
      <c r="AY1" s="67"/>
      <c r="AZ1" s="67"/>
      <c r="BA1" s="69"/>
      <c r="BB1" s="95"/>
      <c r="BC1" s="177"/>
      <c r="BD1" s="177"/>
      <c r="BE1" s="177"/>
      <c r="BF1" s="85"/>
    </row>
    <row r="2" spans="1:61" s="46" customFormat="1" ht="45" x14ac:dyDescent="0.25">
      <c r="A2" s="272"/>
      <c r="B2" s="26" t="s">
        <v>128</v>
      </c>
      <c r="C2" s="27" t="s">
        <v>129</v>
      </c>
      <c r="D2" s="28" t="s">
        <v>130</v>
      </c>
      <c r="E2" s="28" t="s">
        <v>131</v>
      </c>
      <c r="F2" s="28" t="s">
        <v>132</v>
      </c>
      <c r="G2" s="28" t="s">
        <v>133</v>
      </c>
      <c r="H2" s="21" t="s">
        <v>134</v>
      </c>
      <c r="I2" s="21" t="s">
        <v>137</v>
      </c>
      <c r="J2" s="21" t="s">
        <v>148</v>
      </c>
      <c r="K2" s="21" t="s">
        <v>138</v>
      </c>
      <c r="L2" s="21" t="s">
        <v>139</v>
      </c>
      <c r="M2" s="21" t="s">
        <v>135</v>
      </c>
      <c r="N2" s="21" t="s">
        <v>231</v>
      </c>
      <c r="O2" s="145" t="s">
        <v>166</v>
      </c>
      <c r="P2" s="21" t="s">
        <v>147</v>
      </c>
      <c r="Q2" s="21" t="s">
        <v>149</v>
      </c>
      <c r="R2" s="145" t="s">
        <v>151</v>
      </c>
      <c r="S2" s="21" t="s">
        <v>157</v>
      </c>
      <c r="T2" s="21" t="s">
        <v>158</v>
      </c>
      <c r="U2" s="21" t="s">
        <v>159</v>
      </c>
      <c r="V2" s="145" t="s">
        <v>371</v>
      </c>
      <c r="W2" s="145" t="s">
        <v>233</v>
      </c>
      <c r="X2" s="21" t="s">
        <v>145</v>
      </c>
      <c r="Y2" s="145" t="s">
        <v>150</v>
      </c>
      <c r="Z2" s="21" t="s">
        <v>252</v>
      </c>
      <c r="AA2" s="57" t="s">
        <v>142</v>
      </c>
      <c r="AB2" s="57" t="s">
        <v>257</v>
      </c>
      <c r="AC2" s="57" t="s">
        <v>169</v>
      </c>
      <c r="AD2" s="58" t="s">
        <v>369</v>
      </c>
      <c r="AE2" s="58" t="s">
        <v>154</v>
      </c>
      <c r="AF2" s="58" t="s">
        <v>152</v>
      </c>
      <c r="AG2" s="58" t="s">
        <v>153</v>
      </c>
      <c r="AH2" s="58" t="s">
        <v>372</v>
      </c>
      <c r="AI2" s="58" t="s">
        <v>359</v>
      </c>
      <c r="AJ2" s="58" t="s">
        <v>164</v>
      </c>
      <c r="AK2" s="58" t="s">
        <v>160</v>
      </c>
      <c r="AL2" s="58" t="s">
        <v>165</v>
      </c>
      <c r="AM2" s="58" t="s">
        <v>161</v>
      </c>
      <c r="AN2" s="58" t="s">
        <v>162</v>
      </c>
      <c r="AO2" s="58" t="s">
        <v>171</v>
      </c>
      <c r="AP2" s="58" t="s">
        <v>163</v>
      </c>
      <c r="AQ2" s="58" t="s">
        <v>368</v>
      </c>
      <c r="AR2" s="58" t="s">
        <v>167</v>
      </c>
      <c r="AS2" s="58" t="s">
        <v>373</v>
      </c>
      <c r="AT2" s="58" t="s">
        <v>234</v>
      </c>
      <c r="AU2" s="70" t="s">
        <v>29</v>
      </c>
      <c r="AV2" s="70" t="s">
        <v>152</v>
      </c>
      <c r="AW2" s="70" t="s">
        <v>153</v>
      </c>
      <c r="AX2" s="70" t="s">
        <v>369</v>
      </c>
      <c r="AY2" s="70" t="s">
        <v>154</v>
      </c>
      <c r="AZ2" s="70" t="s">
        <v>374</v>
      </c>
      <c r="BA2" s="70" t="s">
        <v>239</v>
      </c>
      <c r="BB2" s="96"/>
      <c r="BC2" s="179" t="s">
        <v>340</v>
      </c>
      <c r="BD2" s="179" t="s">
        <v>343</v>
      </c>
      <c r="BE2" s="179" t="s">
        <v>341</v>
      </c>
      <c r="BF2" s="86" t="s">
        <v>240</v>
      </c>
      <c r="BG2" s="45"/>
      <c r="BH2" s="45"/>
      <c r="BI2" s="45"/>
    </row>
    <row r="3" spans="1:61" ht="18.75" customHeight="1" x14ac:dyDescent="0.25">
      <c r="A3" s="272"/>
      <c r="B3" s="28" t="s">
        <v>6</v>
      </c>
      <c r="C3" s="29" t="s">
        <v>6</v>
      </c>
      <c r="D3" s="30" t="s">
        <v>31</v>
      </c>
      <c r="E3" s="30" t="s">
        <v>6</v>
      </c>
      <c r="F3" s="30" t="s">
        <v>7</v>
      </c>
      <c r="G3" s="30" t="s">
        <v>7</v>
      </c>
      <c r="H3" s="35" t="s">
        <v>6</v>
      </c>
      <c r="I3" s="36" t="s">
        <v>6</v>
      </c>
      <c r="J3" s="35" t="s">
        <v>7</v>
      </c>
      <c r="K3" s="35" t="s">
        <v>31</v>
      </c>
      <c r="L3" s="35" t="s">
        <v>7</v>
      </c>
      <c r="M3" s="35" t="s">
        <v>31</v>
      </c>
      <c r="N3" s="35" t="s">
        <v>7</v>
      </c>
      <c r="O3" s="143" t="s">
        <v>8</v>
      </c>
      <c r="P3" s="35" t="s">
        <v>7</v>
      </c>
      <c r="Q3" s="35" t="s">
        <v>31</v>
      </c>
      <c r="R3" s="143" t="s">
        <v>8</v>
      </c>
      <c r="S3" s="35" t="s">
        <v>7</v>
      </c>
      <c r="T3" s="35" t="s">
        <v>31</v>
      </c>
      <c r="U3" s="35" t="s">
        <v>8</v>
      </c>
      <c r="V3" s="143" t="s">
        <v>1</v>
      </c>
      <c r="W3" s="143" t="s">
        <v>1</v>
      </c>
      <c r="X3" s="35" t="s">
        <v>7</v>
      </c>
      <c r="Y3" s="143" t="s">
        <v>8</v>
      </c>
      <c r="Z3" s="35" t="s">
        <v>31</v>
      </c>
      <c r="AA3" s="59" t="s">
        <v>6</v>
      </c>
      <c r="AB3" s="59" t="s">
        <v>6</v>
      </c>
      <c r="AC3" s="59"/>
      <c r="AD3" s="60" t="s">
        <v>7</v>
      </c>
      <c r="AE3" s="60" t="s">
        <v>8</v>
      </c>
      <c r="AF3" s="60" t="s">
        <v>8</v>
      </c>
      <c r="AG3" s="60" t="s">
        <v>8</v>
      </c>
      <c r="AH3" s="60" t="s">
        <v>1</v>
      </c>
      <c r="AI3" s="60" t="s">
        <v>1</v>
      </c>
      <c r="AJ3" s="60" t="s">
        <v>6</v>
      </c>
      <c r="AK3" s="60" t="s">
        <v>7</v>
      </c>
      <c r="AL3" s="60" t="s">
        <v>31</v>
      </c>
      <c r="AM3" s="60" t="s">
        <v>8</v>
      </c>
      <c r="AN3" s="60" t="s">
        <v>7</v>
      </c>
      <c r="AO3" s="60" t="s">
        <v>31</v>
      </c>
      <c r="AP3" s="60" t="s">
        <v>8</v>
      </c>
      <c r="AQ3" s="60" t="s">
        <v>7</v>
      </c>
      <c r="AR3" s="60" t="s">
        <v>8</v>
      </c>
      <c r="AS3" s="60" t="s">
        <v>1</v>
      </c>
      <c r="AT3" s="60" t="s">
        <v>1</v>
      </c>
      <c r="AU3" s="71" t="s">
        <v>6</v>
      </c>
      <c r="AV3" s="71" t="s">
        <v>7</v>
      </c>
      <c r="AW3" s="71" t="s">
        <v>8</v>
      </c>
      <c r="AX3" s="71" t="s">
        <v>7</v>
      </c>
      <c r="AY3" s="71" t="s">
        <v>8</v>
      </c>
      <c r="AZ3" s="71" t="s">
        <v>1</v>
      </c>
      <c r="BA3" s="71" t="s">
        <v>1</v>
      </c>
      <c r="BB3" s="97"/>
      <c r="BC3" s="178" t="s">
        <v>342</v>
      </c>
      <c r="BD3" s="178" t="s">
        <v>342</v>
      </c>
      <c r="BE3" s="178" t="s">
        <v>342</v>
      </c>
      <c r="BF3" s="87" t="s">
        <v>6</v>
      </c>
      <c r="BG3" s="47"/>
    </row>
    <row r="4" spans="1:61" ht="18.75" customHeight="1" x14ac:dyDescent="0.25">
      <c r="A4" s="42" t="s">
        <v>30</v>
      </c>
      <c r="B4" s="31" t="s">
        <v>124</v>
      </c>
      <c r="C4" s="33">
        <v>1957</v>
      </c>
      <c r="D4" s="33">
        <v>56</v>
      </c>
      <c r="E4" s="33">
        <v>14</v>
      </c>
      <c r="F4" s="32">
        <f>7000+10800</f>
        <v>17800</v>
      </c>
      <c r="G4" s="32"/>
      <c r="H4" s="37" t="s">
        <v>121</v>
      </c>
      <c r="I4" s="148">
        <f>110*2*5</f>
        <v>1100</v>
      </c>
      <c r="J4" s="148">
        <f>(1*1.5)*I4</f>
        <v>1650</v>
      </c>
      <c r="K4" s="152">
        <v>5.0000000000000001E-3</v>
      </c>
      <c r="L4" s="148">
        <f>(2*1.5)*I4</f>
        <v>3300</v>
      </c>
      <c r="M4" s="152">
        <v>5.0000000000000001E-3</v>
      </c>
      <c r="N4" s="148">
        <f t="shared" ref="N4:N66" si="0">L4+J4</f>
        <v>4950</v>
      </c>
      <c r="O4" s="149">
        <f t="shared" ref="O4:O6" si="1">(J4*K4+L4*M4)*2.5</f>
        <v>61.875</v>
      </c>
      <c r="P4" s="148"/>
      <c r="Q4" s="152"/>
      <c r="R4" s="149"/>
      <c r="S4" s="148"/>
      <c r="T4" s="148"/>
      <c r="U4" s="148"/>
      <c r="V4" s="149">
        <f>N4/(1.5*1.5)*(1.5+1.5)*2/1000</f>
        <v>13.2</v>
      </c>
      <c r="W4" s="149">
        <v>0</v>
      </c>
      <c r="X4" s="148">
        <f>N4+P4*2+S4*3</f>
        <v>4950</v>
      </c>
      <c r="Y4" s="149">
        <f>O4+R4+U4</f>
        <v>61.875</v>
      </c>
      <c r="Z4" s="152">
        <f>M4+Q4</f>
        <v>5.0000000000000001E-3</v>
      </c>
      <c r="AA4" s="79">
        <v>2005</v>
      </c>
      <c r="AB4" s="73" t="str">
        <f>IF(AU4=0, IF(AND((C4+AA4)&gt;0,MAX(C4,AA4)&gt;(2022-Hypotheses!$D$3)), MAX(C4,AA4)+Hypotheses!$D$3, 2027), "")</f>
        <v/>
      </c>
      <c r="AC4" s="62" t="s">
        <v>170</v>
      </c>
      <c r="AD4" s="153">
        <f>78/110*X4</f>
        <v>3510</v>
      </c>
      <c r="AE4" s="153">
        <f>78/110*Y4</f>
        <v>43.875</v>
      </c>
      <c r="AF4" s="153">
        <f>78/110*O4</f>
        <v>43.875</v>
      </c>
      <c r="AG4" s="153">
        <f>78/110*R4</f>
        <v>0</v>
      </c>
      <c r="AH4" s="153">
        <f>78/110*V4</f>
        <v>9.36</v>
      </c>
      <c r="AI4" s="153">
        <f>78/110*W4</f>
        <v>0</v>
      </c>
      <c r="AJ4" s="79" t="s">
        <v>146</v>
      </c>
      <c r="AK4" s="150"/>
      <c r="AL4" s="156"/>
      <c r="AM4" s="150"/>
      <c r="AN4" s="150">
        <f>78/110*N4</f>
        <v>3510</v>
      </c>
      <c r="AO4" s="156">
        <f>2*0.006</f>
        <v>1.2E-2</v>
      </c>
      <c r="AP4" s="150">
        <f>AN4*AO4*2.5</f>
        <v>105.3</v>
      </c>
      <c r="AQ4" s="150">
        <f>AN4+AK4</f>
        <v>3510</v>
      </c>
      <c r="AR4" s="150">
        <f>AM4+AP4</f>
        <v>105.3</v>
      </c>
      <c r="AS4" s="150">
        <f>V4</f>
        <v>13.2</v>
      </c>
      <c r="AT4" s="150">
        <f>V4</f>
        <v>13.2</v>
      </c>
      <c r="AU4" s="74">
        <v>2005</v>
      </c>
      <c r="AV4" s="158">
        <f>32/110*O4</f>
        <v>18</v>
      </c>
      <c r="AW4" s="158">
        <f>32/110*R4</f>
        <v>0</v>
      </c>
      <c r="AX4" s="158">
        <f>32/110*X4</f>
        <v>1440</v>
      </c>
      <c r="AY4" s="158">
        <f>32/110*Y4</f>
        <v>18</v>
      </c>
      <c r="AZ4" s="158">
        <f>AS4</f>
        <v>13.2</v>
      </c>
      <c r="BA4" s="158">
        <f>AT4</f>
        <v>13.2</v>
      </c>
      <c r="BC4" s="180">
        <f t="shared" ref="BC4:BC35" si="2">IF(AA4&gt;0,AA4-C4,"")</f>
        <v>48</v>
      </c>
      <c r="BD4" s="180" t="str">
        <f>IF(AND(AA4&gt;0, 2022-C4&gt;0, AU4=0),2022-C4,"")</f>
        <v/>
      </c>
      <c r="BE4" s="181">
        <f t="shared" ref="BE4:BE35" si="3">IF(AU4&gt;0,AU4-C4,"")</f>
        <v>48</v>
      </c>
      <c r="BF4" s="88" t="s">
        <v>174</v>
      </c>
    </row>
    <row r="5" spans="1:61" s="24" customFormat="1" ht="18.75" customHeight="1" x14ac:dyDescent="0.25">
      <c r="A5" s="42" t="s">
        <v>179</v>
      </c>
      <c r="B5" s="31" t="s">
        <v>124</v>
      </c>
      <c r="C5" s="33">
        <v>1961</v>
      </c>
      <c r="D5" s="33">
        <v>77</v>
      </c>
      <c r="E5" s="33">
        <v>19</v>
      </c>
      <c r="F5" s="32">
        <v>9000</v>
      </c>
      <c r="G5" s="32"/>
      <c r="H5" s="37" t="s">
        <v>121</v>
      </c>
      <c r="I5" s="148">
        <f>32*2*14+4*5*2</f>
        <v>936</v>
      </c>
      <c r="J5" s="148">
        <f>(1*1.5)*I5</f>
        <v>1404</v>
      </c>
      <c r="K5" s="152">
        <v>5.0000000000000001E-3</v>
      </c>
      <c r="L5" s="148">
        <f>(2*1.5)*I5</f>
        <v>2808</v>
      </c>
      <c r="M5" s="152">
        <v>5.0000000000000001E-3</v>
      </c>
      <c r="N5" s="148">
        <f t="shared" si="0"/>
        <v>4212</v>
      </c>
      <c r="O5" s="149">
        <f t="shared" si="1"/>
        <v>52.650000000000006</v>
      </c>
      <c r="P5" s="148"/>
      <c r="Q5" s="152"/>
      <c r="R5" s="149"/>
      <c r="S5" s="148"/>
      <c r="T5" s="148"/>
      <c r="U5" s="148"/>
      <c r="V5" s="149">
        <f>((42+24)*2*0.7*2.2*22/(2.2*1.5)*(2.2+1.5)*2)/1000</f>
        <v>10.02848</v>
      </c>
      <c r="W5" s="149">
        <v>0</v>
      </c>
      <c r="X5" s="148">
        <f>N5+P5*2+S5*3</f>
        <v>4212</v>
      </c>
      <c r="Y5" s="149">
        <f>O5+R5+U5</f>
        <v>52.650000000000006</v>
      </c>
      <c r="Z5" s="152">
        <f t="shared" ref="Z5:Z68" si="4">M5+Q5</f>
        <v>5.0000000000000001E-3</v>
      </c>
      <c r="AA5" s="80"/>
      <c r="AB5" s="73" t="str">
        <f>IF(AU5=0, IF(AND((C5+AA5)&gt;0,MAX(C5,AA5)&gt;(2022-Hypotheses!$D$3)), MAX(C5,AA5)+Hypotheses!$D$3, 2027), "")</f>
        <v/>
      </c>
      <c r="AC5" s="63"/>
      <c r="AD5" s="153"/>
      <c r="AE5" s="153"/>
      <c r="AF5" s="153"/>
      <c r="AG5" s="153"/>
      <c r="AH5" s="153"/>
      <c r="AI5" s="153"/>
      <c r="AJ5" s="79"/>
      <c r="AK5" s="151"/>
      <c r="AL5" s="157"/>
      <c r="AM5" s="151"/>
      <c r="AN5" s="151"/>
      <c r="AO5" s="157"/>
      <c r="AP5" s="151"/>
      <c r="AQ5" s="150"/>
      <c r="AR5" s="151"/>
      <c r="AS5" s="151"/>
      <c r="AT5" s="151"/>
      <c r="AU5" s="75">
        <v>2017</v>
      </c>
      <c r="AV5" s="158">
        <f>O5</f>
        <v>52.650000000000006</v>
      </c>
      <c r="AW5" s="158">
        <f>R5</f>
        <v>0</v>
      </c>
      <c r="AX5" s="158">
        <f t="shared" ref="AX5:AY7" si="5">X5</f>
        <v>4212</v>
      </c>
      <c r="AY5" s="158">
        <f t="shared" si="5"/>
        <v>52.650000000000006</v>
      </c>
      <c r="AZ5" s="158">
        <f t="shared" ref="AZ5:BA7" si="6">V5</f>
        <v>10.02848</v>
      </c>
      <c r="BA5" s="158">
        <f t="shared" si="6"/>
        <v>0</v>
      </c>
      <c r="BB5" s="98"/>
      <c r="BC5" s="180" t="str">
        <f t="shared" si="2"/>
        <v/>
      </c>
      <c r="BD5" s="180" t="str">
        <f>IF(AND(AA5=0, 2022-C5&gt;0, AU5=0),2022-C5,"")</f>
        <v/>
      </c>
      <c r="BE5" s="181">
        <f t="shared" si="3"/>
        <v>56</v>
      </c>
      <c r="BF5" s="89"/>
      <c r="BG5" s="25"/>
      <c r="BH5" s="19"/>
      <c r="BI5" s="19"/>
    </row>
    <row r="6" spans="1:61" s="24" customFormat="1" ht="18.75" customHeight="1" x14ac:dyDescent="0.25">
      <c r="A6" s="42" t="s">
        <v>180</v>
      </c>
      <c r="B6" s="31" t="s">
        <v>124</v>
      </c>
      <c r="C6" s="33">
        <v>1961</v>
      </c>
      <c r="D6" s="33">
        <v>77</v>
      </c>
      <c r="E6" s="33">
        <v>16</v>
      </c>
      <c r="F6" s="32">
        <v>9000</v>
      </c>
      <c r="G6" s="32"/>
      <c r="H6" s="37" t="s">
        <v>121</v>
      </c>
      <c r="I6" s="148">
        <f>14*15*2</f>
        <v>420</v>
      </c>
      <c r="J6" s="148">
        <f>1.2*I6</f>
        <v>504</v>
      </c>
      <c r="K6" s="152">
        <v>8.0000000000000002E-3</v>
      </c>
      <c r="L6" s="148">
        <f>I6*(1.9*1.2)</f>
        <v>957.59999999999991</v>
      </c>
      <c r="M6" s="152">
        <v>8.0000000000000002E-3</v>
      </c>
      <c r="N6" s="148">
        <f t="shared" si="0"/>
        <v>1461.6</v>
      </c>
      <c r="O6" s="149">
        <f t="shared" si="1"/>
        <v>29.231999999999996</v>
      </c>
      <c r="P6" s="148"/>
      <c r="Q6" s="152"/>
      <c r="R6" s="149"/>
      <c r="S6" s="148"/>
      <c r="T6" s="148"/>
      <c r="U6" s="148"/>
      <c r="V6" s="149">
        <f>(I6*(1.9+1.9+1.2+1.2)+I6*(1.2*2+1*2))/1000</f>
        <v>4.452</v>
      </c>
      <c r="W6" s="149">
        <v>0</v>
      </c>
      <c r="X6" s="148">
        <f>N6+P6*2+S6*3</f>
        <v>1461.6</v>
      </c>
      <c r="Y6" s="149">
        <f>O6+R6+U6</f>
        <v>29.231999999999996</v>
      </c>
      <c r="Z6" s="152">
        <f t="shared" si="4"/>
        <v>8.0000000000000002E-3</v>
      </c>
      <c r="AA6" s="80"/>
      <c r="AB6" s="73" t="str">
        <f>IF(AU6=0, IF(AND((C6+AA6)&gt;0,MAX(C6,AA6)&gt;(2022-Hypotheses!$D$3)), MAX(C6,AA6)+Hypotheses!$D$3, 2027), "")</f>
        <v/>
      </c>
      <c r="AC6" s="63"/>
      <c r="AD6" s="153"/>
      <c r="AE6" s="153"/>
      <c r="AF6" s="153"/>
      <c r="AG6" s="153"/>
      <c r="AH6" s="153"/>
      <c r="AI6" s="153"/>
      <c r="AJ6" s="79"/>
      <c r="AK6" s="151"/>
      <c r="AL6" s="157"/>
      <c r="AM6" s="151"/>
      <c r="AN6" s="151"/>
      <c r="AO6" s="157"/>
      <c r="AP6" s="151"/>
      <c r="AQ6" s="150"/>
      <c r="AR6" s="151"/>
      <c r="AS6" s="151"/>
      <c r="AT6" s="151"/>
      <c r="AU6" s="75">
        <v>2017</v>
      </c>
      <c r="AV6" s="158">
        <f>O6</f>
        <v>29.231999999999996</v>
      </c>
      <c r="AW6" s="158">
        <f>R6</f>
        <v>0</v>
      </c>
      <c r="AX6" s="158">
        <f t="shared" si="5"/>
        <v>1461.6</v>
      </c>
      <c r="AY6" s="158">
        <f t="shared" si="5"/>
        <v>29.231999999999996</v>
      </c>
      <c r="AZ6" s="158">
        <f t="shared" si="6"/>
        <v>4.452</v>
      </c>
      <c r="BA6" s="158">
        <f t="shared" si="6"/>
        <v>0</v>
      </c>
      <c r="BB6" s="98"/>
      <c r="BC6" s="180" t="str">
        <f t="shared" si="2"/>
        <v/>
      </c>
      <c r="BD6" s="180" t="str">
        <f>IF(AND(AA6=0, 2022-C6&gt;0, AU6=0),2022-C6,"")</f>
        <v/>
      </c>
      <c r="BE6" s="181">
        <f t="shared" si="3"/>
        <v>56</v>
      </c>
      <c r="BF6" s="89"/>
      <c r="BG6" s="25"/>
      <c r="BH6" s="19"/>
      <c r="BI6" s="19"/>
    </row>
    <row r="7" spans="1:61" ht="18.75" customHeight="1" x14ac:dyDescent="0.25">
      <c r="A7" s="42" t="s">
        <v>181</v>
      </c>
      <c r="B7" s="31" t="s">
        <v>124</v>
      </c>
      <c r="C7" s="33">
        <v>1963</v>
      </c>
      <c r="D7" s="33">
        <v>63</v>
      </c>
      <c r="E7" s="33">
        <v>13</v>
      </c>
      <c r="F7" s="32">
        <v>36200</v>
      </c>
      <c r="G7" s="32"/>
      <c r="H7" s="37" t="s">
        <v>121</v>
      </c>
      <c r="I7" s="148">
        <f>14*62*12</f>
        <v>10416</v>
      </c>
      <c r="J7" s="148">
        <f>(1.5*3.75)*0.45*0.9*I7</f>
        <v>23728.95</v>
      </c>
      <c r="K7" s="152">
        <v>8.9999999999999993E-3</v>
      </c>
      <c r="L7" s="148">
        <f>(1.5*3.75)*0.55*0.9*I7</f>
        <v>29002.050000000003</v>
      </c>
      <c r="M7" s="152">
        <v>8.9999999999999993E-3</v>
      </c>
      <c r="N7" s="148">
        <f t="shared" si="0"/>
        <v>52731</v>
      </c>
      <c r="O7" s="149">
        <f>(J7*K7+L7*M7)*2.5</f>
        <v>1186.4475</v>
      </c>
      <c r="P7" s="148"/>
      <c r="Q7" s="152"/>
      <c r="R7" s="149"/>
      <c r="S7" s="148"/>
      <c r="T7" s="148"/>
      <c r="U7" s="148"/>
      <c r="V7" s="149">
        <f>(1.5*4+3.75*2*I7)/1000</f>
        <v>78.126000000000005</v>
      </c>
      <c r="W7" s="149">
        <v>0</v>
      </c>
      <c r="X7" s="148">
        <f>N7+P7*2+S7*3</f>
        <v>52731</v>
      </c>
      <c r="Y7" s="149">
        <f>O7+R7+U7</f>
        <v>1186.4475</v>
      </c>
      <c r="Z7" s="152">
        <f t="shared" si="4"/>
        <v>8.9999999999999993E-3</v>
      </c>
      <c r="AA7" s="79"/>
      <c r="AB7" s="73" t="str">
        <f>IF(AU7=0, IF(AND((C7+AA7)&gt;0,MAX(C7,AA7)&gt;(2022-Hypotheses!$D$3)), MAX(C7,AA7)+Hypotheses!$D$3, 2027), "")</f>
        <v/>
      </c>
      <c r="AC7" s="62"/>
      <c r="AD7" s="153"/>
      <c r="AE7" s="153"/>
      <c r="AF7" s="153"/>
      <c r="AG7" s="153"/>
      <c r="AH7" s="153"/>
      <c r="AI7" s="153"/>
      <c r="AJ7" s="79"/>
      <c r="AK7" s="150"/>
      <c r="AL7" s="156"/>
      <c r="AM7" s="150"/>
      <c r="AN7" s="150"/>
      <c r="AO7" s="156"/>
      <c r="AP7" s="150"/>
      <c r="AQ7" s="150"/>
      <c r="AR7" s="150"/>
      <c r="AS7" s="150"/>
      <c r="AT7" s="154"/>
      <c r="AU7" s="74">
        <v>1993</v>
      </c>
      <c r="AV7" s="158">
        <f>O7</f>
        <v>1186.4475</v>
      </c>
      <c r="AW7" s="158">
        <f>R7</f>
        <v>0</v>
      </c>
      <c r="AX7" s="158">
        <f t="shared" si="5"/>
        <v>52731</v>
      </c>
      <c r="AY7" s="158">
        <f t="shared" si="5"/>
        <v>1186.4475</v>
      </c>
      <c r="AZ7" s="158">
        <f t="shared" si="6"/>
        <v>78.126000000000005</v>
      </c>
      <c r="BA7" s="158">
        <f t="shared" si="6"/>
        <v>0</v>
      </c>
      <c r="BC7" s="180" t="str">
        <f t="shared" si="2"/>
        <v/>
      </c>
      <c r="BD7" s="180" t="str">
        <f>IF(AND(AA7=0, 2022-C7&gt;0, AU7=0),2022-C7,"")</f>
        <v/>
      </c>
      <c r="BE7" s="181">
        <f t="shared" si="3"/>
        <v>30</v>
      </c>
      <c r="BF7" s="90" t="s">
        <v>79</v>
      </c>
    </row>
    <row r="8" spans="1:61" ht="18.75" customHeight="1" x14ac:dyDescent="0.25">
      <c r="A8" s="42" t="s">
        <v>182</v>
      </c>
      <c r="B8" s="31" t="s">
        <v>124</v>
      </c>
      <c r="C8" s="33">
        <v>1966</v>
      </c>
      <c r="D8" s="33">
        <v>109</v>
      </c>
      <c r="E8" s="33">
        <v>30</v>
      </c>
      <c r="F8" s="32">
        <v>34300</v>
      </c>
      <c r="G8" s="32"/>
      <c r="H8" s="37" t="s">
        <v>146</v>
      </c>
      <c r="I8" s="148">
        <f>(16*2+32*2)*E8</f>
        <v>2880</v>
      </c>
      <c r="J8" s="148">
        <f>0.25*(1.4*3.15)*0.9*I8</f>
        <v>2857.6799999999994</v>
      </c>
      <c r="K8" s="152">
        <v>8.0000000000000002E-3</v>
      </c>
      <c r="L8" s="148"/>
      <c r="M8" s="152"/>
      <c r="N8" s="148">
        <f t="shared" si="0"/>
        <v>2857.6799999999994</v>
      </c>
      <c r="O8" s="149">
        <f t="shared" ref="O8:O17" si="7">(J8*K8+L8*M8)*2.5</f>
        <v>57.153599999999983</v>
      </c>
      <c r="P8" s="148">
        <f>0.75*(1.4*3.15)*0.9*I8</f>
        <v>8573.0399999999991</v>
      </c>
      <c r="Q8" s="152">
        <f>0.008*2</f>
        <v>1.6E-2</v>
      </c>
      <c r="R8" s="149">
        <f>P8*Q8*2.5</f>
        <v>342.92159999999996</v>
      </c>
      <c r="S8" s="148"/>
      <c r="T8" s="148"/>
      <c r="U8" s="148"/>
      <c r="V8" s="149">
        <f>I8*(4*1.4+2*3.1)/1000</f>
        <v>33.984000000000002</v>
      </c>
      <c r="W8" s="149">
        <f>I8*(2*1.4+2*2.1)/1000</f>
        <v>20.16</v>
      </c>
      <c r="X8" s="148">
        <f>N8+P8*2+S8*3</f>
        <v>20003.759999999998</v>
      </c>
      <c r="Y8" s="149">
        <f>O8+R8+U8</f>
        <v>400.07519999999994</v>
      </c>
      <c r="Z8" s="152">
        <f t="shared" si="4"/>
        <v>1.6E-2</v>
      </c>
      <c r="AA8" s="79">
        <v>2003</v>
      </c>
      <c r="AB8" s="73">
        <f>IF(AU8=0, IF(AND((C8+AA8)&gt;0,MAX(C8,AA8)&gt;(2022-Hypotheses!$D$3)), MAX(C8,AA8)+Hypotheses!$D$3, 2027), "")</f>
        <v>2043</v>
      </c>
      <c r="AC8" s="62" t="s">
        <v>170</v>
      </c>
      <c r="AD8" s="153">
        <f>X8</f>
        <v>20003.759999999998</v>
      </c>
      <c r="AE8" s="153">
        <f>Y8</f>
        <v>400.07519999999994</v>
      </c>
      <c r="AF8" s="153">
        <f>O8</f>
        <v>57.153599999999983</v>
      </c>
      <c r="AG8" s="153">
        <f>R8</f>
        <v>342.92159999999996</v>
      </c>
      <c r="AH8" s="153">
        <f>V8</f>
        <v>33.984000000000002</v>
      </c>
      <c r="AI8" s="153">
        <f>W8</f>
        <v>20.16</v>
      </c>
      <c r="AJ8" s="79" t="s">
        <v>146</v>
      </c>
      <c r="AK8" s="150">
        <f>N8</f>
        <v>2857.6799999999994</v>
      </c>
      <c r="AL8" s="156"/>
      <c r="AM8" s="150">
        <f>O8</f>
        <v>57.153599999999983</v>
      </c>
      <c r="AN8" s="150">
        <f>P8</f>
        <v>8573.0399999999991</v>
      </c>
      <c r="AO8" s="156">
        <f>Q8</f>
        <v>1.6E-2</v>
      </c>
      <c r="AP8" s="150">
        <f>R8</f>
        <v>342.92159999999996</v>
      </c>
      <c r="AQ8" s="150">
        <f t="shared" ref="AQ8:AQ68" si="8">AN8+AK8</f>
        <v>11430.719999999998</v>
      </c>
      <c r="AR8" s="150">
        <f t="shared" ref="AR8:AR9" si="9">AM8+AP8</f>
        <v>400.07519999999994</v>
      </c>
      <c r="AS8" s="150">
        <f>V8</f>
        <v>33.984000000000002</v>
      </c>
      <c r="AT8" s="150">
        <f>W8</f>
        <v>20.16</v>
      </c>
      <c r="AU8" s="81"/>
      <c r="AV8" s="158"/>
      <c r="AW8" s="158"/>
      <c r="AX8" s="158"/>
      <c r="AY8" s="158"/>
      <c r="AZ8" s="158"/>
      <c r="BA8" s="158"/>
      <c r="BC8" s="180">
        <f t="shared" si="2"/>
        <v>37</v>
      </c>
      <c r="BD8" s="180">
        <f>2022-AA8</f>
        <v>19</v>
      </c>
      <c r="BE8" s="181" t="str">
        <f t="shared" si="3"/>
        <v/>
      </c>
    </row>
    <row r="9" spans="1:61" s="49" customFormat="1" ht="18.75" customHeight="1" x14ac:dyDescent="0.25">
      <c r="A9" s="43" t="s">
        <v>183</v>
      </c>
      <c r="B9" s="31" t="s">
        <v>124</v>
      </c>
      <c r="C9" s="33">
        <v>1967</v>
      </c>
      <c r="D9" s="33">
        <v>100</v>
      </c>
      <c r="E9" s="33">
        <v>28</v>
      </c>
      <c r="F9" s="32">
        <v>34000</v>
      </c>
      <c r="G9" s="32"/>
      <c r="H9" s="37" t="s">
        <v>146</v>
      </c>
      <c r="I9" s="148">
        <f>(12+7)*2*26*2</f>
        <v>1976</v>
      </c>
      <c r="J9" s="148">
        <f>1*I9</f>
        <v>1976</v>
      </c>
      <c r="K9" s="152">
        <v>8.0000000000000002E-3</v>
      </c>
      <c r="L9" s="148"/>
      <c r="M9" s="152"/>
      <c r="N9" s="148">
        <f t="shared" si="0"/>
        <v>1976</v>
      </c>
      <c r="O9" s="149">
        <f t="shared" si="7"/>
        <v>39.519999999999996</v>
      </c>
      <c r="P9" s="148">
        <f>I9*(1*1.9)</f>
        <v>3754.3999999999996</v>
      </c>
      <c r="Q9" s="152">
        <f t="shared" ref="Q9:Q17" si="10">0.008*2</f>
        <v>1.6E-2</v>
      </c>
      <c r="R9" s="149">
        <f>P9*Q9*2.5</f>
        <v>150.17599999999999</v>
      </c>
      <c r="S9" s="148"/>
      <c r="T9" s="148"/>
      <c r="U9" s="148"/>
      <c r="V9" s="149">
        <f>I9*(4*1+2*1+2*1.9)/1000</f>
        <v>19.364800000000002</v>
      </c>
      <c r="W9" s="149">
        <f>I9*(1*2+1.9*2)/1000</f>
        <v>11.460799999999999</v>
      </c>
      <c r="X9" s="148">
        <f t="shared" ref="X9:X72" si="11">N9+P9*2+S9*3</f>
        <v>9484.7999999999993</v>
      </c>
      <c r="Y9" s="149">
        <f t="shared" ref="Y9:Y72" si="12">O9+R9+U9</f>
        <v>189.69599999999997</v>
      </c>
      <c r="Z9" s="152">
        <f t="shared" si="4"/>
        <v>1.6E-2</v>
      </c>
      <c r="AA9" s="79">
        <v>2014</v>
      </c>
      <c r="AB9" s="73">
        <f>IF(AU9=0, IF(AND((C9+AA9)&gt;0,MAX(C9,AA9)&gt;(2022-Hypotheses!$D$3)), MAX(C9,AA9)+Hypotheses!$D$3, 2027), "")</f>
        <v>2054</v>
      </c>
      <c r="AC9" s="62"/>
      <c r="AD9" s="153">
        <f>X9</f>
        <v>9484.7999999999993</v>
      </c>
      <c r="AE9" s="153">
        <f>Y9</f>
        <v>189.69599999999997</v>
      </c>
      <c r="AF9" s="153">
        <f>O9</f>
        <v>39.519999999999996</v>
      </c>
      <c r="AG9" s="153">
        <f>R9</f>
        <v>150.17599999999999</v>
      </c>
      <c r="AH9" s="153">
        <f>V9</f>
        <v>19.364800000000002</v>
      </c>
      <c r="AI9" s="153">
        <f>W9</f>
        <v>11.460799999999999</v>
      </c>
      <c r="AJ9" s="79" t="s">
        <v>168</v>
      </c>
      <c r="AK9" s="150">
        <f>AN9</f>
        <v>10057.84</v>
      </c>
      <c r="AL9" s="156">
        <v>8.0000000000000002E-3</v>
      </c>
      <c r="AM9" s="150">
        <f>AK9*AL9*2.5</f>
        <v>201.1568</v>
      </c>
      <c r="AN9" s="150">
        <f>((12+7)*2*26*2)*(1*1.9)+((12+7)*2*26)*2.2*2.9</f>
        <v>10057.84</v>
      </c>
      <c r="AO9" s="156">
        <v>1.7999999999999999E-2</v>
      </c>
      <c r="AP9" s="150">
        <f>AN9*AO9*2.5</f>
        <v>452.60279999999995</v>
      </c>
      <c r="AQ9" s="150">
        <f t="shared" si="8"/>
        <v>20115.68</v>
      </c>
      <c r="AR9" s="150">
        <f t="shared" si="9"/>
        <v>653.75959999999998</v>
      </c>
      <c r="AS9" s="150">
        <f>AT9*2</f>
        <v>43.076799999999999</v>
      </c>
      <c r="AT9" s="150">
        <f>(((12+7)*2*26*2)*(1+1.9)*2+((12+7)*2*26)*(2.2+2.9)*2)/1000</f>
        <v>21.538399999999999</v>
      </c>
      <c r="AU9" s="81"/>
      <c r="AV9" s="158"/>
      <c r="AW9" s="158"/>
      <c r="AX9" s="158"/>
      <c r="AY9" s="158"/>
      <c r="AZ9" s="158"/>
      <c r="BA9" s="158"/>
      <c r="BB9" s="98"/>
      <c r="BC9" s="180">
        <f t="shared" si="2"/>
        <v>47</v>
      </c>
      <c r="BD9" s="180">
        <f>2022-AA9</f>
        <v>8</v>
      </c>
      <c r="BE9" s="181" t="str">
        <f t="shared" si="3"/>
        <v/>
      </c>
      <c r="BF9" s="91" t="s">
        <v>173</v>
      </c>
      <c r="BG9" s="50"/>
      <c r="BH9" s="47"/>
      <c r="BI9" s="47"/>
    </row>
    <row r="10" spans="1:61" ht="18.75" customHeight="1" x14ac:dyDescent="0.25">
      <c r="A10" s="42" t="s">
        <v>184</v>
      </c>
      <c r="B10" s="31" t="s">
        <v>124</v>
      </c>
      <c r="C10" s="33">
        <v>1968</v>
      </c>
      <c r="D10" s="33">
        <v>51</v>
      </c>
      <c r="E10" s="33">
        <v>17</v>
      </c>
      <c r="F10" s="32">
        <v>15000</v>
      </c>
      <c r="G10" s="32"/>
      <c r="H10" s="37" t="s">
        <v>146</v>
      </c>
      <c r="I10" s="148">
        <f>E10*(42+24)*2</f>
        <v>2244</v>
      </c>
      <c r="J10" s="148"/>
      <c r="K10" s="152"/>
      <c r="L10" s="148"/>
      <c r="M10" s="152"/>
      <c r="N10" s="148"/>
      <c r="O10" s="149"/>
      <c r="P10" s="148">
        <f>0.7*2.2*I10</f>
        <v>3455.76</v>
      </c>
      <c r="Q10" s="152">
        <f t="shared" si="10"/>
        <v>1.6E-2</v>
      </c>
      <c r="R10" s="149">
        <f>P10*Q10*2.5</f>
        <v>138.2304</v>
      </c>
      <c r="S10" s="148"/>
      <c r="T10" s="148"/>
      <c r="U10" s="148"/>
      <c r="V10" s="149">
        <f>((42+24)*2*0.7*2.2*17/(2.2*1.5)*(2.2+1.5)*2)/1000</f>
        <v>7.7492800000000006</v>
      </c>
      <c r="W10" s="149">
        <f>((42+24)*2*0.7*2.2*17/(2.2*1.5)*(2.2+1.5)*2)/1000</f>
        <v>7.7492800000000006</v>
      </c>
      <c r="X10" s="148">
        <f t="shared" si="11"/>
        <v>6911.52</v>
      </c>
      <c r="Y10" s="149">
        <f t="shared" si="12"/>
        <v>138.2304</v>
      </c>
      <c r="Z10" s="152">
        <f t="shared" si="4"/>
        <v>1.6E-2</v>
      </c>
      <c r="AA10" s="79"/>
      <c r="AB10" s="73" t="str">
        <f>IF(AU10=0, IF(AND((C10+AA10)&gt;0,MAX(C10,AA10)&gt;(2022-Hypotheses!$D$3)), MAX(C10,AA10)+Hypotheses!$D$3, 2027), "")</f>
        <v/>
      </c>
      <c r="AC10" s="62"/>
      <c r="AD10" s="153"/>
      <c r="AE10" s="153"/>
      <c r="AF10" s="153"/>
      <c r="AG10" s="153"/>
      <c r="AH10" s="153"/>
      <c r="AI10" s="153"/>
      <c r="AJ10" s="79"/>
      <c r="AK10" s="150"/>
      <c r="AL10" s="156"/>
      <c r="AM10" s="150"/>
      <c r="AN10" s="150"/>
      <c r="AO10" s="156"/>
      <c r="AP10" s="150"/>
      <c r="AQ10" s="150"/>
      <c r="AR10" s="150"/>
      <c r="AS10" s="150"/>
      <c r="AT10" s="150"/>
      <c r="AU10" s="75">
        <v>2017</v>
      </c>
      <c r="AV10" s="158">
        <f>O10</f>
        <v>0</v>
      </c>
      <c r="AW10" s="158">
        <f>R10</f>
        <v>138.2304</v>
      </c>
      <c r="AX10" s="158">
        <f>X10</f>
        <v>6911.52</v>
      </c>
      <c r="AY10" s="158">
        <f>Y10</f>
        <v>138.2304</v>
      </c>
      <c r="AZ10" s="158">
        <f>V10</f>
        <v>7.7492800000000006</v>
      </c>
      <c r="BA10" s="158">
        <f>W10</f>
        <v>7.7492800000000006</v>
      </c>
      <c r="BC10" s="180" t="str">
        <f t="shared" si="2"/>
        <v/>
      </c>
      <c r="BD10" s="180" t="str">
        <f>IF(AND(AA10=0, 2022-C10&gt;0, AU10=0),2022-C10,"")</f>
        <v/>
      </c>
      <c r="BE10" s="181">
        <f t="shared" si="3"/>
        <v>49</v>
      </c>
      <c r="BF10" s="92" t="s">
        <v>100</v>
      </c>
    </row>
    <row r="11" spans="1:61" ht="18.75" customHeight="1" x14ac:dyDescent="0.25">
      <c r="A11" s="42" t="s">
        <v>185</v>
      </c>
      <c r="B11" s="31" t="s">
        <v>124</v>
      </c>
      <c r="C11" s="33">
        <v>1969</v>
      </c>
      <c r="D11" s="33">
        <v>110</v>
      </c>
      <c r="E11" s="33">
        <v>29</v>
      </c>
      <c r="F11" s="32">
        <v>28000</v>
      </c>
      <c r="G11" s="32"/>
      <c r="H11" s="37" t="s">
        <v>146</v>
      </c>
      <c r="I11" s="148"/>
      <c r="J11" s="148"/>
      <c r="K11" s="152"/>
      <c r="L11" s="148"/>
      <c r="M11" s="152"/>
      <c r="N11" s="148"/>
      <c r="O11" s="149"/>
      <c r="P11" s="148">
        <f>6500*0.95</f>
        <v>6175</v>
      </c>
      <c r="Q11" s="152">
        <f t="shared" si="10"/>
        <v>1.6E-2</v>
      </c>
      <c r="R11" s="149">
        <f>P11*Q11*2.5</f>
        <v>247</v>
      </c>
      <c r="S11" s="148"/>
      <c r="T11" s="148"/>
      <c r="U11" s="148"/>
      <c r="V11" s="149">
        <f>P11/(1.3*1.3)*(1.3*4)/1000</f>
        <v>18.999999999999996</v>
      </c>
      <c r="W11" s="149">
        <f>P11/(1.3*1.3)*(1.3*4)/1000</f>
        <v>18.999999999999996</v>
      </c>
      <c r="X11" s="148">
        <f t="shared" si="11"/>
        <v>12350</v>
      </c>
      <c r="Y11" s="149">
        <f t="shared" si="12"/>
        <v>247</v>
      </c>
      <c r="Z11" s="152">
        <f t="shared" si="4"/>
        <v>1.6E-2</v>
      </c>
      <c r="AA11" s="79">
        <v>2002</v>
      </c>
      <c r="AB11" s="73">
        <f>IF(AU11=0, IF(AND((C11+AA11)&gt;0,MAX(C11,AA11)&gt;(2022-Hypotheses!$D$3)), MAX(C11,AA11)+Hypotheses!$D$3, 2027), "")</f>
        <v>2042</v>
      </c>
      <c r="AC11" s="62" t="s">
        <v>170</v>
      </c>
      <c r="AD11" s="153">
        <f t="shared" ref="AD11:AD26" si="13">X11</f>
        <v>12350</v>
      </c>
      <c r="AE11" s="153">
        <f t="shared" ref="AE11:AE26" si="14">Y11</f>
        <v>247</v>
      </c>
      <c r="AF11" s="153">
        <f t="shared" ref="AF11:AF26" si="15">O11</f>
        <v>0</v>
      </c>
      <c r="AG11" s="153">
        <f t="shared" ref="AG11:AG26" si="16">R11</f>
        <v>247</v>
      </c>
      <c r="AH11" s="153">
        <f t="shared" ref="AH11:AH26" si="17">V11</f>
        <v>18.999999999999996</v>
      </c>
      <c r="AI11" s="153">
        <f t="shared" ref="AI11:AI26" si="18">W11</f>
        <v>18.999999999999996</v>
      </c>
      <c r="AJ11" s="79" t="s">
        <v>146</v>
      </c>
      <c r="AK11" s="150"/>
      <c r="AL11" s="156"/>
      <c r="AM11" s="150"/>
      <c r="AN11" s="150">
        <f>P11</f>
        <v>6175</v>
      </c>
      <c r="AO11" s="156">
        <f>Q11</f>
        <v>1.6E-2</v>
      </c>
      <c r="AP11" s="150">
        <f>AN11*AO11*2.5</f>
        <v>247</v>
      </c>
      <c r="AQ11" s="150">
        <f t="shared" si="8"/>
        <v>6175</v>
      </c>
      <c r="AR11" s="150">
        <f t="shared" ref="AR11:AR13" si="19">AM11+AP11</f>
        <v>247</v>
      </c>
      <c r="AS11" s="150">
        <f>V11</f>
        <v>18.999999999999996</v>
      </c>
      <c r="AT11" s="150">
        <f>V11</f>
        <v>18.999999999999996</v>
      </c>
      <c r="AU11" s="81"/>
      <c r="AV11" s="158"/>
      <c r="AW11" s="158"/>
      <c r="AX11" s="158"/>
      <c r="AY11" s="158"/>
      <c r="AZ11" s="158"/>
      <c r="BA11" s="158"/>
      <c r="BC11" s="180">
        <f t="shared" si="2"/>
        <v>33</v>
      </c>
      <c r="BD11" s="180">
        <f>2022-AA11</f>
        <v>20</v>
      </c>
      <c r="BE11" s="181" t="str">
        <f t="shared" si="3"/>
        <v/>
      </c>
      <c r="BF11" s="91" t="s">
        <v>172</v>
      </c>
    </row>
    <row r="12" spans="1:61" ht="18.75" customHeight="1" x14ac:dyDescent="0.25">
      <c r="A12" s="42" t="s">
        <v>186</v>
      </c>
      <c r="B12" s="31" t="s">
        <v>124</v>
      </c>
      <c r="C12" s="33">
        <v>1970</v>
      </c>
      <c r="D12" s="33">
        <v>52</v>
      </c>
      <c r="E12" s="33">
        <v>15</v>
      </c>
      <c r="F12" s="32">
        <v>18750</v>
      </c>
      <c r="G12" s="32"/>
      <c r="H12" s="37" t="s">
        <v>146</v>
      </c>
      <c r="I12" s="148"/>
      <c r="J12" s="148">
        <v>315</v>
      </c>
      <c r="K12" s="152">
        <v>6.0000000000000001E-3</v>
      </c>
      <c r="L12" s="148"/>
      <c r="M12" s="152"/>
      <c r="N12" s="148">
        <f t="shared" si="0"/>
        <v>315</v>
      </c>
      <c r="O12" s="149">
        <f t="shared" si="7"/>
        <v>4.7250000000000005</v>
      </c>
      <c r="P12" s="148">
        <f>(305*13+360+175*7+100)*0.9</f>
        <v>5085</v>
      </c>
      <c r="Q12" s="152">
        <f t="shared" si="10"/>
        <v>1.6E-2</v>
      </c>
      <c r="R12" s="149">
        <f t="shared" ref="R12:R17" si="20">P12*Q12*2.5</f>
        <v>203.4</v>
      </c>
      <c r="S12" s="148"/>
      <c r="T12" s="148"/>
      <c r="U12" s="148"/>
      <c r="V12" s="149">
        <f>(17*(4+8+4+4+8+4)*13+17*(6+6)*7+11*(13+23+2)*13+11*(13+10)*7+840)/1000</f>
        <v>16.545000000000002</v>
      </c>
      <c r="W12" s="149">
        <f t="shared" ref="W12:W17" si="21">P12/(1.5*1.5)*(1.5*4)/1000</f>
        <v>13.56</v>
      </c>
      <c r="X12" s="148">
        <f t="shared" si="11"/>
        <v>10485</v>
      </c>
      <c r="Y12" s="149">
        <f t="shared" si="12"/>
        <v>208.125</v>
      </c>
      <c r="Z12" s="152">
        <f t="shared" si="4"/>
        <v>1.6E-2</v>
      </c>
      <c r="AA12" s="79">
        <v>1996</v>
      </c>
      <c r="AB12" s="73" t="str">
        <f>IF(AU12=0, IF(AND((C12+AA12)&gt;0,MAX(C12,AA12)&gt;(2022-Hypotheses!$D$3)), MAX(C12,AA12)+Hypotheses!$D$3, 2027), "")</f>
        <v/>
      </c>
      <c r="AC12" s="62" t="s">
        <v>170</v>
      </c>
      <c r="AD12" s="153">
        <f t="shared" si="13"/>
        <v>10485</v>
      </c>
      <c r="AE12" s="153">
        <f t="shared" si="14"/>
        <v>208.125</v>
      </c>
      <c r="AF12" s="153">
        <f t="shared" si="15"/>
        <v>4.7250000000000005</v>
      </c>
      <c r="AG12" s="153">
        <f t="shared" si="16"/>
        <v>203.4</v>
      </c>
      <c r="AH12" s="153">
        <f t="shared" si="17"/>
        <v>16.545000000000002</v>
      </c>
      <c r="AI12" s="153">
        <f t="shared" si="18"/>
        <v>13.56</v>
      </c>
      <c r="AJ12" s="61" t="s">
        <v>146</v>
      </c>
      <c r="AK12" s="150"/>
      <c r="AL12" s="156"/>
      <c r="AM12" s="150"/>
      <c r="AN12" s="150">
        <f>P12</f>
        <v>5085</v>
      </c>
      <c r="AO12" s="156">
        <f>Q12</f>
        <v>1.6E-2</v>
      </c>
      <c r="AP12" s="150">
        <f t="shared" ref="AP12:AP13" si="22">AN12*AO12*2.5</f>
        <v>203.4</v>
      </c>
      <c r="AQ12" s="150">
        <f t="shared" si="8"/>
        <v>5085</v>
      </c>
      <c r="AR12" s="150">
        <f t="shared" si="19"/>
        <v>203.4</v>
      </c>
      <c r="AS12" s="150">
        <f>V12</f>
        <v>16.545000000000002</v>
      </c>
      <c r="AT12" s="150">
        <f>V12</f>
        <v>16.545000000000002</v>
      </c>
      <c r="AU12" s="74">
        <v>2022</v>
      </c>
      <c r="AV12" s="158">
        <f>O12</f>
        <v>4.7250000000000005</v>
      </c>
      <c r="AW12" s="158">
        <f>R12</f>
        <v>203.4</v>
      </c>
      <c r="AX12" s="158">
        <f>X12</f>
        <v>10485</v>
      </c>
      <c r="AY12" s="158">
        <f>Y12</f>
        <v>208.125</v>
      </c>
      <c r="AZ12" s="158">
        <f>AS12</f>
        <v>16.545000000000002</v>
      </c>
      <c r="BA12" s="158">
        <f>AT12</f>
        <v>16.545000000000002</v>
      </c>
      <c r="BC12" s="180">
        <f t="shared" si="2"/>
        <v>26</v>
      </c>
      <c r="BD12" s="180"/>
      <c r="BE12" s="181">
        <f t="shared" si="3"/>
        <v>52</v>
      </c>
      <c r="BF12" s="88" t="s">
        <v>175</v>
      </c>
      <c r="BG12" s="76"/>
    </row>
    <row r="13" spans="1:61" ht="18.75" customHeight="1" x14ac:dyDescent="0.25">
      <c r="A13" s="42" t="s">
        <v>232</v>
      </c>
      <c r="B13" s="31" t="s">
        <v>124</v>
      </c>
      <c r="C13" s="33">
        <v>1970</v>
      </c>
      <c r="D13" s="33">
        <v>90</v>
      </c>
      <c r="E13" s="33">
        <v>28</v>
      </c>
      <c r="F13" s="32">
        <v>26000</v>
      </c>
      <c r="G13" s="32"/>
      <c r="H13" s="37" t="s">
        <v>146</v>
      </c>
      <c r="I13" s="148"/>
      <c r="J13" s="148">
        <v>2560</v>
      </c>
      <c r="K13" s="152">
        <v>6.0000000000000001E-3</v>
      </c>
      <c r="L13" s="148"/>
      <c r="M13" s="152"/>
      <c r="N13" s="148">
        <f t="shared" si="0"/>
        <v>2560</v>
      </c>
      <c r="O13" s="149">
        <f t="shared" si="7"/>
        <v>38.4</v>
      </c>
      <c r="P13" s="148">
        <v>5900</v>
      </c>
      <c r="Q13" s="152">
        <f t="shared" si="10"/>
        <v>1.6E-2</v>
      </c>
      <c r="R13" s="149">
        <f t="shared" si="20"/>
        <v>236</v>
      </c>
      <c r="S13" s="148"/>
      <c r="T13" s="148"/>
      <c r="U13" s="148"/>
      <c r="V13" s="149">
        <f>15000/1000</f>
        <v>15</v>
      </c>
      <c r="W13" s="149">
        <f t="shared" si="21"/>
        <v>15.733333333333333</v>
      </c>
      <c r="X13" s="148">
        <f t="shared" si="11"/>
        <v>14360</v>
      </c>
      <c r="Y13" s="149">
        <f t="shared" si="12"/>
        <v>274.39999999999998</v>
      </c>
      <c r="Z13" s="152">
        <f t="shared" si="4"/>
        <v>1.6E-2</v>
      </c>
      <c r="AA13" s="79"/>
      <c r="AB13" s="73">
        <f>IF(AU13=0, IF(AND((C13+AA13)&gt;0,MAX(C13,AA13)&gt;(2022-Hypotheses!$D$3)), MAX(C13,AA13)+Hypotheses!$D$3, 2027), "")</f>
        <v>2027</v>
      </c>
      <c r="AC13" s="62"/>
      <c r="AD13" s="153">
        <f t="shared" si="13"/>
        <v>14360</v>
      </c>
      <c r="AE13" s="153">
        <f t="shared" si="14"/>
        <v>274.39999999999998</v>
      </c>
      <c r="AF13" s="153">
        <f t="shared" si="15"/>
        <v>38.4</v>
      </c>
      <c r="AG13" s="153">
        <f t="shared" si="16"/>
        <v>236</v>
      </c>
      <c r="AH13" s="153">
        <f t="shared" si="17"/>
        <v>15</v>
      </c>
      <c r="AI13" s="153">
        <f t="shared" si="18"/>
        <v>15.733333333333333</v>
      </c>
      <c r="AJ13" s="79" t="s">
        <v>146</v>
      </c>
      <c r="AK13" s="150">
        <f>J13</f>
        <v>2560</v>
      </c>
      <c r="AL13" s="156">
        <v>8.0000000000000002E-3</v>
      </c>
      <c r="AM13" s="150">
        <f>AK13*AL13*2.5</f>
        <v>51.2</v>
      </c>
      <c r="AN13" s="150">
        <f>P13</f>
        <v>5900</v>
      </c>
      <c r="AO13" s="156">
        <v>1.4E-2</v>
      </c>
      <c r="AP13" s="150">
        <f t="shared" si="22"/>
        <v>206.50000000000003</v>
      </c>
      <c r="AQ13" s="150">
        <f t="shared" si="8"/>
        <v>8460</v>
      </c>
      <c r="AR13" s="150">
        <f t="shared" si="19"/>
        <v>257.70000000000005</v>
      </c>
      <c r="AS13" s="150">
        <f>V13</f>
        <v>15</v>
      </c>
      <c r="AT13" s="150">
        <f>V13</f>
        <v>15</v>
      </c>
      <c r="AU13" s="81"/>
      <c r="AV13" s="158"/>
      <c r="AW13" s="158"/>
      <c r="AX13" s="158"/>
      <c r="AY13" s="158"/>
      <c r="AZ13" s="158"/>
      <c r="BA13" s="158"/>
      <c r="BC13" s="180" t="str">
        <f t="shared" si="2"/>
        <v/>
      </c>
      <c r="BD13" s="180">
        <f>IF(AND(AA13=0, 2022-C13&gt;0, AU13=0),2022-C13,"")</f>
        <v>52</v>
      </c>
      <c r="BE13" s="181" t="str">
        <f t="shared" si="3"/>
        <v/>
      </c>
      <c r="BF13" s="90" t="s">
        <v>176</v>
      </c>
    </row>
    <row r="14" spans="1:61" ht="18.75" customHeight="1" x14ac:dyDescent="0.25">
      <c r="A14" s="42" t="s">
        <v>187</v>
      </c>
      <c r="B14" s="31" t="s">
        <v>124</v>
      </c>
      <c r="C14" s="33">
        <v>1970</v>
      </c>
      <c r="D14" s="33">
        <v>100</v>
      </c>
      <c r="E14" s="33">
        <v>30</v>
      </c>
      <c r="F14" s="32">
        <v>28500</v>
      </c>
      <c r="G14" s="32"/>
      <c r="H14" s="37" t="s">
        <v>146</v>
      </c>
      <c r="I14" s="148"/>
      <c r="J14" s="148"/>
      <c r="K14" s="152"/>
      <c r="L14" s="148"/>
      <c r="M14" s="152"/>
      <c r="N14" s="148"/>
      <c r="O14" s="149"/>
      <c r="P14" s="148">
        <v>4620</v>
      </c>
      <c r="Q14" s="152">
        <v>1.7999999999999999E-2</v>
      </c>
      <c r="R14" s="149">
        <f t="shared" si="20"/>
        <v>207.89999999999998</v>
      </c>
      <c r="S14" s="148"/>
      <c r="T14" s="148"/>
      <c r="U14" s="148"/>
      <c r="V14" s="149">
        <f>14850/1000</f>
        <v>14.85</v>
      </c>
      <c r="W14" s="149">
        <f t="shared" si="21"/>
        <v>12.32</v>
      </c>
      <c r="X14" s="148">
        <f t="shared" si="11"/>
        <v>9240</v>
      </c>
      <c r="Y14" s="149">
        <f t="shared" si="12"/>
        <v>207.89999999999998</v>
      </c>
      <c r="Z14" s="152">
        <f t="shared" si="4"/>
        <v>1.7999999999999999E-2</v>
      </c>
      <c r="AA14" s="79">
        <v>2021</v>
      </c>
      <c r="AB14" s="73">
        <f>IF(AU14=0, IF(AND((C14+AA14)&gt;0,MAX(C14,AA14)&gt;(2022-Hypotheses!$D$3)), MAX(C14,AA14)+Hypotheses!$D$3, 2027), "")</f>
        <v>2061</v>
      </c>
      <c r="AC14" s="62" t="s">
        <v>170</v>
      </c>
      <c r="AD14" s="153">
        <f t="shared" si="13"/>
        <v>9240</v>
      </c>
      <c r="AE14" s="153">
        <f t="shared" si="14"/>
        <v>207.89999999999998</v>
      </c>
      <c r="AF14" s="153">
        <f t="shared" si="15"/>
        <v>0</v>
      </c>
      <c r="AG14" s="153">
        <f t="shared" si="16"/>
        <v>207.89999999999998</v>
      </c>
      <c r="AH14" s="153">
        <f t="shared" si="17"/>
        <v>14.85</v>
      </c>
      <c r="AI14" s="153">
        <f t="shared" si="18"/>
        <v>12.32</v>
      </c>
      <c r="AJ14" s="61" t="s">
        <v>146</v>
      </c>
      <c r="AK14" s="150"/>
      <c r="AL14" s="156"/>
      <c r="AM14" s="150"/>
      <c r="AN14" s="150">
        <f>10650+2100</f>
        <v>12750</v>
      </c>
      <c r="AO14" s="156">
        <v>1.7999999999999999E-2</v>
      </c>
      <c r="AP14" s="150">
        <f t="shared" ref="AP14:AP16" si="23">AN14*AO14*2.5</f>
        <v>573.74999999999989</v>
      </c>
      <c r="AQ14" s="150">
        <f t="shared" si="8"/>
        <v>12750</v>
      </c>
      <c r="AR14" s="150">
        <f t="shared" ref="AR14:AR16" si="24">AM14+AP14</f>
        <v>573.74999999999989</v>
      </c>
      <c r="AS14" s="150">
        <f>(26370+3500)/1000</f>
        <v>29.87</v>
      </c>
      <c r="AT14" s="150">
        <f>(26370+3500)/1000</f>
        <v>29.87</v>
      </c>
      <c r="AU14" s="81"/>
      <c r="AV14" s="158"/>
      <c r="AW14" s="158"/>
      <c r="AX14" s="158"/>
      <c r="AY14" s="158"/>
      <c r="AZ14" s="158"/>
      <c r="BA14" s="158"/>
      <c r="BC14" s="180">
        <f t="shared" si="2"/>
        <v>51</v>
      </c>
      <c r="BD14" s="180">
        <f>2022-AA14</f>
        <v>1</v>
      </c>
      <c r="BE14" s="181" t="str">
        <f t="shared" si="3"/>
        <v/>
      </c>
      <c r="BF14" s="88" t="s">
        <v>177</v>
      </c>
    </row>
    <row r="15" spans="1:61" ht="18.75" customHeight="1" x14ac:dyDescent="0.25">
      <c r="A15" s="42" t="s">
        <v>188</v>
      </c>
      <c r="B15" s="31" t="s">
        <v>124</v>
      </c>
      <c r="C15" s="33">
        <v>1971</v>
      </c>
      <c r="D15" s="33">
        <v>117</v>
      </c>
      <c r="E15" s="33">
        <v>33</v>
      </c>
      <c r="F15" s="32">
        <v>28000</v>
      </c>
      <c r="G15" s="32"/>
      <c r="H15" s="37" t="s">
        <v>146</v>
      </c>
      <c r="I15" s="148"/>
      <c r="J15" s="148">
        <f>5091*0.8</f>
        <v>4072.8</v>
      </c>
      <c r="K15" s="152">
        <v>6.0000000000000001E-3</v>
      </c>
      <c r="L15" s="148"/>
      <c r="M15" s="152"/>
      <c r="N15" s="148">
        <f t="shared" si="0"/>
        <v>4072.8</v>
      </c>
      <c r="O15" s="149">
        <f t="shared" si="7"/>
        <v>61.092000000000006</v>
      </c>
      <c r="P15" s="148">
        <f>AN15*0.8</f>
        <v>5422.4000000000005</v>
      </c>
      <c r="Q15" s="152">
        <f t="shared" si="10"/>
        <v>1.6E-2</v>
      </c>
      <c r="R15" s="149">
        <f t="shared" si="20"/>
        <v>216.89600000000002</v>
      </c>
      <c r="S15" s="148"/>
      <c r="T15" s="148"/>
      <c r="U15" s="148"/>
      <c r="V15" s="149">
        <f>AT15*0.8</f>
        <v>13.804</v>
      </c>
      <c r="W15" s="149">
        <f t="shared" si="21"/>
        <v>14.459733333333334</v>
      </c>
      <c r="X15" s="148">
        <f t="shared" si="11"/>
        <v>14917.600000000002</v>
      </c>
      <c r="Y15" s="149">
        <f t="shared" si="12"/>
        <v>277.988</v>
      </c>
      <c r="Z15" s="152">
        <f t="shared" si="4"/>
        <v>1.6E-2</v>
      </c>
      <c r="AA15" s="79">
        <v>2003</v>
      </c>
      <c r="AB15" s="73">
        <f>IF(AU15=0, IF(AND((C15+AA15)&gt;0,MAX(C15,AA15)&gt;(2022-Hypotheses!$D$3)), MAX(C15,AA15)+Hypotheses!$D$3, 2027), "")</f>
        <v>2043</v>
      </c>
      <c r="AC15" s="62" t="s">
        <v>170</v>
      </c>
      <c r="AD15" s="153">
        <f t="shared" si="13"/>
        <v>14917.600000000002</v>
      </c>
      <c r="AE15" s="153">
        <f t="shared" si="14"/>
        <v>277.988</v>
      </c>
      <c r="AF15" s="153">
        <f t="shared" si="15"/>
        <v>61.092000000000006</v>
      </c>
      <c r="AG15" s="153">
        <f t="shared" si="16"/>
        <v>216.89600000000002</v>
      </c>
      <c r="AH15" s="153">
        <f t="shared" si="17"/>
        <v>13.804</v>
      </c>
      <c r="AI15" s="153">
        <f t="shared" si="18"/>
        <v>14.459733333333334</v>
      </c>
      <c r="AJ15" s="61" t="s">
        <v>146</v>
      </c>
      <c r="AK15" s="150">
        <f>810+2140+1250+891</f>
        <v>5091</v>
      </c>
      <c r="AL15" s="156">
        <v>8.0000000000000002E-3</v>
      </c>
      <c r="AM15" s="150">
        <f t="shared" ref="AM15:AM48" si="25">AK15*AL15*2.5</f>
        <v>101.82000000000001</v>
      </c>
      <c r="AN15" s="150">
        <f>1080+2850+1660+1188</f>
        <v>6778</v>
      </c>
      <c r="AO15" s="156">
        <f>Q15</f>
        <v>1.6E-2</v>
      </c>
      <c r="AP15" s="150">
        <f t="shared" si="23"/>
        <v>271.12</v>
      </c>
      <c r="AQ15" s="150">
        <f t="shared" si="8"/>
        <v>11869</v>
      </c>
      <c r="AR15" s="150">
        <f t="shared" si="24"/>
        <v>372.94</v>
      </c>
      <c r="AS15" s="150">
        <f>(3225+8515+1965+3550)/1000+AK15*4/1000</f>
        <v>37.619</v>
      </c>
      <c r="AT15" s="150">
        <f>(3225+8515+1965+3550)/1000</f>
        <v>17.254999999999999</v>
      </c>
      <c r="AU15" s="81"/>
      <c r="AV15" s="158"/>
      <c r="AW15" s="158"/>
      <c r="AX15" s="158"/>
      <c r="AY15" s="158"/>
      <c r="AZ15" s="158"/>
      <c r="BA15" s="158"/>
      <c r="BC15" s="180">
        <f t="shared" si="2"/>
        <v>32</v>
      </c>
      <c r="BD15" s="180">
        <f>2022-AA15</f>
        <v>19</v>
      </c>
      <c r="BE15" s="181" t="str">
        <f t="shared" si="3"/>
        <v/>
      </c>
    </row>
    <row r="16" spans="1:61" ht="18.75" customHeight="1" x14ac:dyDescent="0.25">
      <c r="A16" s="42" t="s">
        <v>189</v>
      </c>
      <c r="B16" s="31" t="s">
        <v>124</v>
      </c>
      <c r="C16" s="33">
        <v>1972</v>
      </c>
      <c r="D16" s="33">
        <v>107</v>
      </c>
      <c r="E16" s="33">
        <v>32</v>
      </c>
      <c r="F16" s="32">
        <v>45000</v>
      </c>
      <c r="G16" s="32"/>
      <c r="H16" s="37" t="s">
        <v>146</v>
      </c>
      <c r="I16" s="148"/>
      <c r="J16" s="148">
        <v>2420</v>
      </c>
      <c r="K16" s="152">
        <v>6.0000000000000001E-3</v>
      </c>
      <c r="L16" s="148"/>
      <c r="M16" s="152"/>
      <c r="N16" s="148">
        <f t="shared" si="0"/>
        <v>2420</v>
      </c>
      <c r="O16" s="149">
        <f t="shared" si="7"/>
        <v>36.299999999999997</v>
      </c>
      <c r="P16" s="148">
        <f>8210+756</f>
        <v>8966</v>
      </c>
      <c r="Q16" s="152">
        <f t="shared" si="10"/>
        <v>1.6E-2</v>
      </c>
      <c r="R16" s="149">
        <f t="shared" si="20"/>
        <v>358.64</v>
      </c>
      <c r="S16" s="148"/>
      <c r="T16" s="148"/>
      <c r="U16" s="148"/>
      <c r="V16" s="149">
        <f>(20530+1765)/1000</f>
        <v>22.295000000000002</v>
      </c>
      <c r="W16" s="149">
        <f t="shared" si="21"/>
        <v>23.909333333333333</v>
      </c>
      <c r="X16" s="148">
        <f t="shared" si="11"/>
        <v>20352</v>
      </c>
      <c r="Y16" s="149">
        <f t="shared" si="12"/>
        <v>394.94</v>
      </c>
      <c r="Z16" s="152">
        <f t="shared" si="4"/>
        <v>1.6E-2</v>
      </c>
      <c r="AA16" s="79">
        <v>1999</v>
      </c>
      <c r="AB16" s="73">
        <f>IF(AU16=0, IF(AND((C16+AA16)&gt;0,MAX(C16,AA16)&gt;(2022-Hypotheses!$D$3)), MAX(C16,AA16)+Hypotheses!$D$3, 2027), "")</f>
        <v>2039</v>
      </c>
      <c r="AC16" s="62" t="s">
        <v>170</v>
      </c>
      <c r="AD16" s="153">
        <f t="shared" si="13"/>
        <v>20352</v>
      </c>
      <c r="AE16" s="153">
        <f t="shared" si="14"/>
        <v>394.94</v>
      </c>
      <c r="AF16" s="153">
        <f t="shared" si="15"/>
        <v>36.299999999999997</v>
      </c>
      <c r="AG16" s="153">
        <f t="shared" si="16"/>
        <v>358.64</v>
      </c>
      <c r="AH16" s="153">
        <f t="shared" si="17"/>
        <v>22.295000000000002</v>
      </c>
      <c r="AI16" s="153">
        <f t="shared" si="18"/>
        <v>23.909333333333333</v>
      </c>
      <c r="AJ16" s="61" t="s">
        <v>146</v>
      </c>
      <c r="AK16" s="150"/>
      <c r="AL16" s="156"/>
      <c r="AM16" s="150"/>
      <c r="AN16" s="150">
        <f>P16</f>
        <v>8966</v>
      </c>
      <c r="AO16" s="156">
        <f>Q16</f>
        <v>1.6E-2</v>
      </c>
      <c r="AP16" s="150">
        <f t="shared" si="23"/>
        <v>358.64</v>
      </c>
      <c r="AQ16" s="150">
        <f t="shared" si="8"/>
        <v>8966</v>
      </c>
      <c r="AR16" s="150">
        <f t="shared" si="24"/>
        <v>358.64</v>
      </c>
      <c r="AS16" s="150">
        <f>V16</f>
        <v>22.295000000000002</v>
      </c>
      <c r="AT16" s="150">
        <f>V16</f>
        <v>22.295000000000002</v>
      </c>
      <c r="AU16" s="81"/>
      <c r="AV16" s="158"/>
      <c r="AW16" s="158"/>
      <c r="AX16" s="158"/>
      <c r="AY16" s="158"/>
      <c r="AZ16" s="158"/>
      <c r="BA16" s="158"/>
      <c r="BC16" s="180">
        <f t="shared" si="2"/>
        <v>27</v>
      </c>
      <c r="BD16" s="180">
        <f>2022-AA16</f>
        <v>23</v>
      </c>
      <c r="BE16" s="181" t="str">
        <f t="shared" si="3"/>
        <v/>
      </c>
    </row>
    <row r="17" spans="1:58" ht="18.75" customHeight="1" x14ac:dyDescent="0.25">
      <c r="A17" s="42" t="s">
        <v>190</v>
      </c>
      <c r="B17" s="31" t="s">
        <v>124</v>
      </c>
      <c r="C17" s="33">
        <v>1972</v>
      </c>
      <c r="D17" s="33">
        <v>112</v>
      </c>
      <c r="E17" s="33">
        <v>33</v>
      </c>
      <c r="F17" s="32">
        <v>72000</v>
      </c>
      <c r="G17" s="32"/>
      <c r="H17" s="37" t="s">
        <v>146</v>
      </c>
      <c r="I17" s="148"/>
      <c r="J17" s="148">
        <v>6181</v>
      </c>
      <c r="K17" s="152">
        <v>6.0000000000000001E-3</v>
      </c>
      <c r="L17" s="148"/>
      <c r="M17" s="152"/>
      <c r="N17" s="148">
        <f t="shared" si="0"/>
        <v>6181</v>
      </c>
      <c r="O17" s="149">
        <f t="shared" si="7"/>
        <v>92.715000000000003</v>
      </c>
      <c r="P17" s="148">
        <f>15318+1460</f>
        <v>16778</v>
      </c>
      <c r="Q17" s="152">
        <f t="shared" si="10"/>
        <v>1.6E-2</v>
      </c>
      <c r="R17" s="149">
        <f t="shared" si="20"/>
        <v>671.11999999999989</v>
      </c>
      <c r="S17" s="148"/>
      <c r="T17" s="148"/>
      <c r="U17" s="148"/>
      <c r="V17" s="149">
        <f>(32250+3072)/1000</f>
        <v>35.322000000000003</v>
      </c>
      <c r="W17" s="149">
        <f t="shared" si="21"/>
        <v>44.74133333333333</v>
      </c>
      <c r="X17" s="148">
        <f t="shared" si="11"/>
        <v>39737</v>
      </c>
      <c r="Y17" s="149">
        <f t="shared" si="12"/>
        <v>763.83499999999992</v>
      </c>
      <c r="Z17" s="152">
        <f t="shared" si="4"/>
        <v>1.6E-2</v>
      </c>
      <c r="AA17" s="79"/>
      <c r="AB17" s="73">
        <f>IF(AU17=0, IF(AND((C17+AA17)&gt;0,MAX(C17,AA17)&gt;(2022-Hypotheses!$D$3)), MAX(C17,AA17)+Hypotheses!$D$3, 2027), "")</f>
        <v>2027</v>
      </c>
      <c r="AC17" s="62"/>
      <c r="AD17" s="153">
        <f t="shared" si="13"/>
        <v>39737</v>
      </c>
      <c r="AE17" s="153">
        <f t="shared" si="14"/>
        <v>763.83499999999992</v>
      </c>
      <c r="AF17" s="153">
        <f t="shared" si="15"/>
        <v>92.715000000000003</v>
      </c>
      <c r="AG17" s="153">
        <f t="shared" si="16"/>
        <v>671.11999999999989</v>
      </c>
      <c r="AH17" s="153">
        <f t="shared" si="17"/>
        <v>35.322000000000003</v>
      </c>
      <c r="AI17" s="153">
        <f t="shared" si="18"/>
        <v>44.74133333333333</v>
      </c>
      <c r="AJ17" s="61" t="s">
        <v>146</v>
      </c>
      <c r="AK17" s="150">
        <f>J17</f>
        <v>6181</v>
      </c>
      <c r="AL17" s="156">
        <f>K17</f>
        <v>6.0000000000000001E-3</v>
      </c>
      <c r="AM17" s="150">
        <f t="shared" si="25"/>
        <v>92.715000000000003</v>
      </c>
      <c r="AN17" s="150">
        <f>P17</f>
        <v>16778</v>
      </c>
      <c r="AO17" s="156">
        <f>Q17</f>
        <v>1.6E-2</v>
      </c>
      <c r="AP17" s="150">
        <f>AN17*AO17*2.5</f>
        <v>671.11999999999989</v>
      </c>
      <c r="AQ17" s="150">
        <f t="shared" si="8"/>
        <v>22959</v>
      </c>
      <c r="AR17" s="150">
        <f t="shared" ref="AR17" si="26">AM17+AP17</f>
        <v>763.83499999999992</v>
      </c>
      <c r="AS17" s="150">
        <f>V17+AK17*4/1000</f>
        <v>60.046000000000006</v>
      </c>
      <c r="AT17" s="150">
        <f>V17</f>
        <v>35.322000000000003</v>
      </c>
      <c r="AU17" s="81"/>
      <c r="AV17" s="158"/>
      <c r="AW17" s="158"/>
      <c r="AX17" s="158"/>
      <c r="AY17" s="158"/>
      <c r="AZ17" s="158"/>
      <c r="BA17" s="158"/>
      <c r="BC17" s="180" t="str">
        <f t="shared" si="2"/>
        <v/>
      </c>
      <c r="BD17" s="180">
        <f>IF(AND(AA17=0, 2022-C17&gt;0, AU17=0),2022-C17,"")</f>
        <v>50</v>
      </c>
      <c r="BE17" s="181" t="str">
        <f t="shared" si="3"/>
        <v/>
      </c>
    </row>
    <row r="18" spans="1:58" ht="18.75" customHeight="1" x14ac:dyDescent="0.25">
      <c r="A18" s="42" t="s">
        <v>37</v>
      </c>
      <c r="B18" s="34" t="s">
        <v>125</v>
      </c>
      <c r="C18" s="33">
        <v>1972</v>
      </c>
      <c r="D18" s="33">
        <v>40</v>
      </c>
      <c r="E18" s="33">
        <v>16</v>
      </c>
      <c r="F18" s="32"/>
      <c r="G18" s="32">
        <f>25*15*0.8*16</f>
        <v>4800</v>
      </c>
      <c r="H18" s="37" t="s">
        <v>121</v>
      </c>
      <c r="I18" s="148"/>
      <c r="J18" s="148"/>
      <c r="K18" s="152"/>
      <c r="L18" s="148">
        <f>125+460</f>
        <v>585</v>
      </c>
      <c r="M18" s="152">
        <v>4.0000000000000001E-3</v>
      </c>
      <c r="N18" s="148">
        <f t="shared" si="0"/>
        <v>585</v>
      </c>
      <c r="O18" s="149">
        <f t="shared" ref="O18:O81" si="27">(J18*K18+L18*M18)*2.5</f>
        <v>5.85</v>
      </c>
      <c r="P18" s="148"/>
      <c r="Q18" s="152"/>
      <c r="R18" s="149"/>
      <c r="S18" s="148"/>
      <c r="T18" s="148"/>
      <c r="U18" s="148"/>
      <c r="V18" s="149">
        <f>L18/(1.5*1.5)*(1.5*4)/1000</f>
        <v>1.56</v>
      </c>
      <c r="W18" s="149">
        <v>0</v>
      </c>
      <c r="X18" s="148">
        <f t="shared" si="11"/>
        <v>585</v>
      </c>
      <c r="Y18" s="149">
        <f t="shared" si="12"/>
        <v>5.85</v>
      </c>
      <c r="Z18" s="152"/>
      <c r="AA18" s="79"/>
      <c r="AB18" s="73">
        <f>IF(AU18=0, IF(AND((C18+AA18)&gt;0,MAX(C18,AA18)&gt;(2022-Hypotheses!$D$3)), MAX(C18,AA18)+Hypotheses!$D$3, 2027), "")</f>
        <v>2027</v>
      </c>
      <c r="AC18" s="62"/>
      <c r="AD18" s="153">
        <f t="shared" si="13"/>
        <v>585</v>
      </c>
      <c r="AE18" s="153">
        <f t="shared" si="14"/>
        <v>5.85</v>
      </c>
      <c r="AF18" s="153">
        <f t="shared" si="15"/>
        <v>5.85</v>
      </c>
      <c r="AG18" s="153">
        <f t="shared" si="16"/>
        <v>0</v>
      </c>
      <c r="AH18" s="153">
        <f t="shared" si="17"/>
        <v>1.56</v>
      </c>
      <c r="AI18" s="153">
        <f t="shared" si="18"/>
        <v>0</v>
      </c>
      <c r="AJ18" s="79" t="s">
        <v>146</v>
      </c>
      <c r="AK18" s="150"/>
      <c r="AL18" s="156"/>
      <c r="AM18" s="150"/>
      <c r="AN18" s="150">
        <f>L18</f>
        <v>585</v>
      </c>
      <c r="AO18" s="156">
        <v>0.01</v>
      </c>
      <c r="AP18" s="150">
        <f>AN18*AO18*2.5</f>
        <v>14.625000000000002</v>
      </c>
      <c r="AQ18" s="150">
        <f t="shared" si="8"/>
        <v>585</v>
      </c>
      <c r="AR18" s="150">
        <f t="shared" ref="AR18:AR20" si="28">AM18+AP18</f>
        <v>14.625000000000002</v>
      </c>
      <c r="AS18" s="150">
        <f>V18</f>
        <v>1.56</v>
      </c>
      <c r="AT18" s="150">
        <v>1.825</v>
      </c>
      <c r="AU18" s="81"/>
      <c r="AV18" s="158"/>
      <c r="AW18" s="158"/>
      <c r="AX18" s="158"/>
      <c r="AY18" s="158"/>
      <c r="AZ18" s="158"/>
      <c r="BA18" s="158"/>
      <c r="BC18" s="180" t="str">
        <f t="shared" si="2"/>
        <v/>
      </c>
      <c r="BD18" s="180">
        <f>IF(AND(AA18=0, 2022-C18&gt;0, AU18=0),2022-C18,"")</f>
        <v>50</v>
      </c>
      <c r="BE18" s="181" t="str">
        <f t="shared" si="3"/>
        <v/>
      </c>
    </row>
    <row r="19" spans="1:58" ht="18.75" customHeight="1" x14ac:dyDescent="0.25">
      <c r="A19" s="42" t="s">
        <v>191</v>
      </c>
      <c r="B19" s="34" t="s">
        <v>125</v>
      </c>
      <c r="C19" s="33">
        <v>1973</v>
      </c>
      <c r="D19" s="33">
        <v>126</v>
      </c>
      <c r="E19" s="33">
        <v>40</v>
      </c>
      <c r="F19" s="32"/>
      <c r="G19" s="32">
        <f>570*40*0.9</f>
        <v>20520</v>
      </c>
      <c r="H19" s="37" t="s">
        <v>146</v>
      </c>
      <c r="I19" s="148"/>
      <c r="J19" s="148"/>
      <c r="K19" s="152"/>
      <c r="L19" s="148"/>
      <c r="M19" s="152"/>
      <c r="N19" s="148"/>
      <c r="O19" s="149"/>
      <c r="P19" s="148">
        <f>4740+40*3*2</f>
        <v>4980</v>
      </c>
      <c r="Q19" s="152">
        <v>0.01</v>
      </c>
      <c r="R19" s="149">
        <f t="shared" ref="R19:R81" si="29">P19*Q19*2.5</f>
        <v>124.50000000000001</v>
      </c>
      <c r="S19" s="148"/>
      <c r="T19" s="148"/>
      <c r="U19" s="148"/>
      <c r="V19" s="149">
        <f>P19/(1.5*1.5)*(1.5*4)/1000</f>
        <v>13.28</v>
      </c>
      <c r="W19" s="149">
        <f>P19/(1.5*1.5)*(1.5*4)/1000</f>
        <v>13.28</v>
      </c>
      <c r="X19" s="148">
        <f t="shared" si="11"/>
        <v>9960</v>
      </c>
      <c r="Y19" s="149">
        <f t="shared" si="12"/>
        <v>124.50000000000001</v>
      </c>
      <c r="Z19" s="152"/>
      <c r="AA19" s="79">
        <v>2000</v>
      </c>
      <c r="AB19" s="73">
        <f>IF(AU19=0, IF(AND((C19+AA19)&gt;0,MAX(C19,AA19)&gt;(2022-Hypotheses!$D$3)), MAX(C19,AA19)+Hypotheses!$D$3, 2027), "")</f>
        <v>2040</v>
      </c>
      <c r="AC19" s="62"/>
      <c r="AD19" s="153">
        <f t="shared" si="13"/>
        <v>9960</v>
      </c>
      <c r="AE19" s="153">
        <f t="shared" si="14"/>
        <v>124.50000000000001</v>
      </c>
      <c r="AF19" s="153">
        <f t="shared" si="15"/>
        <v>0</v>
      </c>
      <c r="AG19" s="153">
        <f t="shared" si="16"/>
        <v>124.50000000000001</v>
      </c>
      <c r="AH19" s="153">
        <f t="shared" si="17"/>
        <v>13.28</v>
      </c>
      <c r="AI19" s="153">
        <f t="shared" si="18"/>
        <v>13.28</v>
      </c>
      <c r="AJ19" s="79" t="s">
        <v>146</v>
      </c>
      <c r="AK19" s="150"/>
      <c r="AL19" s="156"/>
      <c r="AM19" s="150"/>
      <c r="AN19" s="150">
        <f>P19</f>
        <v>4980</v>
      </c>
      <c r="AO19" s="156">
        <v>0.01</v>
      </c>
      <c r="AP19" s="150">
        <f>AN19*AO19*2.5</f>
        <v>124.50000000000001</v>
      </c>
      <c r="AQ19" s="150">
        <f t="shared" si="8"/>
        <v>4980</v>
      </c>
      <c r="AR19" s="150">
        <f t="shared" si="28"/>
        <v>124.50000000000001</v>
      </c>
      <c r="AS19" s="150">
        <f>V19</f>
        <v>13.28</v>
      </c>
      <c r="AT19" s="150">
        <f>10214/1000</f>
        <v>10.214</v>
      </c>
      <c r="AU19" s="81"/>
      <c r="AV19" s="158"/>
      <c r="AW19" s="158"/>
      <c r="AX19" s="158"/>
      <c r="AY19" s="158"/>
      <c r="AZ19" s="158"/>
      <c r="BA19" s="158"/>
      <c r="BC19" s="180">
        <f t="shared" si="2"/>
        <v>27</v>
      </c>
      <c r="BD19" s="180">
        <f>2022-AA19</f>
        <v>22</v>
      </c>
      <c r="BE19" s="181" t="str">
        <f t="shared" si="3"/>
        <v/>
      </c>
    </row>
    <row r="20" spans="1:58" ht="18.75" customHeight="1" x14ac:dyDescent="0.25">
      <c r="A20" s="42" t="s">
        <v>32</v>
      </c>
      <c r="B20" s="34" t="s">
        <v>125</v>
      </c>
      <c r="C20" s="33">
        <v>1973</v>
      </c>
      <c r="D20" s="33">
        <v>45</v>
      </c>
      <c r="E20" s="33">
        <v>14</v>
      </c>
      <c r="F20" s="32"/>
      <c r="G20" s="32">
        <v>25000</v>
      </c>
      <c r="H20" s="37" t="s">
        <v>121</v>
      </c>
      <c r="I20" s="148"/>
      <c r="J20" s="148"/>
      <c r="K20" s="152"/>
      <c r="L20" s="148">
        <f>2040+2290</f>
        <v>4330</v>
      </c>
      <c r="M20" s="152">
        <v>4.0000000000000001E-3</v>
      </c>
      <c r="N20" s="148">
        <f t="shared" si="0"/>
        <v>4330</v>
      </c>
      <c r="O20" s="149">
        <f t="shared" si="27"/>
        <v>43.3</v>
      </c>
      <c r="P20" s="148"/>
      <c r="Q20" s="152"/>
      <c r="R20" s="149"/>
      <c r="S20" s="148"/>
      <c r="T20" s="148"/>
      <c r="U20" s="148"/>
      <c r="V20" s="149">
        <f>L20/(1.5*1.5)*(1.5*4)/1000</f>
        <v>11.546666666666667</v>
      </c>
      <c r="W20" s="149">
        <v>0</v>
      </c>
      <c r="X20" s="148">
        <f t="shared" si="11"/>
        <v>4330</v>
      </c>
      <c r="Y20" s="149">
        <f t="shared" si="12"/>
        <v>43.3</v>
      </c>
      <c r="Z20" s="152"/>
      <c r="AA20" s="79"/>
      <c r="AB20" s="73">
        <f>IF(AU20=0, IF(AND((C20+AA20)&gt;0,MAX(C20,AA20)&gt;(2022-Hypotheses!$D$3)), MAX(C20,AA20)+Hypotheses!$D$3, 2027), "")</f>
        <v>2027</v>
      </c>
      <c r="AC20" s="62"/>
      <c r="AD20" s="153">
        <f t="shared" si="13"/>
        <v>4330</v>
      </c>
      <c r="AE20" s="153">
        <f t="shared" si="14"/>
        <v>43.3</v>
      </c>
      <c r="AF20" s="153">
        <f t="shared" si="15"/>
        <v>43.3</v>
      </c>
      <c r="AG20" s="153">
        <f t="shared" si="16"/>
        <v>0</v>
      </c>
      <c r="AH20" s="153">
        <f t="shared" si="17"/>
        <v>11.546666666666667</v>
      </c>
      <c r="AI20" s="153">
        <f t="shared" si="18"/>
        <v>0</v>
      </c>
      <c r="AJ20" s="79" t="s">
        <v>146</v>
      </c>
      <c r="AK20" s="150"/>
      <c r="AL20" s="156"/>
      <c r="AM20" s="150"/>
      <c r="AN20" s="150">
        <f>N20</f>
        <v>4330</v>
      </c>
      <c r="AO20" s="156">
        <v>1.7999999999999999E-2</v>
      </c>
      <c r="AP20" s="150">
        <f>AN20*AO20*2.5</f>
        <v>194.85</v>
      </c>
      <c r="AQ20" s="150">
        <f t="shared" si="8"/>
        <v>4330</v>
      </c>
      <c r="AR20" s="150">
        <f t="shared" si="28"/>
        <v>194.85</v>
      </c>
      <c r="AS20" s="150">
        <f>V20</f>
        <v>11.546666666666667</v>
      </c>
      <c r="AT20" s="150">
        <f>AN20/(1.5*1.5)*(1.5*4)/1000</f>
        <v>11.546666666666667</v>
      </c>
      <c r="AU20" s="81"/>
      <c r="AV20" s="158"/>
      <c r="AW20" s="158"/>
      <c r="AX20" s="158"/>
      <c r="AY20" s="158"/>
      <c r="AZ20" s="158"/>
      <c r="BA20" s="158"/>
      <c r="BC20" s="180" t="str">
        <f t="shared" si="2"/>
        <v/>
      </c>
      <c r="BD20" s="180">
        <f>IF(AND(AA20=0, 2022-C20&gt;0, AU20=0),2022-C20,"")</f>
        <v>49</v>
      </c>
      <c r="BE20" s="181" t="str">
        <f t="shared" si="3"/>
        <v/>
      </c>
    </row>
    <row r="21" spans="1:58" ht="18.75" customHeight="1" x14ac:dyDescent="0.25">
      <c r="A21" s="42" t="s">
        <v>192</v>
      </c>
      <c r="B21" s="31" t="s">
        <v>124</v>
      </c>
      <c r="C21" s="33">
        <v>1973</v>
      </c>
      <c r="D21" s="33">
        <v>77</v>
      </c>
      <c r="E21" s="33">
        <v>22</v>
      </c>
      <c r="F21" s="32">
        <v>18900</v>
      </c>
      <c r="G21" s="32"/>
      <c r="H21" s="37" t="s">
        <v>146</v>
      </c>
      <c r="I21" s="148"/>
      <c r="J21" s="148"/>
      <c r="K21" s="152"/>
      <c r="L21" s="148"/>
      <c r="M21" s="152"/>
      <c r="N21" s="148"/>
      <c r="O21" s="149"/>
      <c r="P21" s="148">
        <v>3515</v>
      </c>
      <c r="Q21" s="152">
        <f t="shared" ref="Q21:Q22" si="30">0.008*2</f>
        <v>1.6E-2</v>
      </c>
      <c r="R21" s="149">
        <f t="shared" si="29"/>
        <v>140.6</v>
      </c>
      <c r="S21" s="148"/>
      <c r="T21" s="148"/>
      <c r="U21" s="148"/>
      <c r="V21" s="149">
        <f>P21/(1.5*1.5)*(1.5*4)/1000</f>
        <v>9.3733333333333313</v>
      </c>
      <c r="W21" s="149">
        <f>P21/(1.5*1.5)*(1.5*4)/1000</f>
        <v>9.3733333333333313</v>
      </c>
      <c r="X21" s="148">
        <f t="shared" si="11"/>
        <v>7030</v>
      </c>
      <c r="Y21" s="149">
        <f t="shared" si="12"/>
        <v>140.6</v>
      </c>
      <c r="Z21" s="152">
        <f t="shared" si="4"/>
        <v>1.6E-2</v>
      </c>
      <c r="AA21" s="79">
        <v>2007</v>
      </c>
      <c r="AB21" s="73">
        <f>IF(AU21=0, IF(AND((C21+AA21)&gt;0,MAX(C21,AA21)&gt;(2022-Hypotheses!$D$3)), MAX(C21,AA21)+Hypotheses!$D$3, 2027), "")</f>
        <v>2047</v>
      </c>
      <c r="AC21" s="62"/>
      <c r="AD21" s="153">
        <f t="shared" si="13"/>
        <v>7030</v>
      </c>
      <c r="AE21" s="153">
        <f t="shared" si="14"/>
        <v>140.6</v>
      </c>
      <c r="AF21" s="153">
        <f t="shared" si="15"/>
        <v>0</v>
      </c>
      <c r="AG21" s="153">
        <f t="shared" si="16"/>
        <v>140.6</v>
      </c>
      <c r="AH21" s="153">
        <f t="shared" si="17"/>
        <v>9.3733333333333313</v>
      </c>
      <c r="AI21" s="153">
        <f t="shared" si="18"/>
        <v>9.3733333333333313</v>
      </c>
      <c r="AJ21" s="61" t="s">
        <v>168</v>
      </c>
      <c r="AK21" s="150">
        <v>3969</v>
      </c>
      <c r="AL21" s="156">
        <v>8.0000000000000002E-3</v>
      </c>
      <c r="AM21" s="150">
        <f t="shared" si="25"/>
        <v>79.38</v>
      </c>
      <c r="AN21" s="150">
        <v>3515</v>
      </c>
      <c r="AO21" s="156">
        <v>1.4E-2</v>
      </c>
      <c r="AP21" s="150">
        <f t="shared" ref="AP21:AP22" si="31">AN21*AO21*2.5</f>
        <v>123.02500000000001</v>
      </c>
      <c r="AQ21" s="150">
        <f t="shared" si="8"/>
        <v>7484</v>
      </c>
      <c r="AR21" s="150">
        <f t="shared" ref="AR21:AR22" si="32">AM21+AP21</f>
        <v>202.405</v>
      </c>
      <c r="AS21" s="150">
        <f>AT21*2</f>
        <v>17.34</v>
      </c>
      <c r="AT21" s="150">
        <f>8670/1000</f>
        <v>8.67</v>
      </c>
      <c r="AU21" s="81"/>
      <c r="AV21" s="158"/>
      <c r="AW21" s="158"/>
      <c r="AX21" s="158"/>
      <c r="AY21" s="158"/>
      <c r="AZ21" s="158"/>
      <c r="BA21" s="158"/>
      <c r="BC21" s="180">
        <f t="shared" si="2"/>
        <v>34</v>
      </c>
      <c r="BD21" s="180">
        <f>2022-AA21</f>
        <v>15</v>
      </c>
      <c r="BE21" s="181" t="str">
        <f t="shared" si="3"/>
        <v/>
      </c>
    </row>
    <row r="22" spans="1:58" ht="18.75" customHeight="1" x14ac:dyDescent="0.25">
      <c r="A22" s="42" t="s">
        <v>193</v>
      </c>
      <c r="B22" s="31" t="s">
        <v>124</v>
      </c>
      <c r="C22" s="33">
        <v>1973</v>
      </c>
      <c r="D22" s="33">
        <v>95</v>
      </c>
      <c r="E22" s="33">
        <v>26</v>
      </c>
      <c r="F22" s="32">
        <f>34000*0.9</f>
        <v>30600</v>
      </c>
      <c r="G22" s="32"/>
      <c r="H22" s="37" t="s">
        <v>146</v>
      </c>
      <c r="I22" s="148"/>
      <c r="J22" s="148">
        <f>12900*1/3*0.3</f>
        <v>1290</v>
      </c>
      <c r="K22" s="152">
        <v>6.0000000000000001E-3</v>
      </c>
      <c r="L22" s="148"/>
      <c r="M22" s="152"/>
      <c r="N22" s="148">
        <f t="shared" si="0"/>
        <v>1290</v>
      </c>
      <c r="O22" s="149">
        <f t="shared" si="27"/>
        <v>19.350000000000001</v>
      </c>
      <c r="P22" s="148">
        <f>12900*2/3*0.7</f>
        <v>6020</v>
      </c>
      <c r="Q22" s="152">
        <f t="shared" si="30"/>
        <v>1.6E-2</v>
      </c>
      <c r="R22" s="149">
        <f t="shared" si="29"/>
        <v>240.8</v>
      </c>
      <c r="S22" s="148"/>
      <c r="T22" s="148"/>
      <c r="U22" s="148"/>
      <c r="V22" s="149">
        <f>L22/(1*1)*(1*4)/1000+P22/(1.5*1.5)*(1.5*4)/1000</f>
        <v>16.053333333333335</v>
      </c>
      <c r="W22" s="149">
        <f>P22/(1.5*1.5)*(1.5*4)/1000</f>
        <v>16.053333333333335</v>
      </c>
      <c r="X22" s="148">
        <f t="shared" si="11"/>
        <v>13330</v>
      </c>
      <c r="Y22" s="149">
        <f t="shared" si="12"/>
        <v>260.15000000000003</v>
      </c>
      <c r="Z22" s="152">
        <f t="shared" si="4"/>
        <v>1.6E-2</v>
      </c>
      <c r="AA22" s="79">
        <v>2004</v>
      </c>
      <c r="AB22" s="73">
        <f>IF(AU22=0, IF(AND((C22+AA22)&gt;0,MAX(C22,AA22)&gt;(2022-Hypotheses!$D$3)), MAX(C22,AA22)+Hypotheses!$D$3, 2027), "")</f>
        <v>2044</v>
      </c>
      <c r="AC22" s="62" t="s">
        <v>170</v>
      </c>
      <c r="AD22" s="153">
        <f t="shared" si="13"/>
        <v>13330</v>
      </c>
      <c r="AE22" s="153">
        <f t="shared" si="14"/>
        <v>260.15000000000003</v>
      </c>
      <c r="AF22" s="153">
        <f t="shared" si="15"/>
        <v>19.350000000000001</v>
      </c>
      <c r="AG22" s="153">
        <f t="shared" si="16"/>
        <v>240.8</v>
      </c>
      <c r="AH22" s="153">
        <f t="shared" si="17"/>
        <v>16.053333333333335</v>
      </c>
      <c r="AI22" s="153">
        <f t="shared" si="18"/>
        <v>16.053333333333335</v>
      </c>
      <c r="AJ22" s="61" t="s">
        <v>168</v>
      </c>
      <c r="AK22" s="150">
        <f>(7760+2700)*0.9</f>
        <v>9414</v>
      </c>
      <c r="AL22" s="156">
        <v>8.0000000000000002E-3</v>
      </c>
      <c r="AM22" s="150">
        <f t="shared" si="25"/>
        <v>188.28</v>
      </c>
      <c r="AN22" s="150">
        <f>(7760+2700)*0.9</f>
        <v>9414</v>
      </c>
      <c r="AO22" s="156">
        <v>1.4E-2</v>
      </c>
      <c r="AP22" s="150">
        <f t="shared" si="31"/>
        <v>329.49</v>
      </c>
      <c r="AQ22" s="150">
        <f t="shared" si="8"/>
        <v>18828</v>
      </c>
      <c r="AR22" s="150">
        <f t="shared" si="32"/>
        <v>517.77</v>
      </c>
      <c r="AS22" s="150">
        <f>AT22*2</f>
        <v>41.514666666666663</v>
      </c>
      <c r="AT22" s="150">
        <f>(8900*0.7+5000*0.7)/(2.5*1.5)*(2.5+1.5)*2/1000</f>
        <v>20.757333333333332</v>
      </c>
      <c r="AU22" s="81"/>
      <c r="AV22" s="158"/>
      <c r="AW22" s="158"/>
      <c r="AX22" s="158"/>
      <c r="AY22" s="158"/>
      <c r="AZ22" s="158"/>
      <c r="BA22" s="158"/>
      <c r="BC22" s="180">
        <f t="shared" si="2"/>
        <v>31</v>
      </c>
      <c r="BD22" s="180">
        <f>2022-AA22</f>
        <v>18</v>
      </c>
      <c r="BE22" s="181" t="str">
        <f t="shared" si="3"/>
        <v/>
      </c>
      <c r="BF22" s="88" t="s">
        <v>82</v>
      </c>
    </row>
    <row r="23" spans="1:58" ht="18.75" customHeight="1" x14ac:dyDescent="0.25">
      <c r="A23" s="42" t="s">
        <v>194</v>
      </c>
      <c r="B23" s="31" t="s">
        <v>124</v>
      </c>
      <c r="C23" s="33">
        <v>1974</v>
      </c>
      <c r="D23" s="33">
        <v>178</v>
      </c>
      <c r="E23" s="33">
        <v>47</v>
      </c>
      <c r="F23" s="32">
        <v>100000</v>
      </c>
      <c r="G23" s="32"/>
      <c r="H23" s="37" t="s">
        <v>146</v>
      </c>
      <c r="I23" s="148"/>
      <c r="J23" s="148"/>
      <c r="K23" s="152"/>
      <c r="L23" s="148"/>
      <c r="M23" s="152"/>
      <c r="N23" s="148"/>
      <c r="O23" s="149"/>
      <c r="P23" s="148">
        <v>6500</v>
      </c>
      <c r="Q23" s="152">
        <v>1.7999999999999999E-2</v>
      </c>
      <c r="R23" s="149">
        <f t="shared" si="29"/>
        <v>292.49999999999994</v>
      </c>
      <c r="S23" s="148"/>
      <c r="T23" s="148"/>
      <c r="U23" s="148"/>
      <c r="V23" s="149">
        <v>23.3</v>
      </c>
      <c r="W23" s="149">
        <f>P23/(1.5*1.5)*(1.5*4)/1000</f>
        <v>17.333333333333332</v>
      </c>
      <c r="X23" s="148">
        <f t="shared" si="11"/>
        <v>13000</v>
      </c>
      <c r="Y23" s="149">
        <f t="shared" si="12"/>
        <v>292.49999999999994</v>
      </c>
      <c r="Z23" s="152">
        <f t="shared" si="4"/>
        <v>1.7999999999999999E-2</v>
      </c>
      <c r="AA23" s="79"/>
      <c r="AB23" s="73">
        <f>IF(AU23=0, IF(AND((C23+AA23)&gt;0,MAX(C23,AA23)&gt;(2022-Hypotheses!$D$3)), MAX(C23,AA23)+Hypotheses!$D$3, 2027), "")</f>
        <v>2027</v>
      </c>
      <c r="AC23" s="62"/>
      <c r="AD23" s="153">
        <f t="shared" si="13"/>
        <v>13000</v>
      </c>
      <c r="AE23" s="153">
        <f t="shared" si="14"/>
        <v>292.49999999999994</v>
      </c>
      <c r="AF23" s="153">
        <f t="shared" si="15"/>
        <v>0</v>
      </c>
      <c r="AG23" s="153">
        <f t="shared" si="16"/>
        <v>292.49999999999994</v>
      </c>
      <c r="AH23" s="153">
        <f t="shared" si="17"/>
        <v>23.3</v>
      </c>
      <c r="AI23" s="153">
        <f t="shared" si="18"/>
        <v>17.333333333333332</v>
      </c>
      <c r="AJ23" s="79" t="s">
        <v>146</v>
      </c>
      <c r="AK23" s="150"/>
      <c r="AL23" s="156"/>
      <c r="AM23" s="150"/>
      <c r="AN23" s="150">
        <f>P23</f>
        <v>6500</v>
      </c>
      <c r="AO23" s="156">
        <v>1.7999999999999999E-2</v>
      </c>
      <c r="AP23" s="150">
        <f t="shared" ref="AP23:AP24" si="33">AN23*AO23*2.5</f>
        <v>292.49999999999994</v>
      </c>
      <c r="AQ23" s="150">
        <f t="shared" si="8"/>
        <v>6500</v>
      </c>
      <c r="AR23" s="150">
        <f t="shared" ref="AR23:AR24" si="34">AM23+AP23</f>
        <v>292.49999999999994</v>
      </c>
      <c r="AS23" s="150">
        <f>V23</f>
        <v>23.3</v>
      </c>
      <c r="AT23" s="150">
        <f t="shared" ref="AT23" si="35">AN23/(1.5*1.5)*(1.5*4)/1000</f>
        <v>17.333333333333332</v>
      </c>
      <c r="AU23" s="81"/>
      <c r="AV23" s="158"/>
      <c r="AW23" s="158"/>
      <c r="AX23" s="158"/>
      <c r="AY23" s="158"/>
      <c r="AZ23" s="158"/>
      <c r="BA23" s="158"/>
      <c r="BC23" s="180" t="str">
        <f t="shared" si="2"/>
        <v/>
      </c>
      <c r="BD23" s="180">
        <f>IF(AND(AA23=0, 2022-C23&gt;0, AU23=0),2022-C23,"")</f>
        <v>48</v>
      </c>
      <c r="BE23" s="181" t="str">
        <f t="shared" si="3"/>
        <v/>
      </c>
    </row>
    <row r="24" spans="1:58" ht="18.75" customHeight="1" x14ac:dyDescent="0.25">
      <c r="A24" s="42" t="s">
        <v>195</v>
      </c>
      <c r="B24" s="34" t="s">
        <v>125</v>
      </c>
      <c r="C24" s="33">
        <v>1974</v>
      </c>
      <c r="D24" s="33">
        <v>136</v>
      </c>
      <c r="E24" s="33">
        <v>48</v>
      </c>
      <c r="F24" s="32"/>
      <c r="G24" s="32">
        <f>770*48</f>
        <v>36960</v>
      </c>
      <c r="H24" s="37" t="s">
        <v>121</v>
      </c>
      <c r="I24" s="148"/>
      <c r="J24" s="148"/>
      <c r="K24" s="152"/>
      <c r="L24" s="148">
        <v>5745</v>
      </c>
      <c r="M24" s="152">
        <v>6.0000000000000001E-3</v>
      </c>
      <c r="N24" s="148">
        <f t="shared" si="0"/>
        <v>5745</v>
      </c>
      <c r="O24" s="149">
        <f t="shared" si="27"/>
        <v>86.174999999999997</v>
      </c>
      <c r="P24" s="148"/>
      <c r="Q24" s="152"/>
      <c r="R24" s="149"/>
      <c r="S24" s="148"/>
      <c r="T24" s="148"/>
      <c r="U24" s="148"/>
      <c r="V24" s="149">
        <v>6.5</v>
      </c>
      <c r="W24" s="149">
        <v>0</v>
      </c>
      <c r="X24" s="148">
        <f t="shared" si="11"/>
        <v>5745</v>
      </c>
      <c r="Y24" s="149">
        <f t="shared" si="12"/>
        <v>86.174999999999997</v>
      </c>
      <c r="Z24" s="152"/>
      <c r="AA24" s="79"/>
      <c r="AB24" s="73">
        <f>IF(AU24=0, IF(AND((C24+AA24)&gt;0,MAX(C24,AA24)&gt;(2022-Hypotheses!$D$3)), MAX(C24,AA24)+Hypotheses!$D$3, 2027), "")</f>
        <v>2027</v>
      </c>
      <c r="AC24" s="62"/>
      <c r="AD24" s="153">
        <f t="shared" si="13"/>
        <v>5745</v>
      </c>
      <c r="AE24" s="153">
        <f t="shared" si="14"/>
        <v>86.174999999999997</v>
      </c>
      <c r="AF24" s="153">
        <f t="shared" si="15"/>
        <v>86.174999999999997</v>
      </c>
      <c r="AG24" s="153">
        <f t="shared" si="16"/>
        <v>0</v>
      </c>
      <c r="AH24" s="153">
        <f t="shared" si="17"/>
        <v>6.5</v>
      </c>
      <c r="AI24" s="153">
        <f t="shared" si="18"/>
        <v>0</v>
      </c>
      <c r="AJ24" s="79" t="s">
        <v>146</v>
      </c>
      <c r="AK24" s="150"/>
      <c r="AL24" s="156"/>
      <c r="AM24" s="150"/>
      <c r="AN24" s="150">
        <f>L24</f>
        <v>5745</v>
      </c>
      <c r="AO24" s="156">
        <v>1.7999999999999999E-2</v>
      </c>
      <c r="AP24" s="150">
        <f t="shared" si="33"/>
        <v>258.52499999999998</v>
      </c>
      <c r="AQ24" s="150">
        <f t="shared" si="8"/>
        <v>5745</v>
      </c>
      <c r="AR24" s="150">
        <f t="shared" si="34"/>
        <v>258.52499999999998</v>
      </c>
      <c r="AS24" s="150">
        <f>AT24</f>
        <v>6.5</v>
      </c>
      <c r="AT24" s="150">
        <f>V24</f>
        <v>6.5</v>
      </c>
      <c r="AU24" s="81"/>
      <c r="AV24" s="158"/>
      <c r="AW24" s="158"/>
      <c r="AX24" s="158"/>
      <c r="AY24" s="158"/>
      <c r="AZ24" s="158"/>
      <c r="BA24" s="158"/>
      <c r="BC24" s="180" t="str">
        <f t="shared" si="2"/>
        <v/>
      </c>
      <c r="BD24" s="180">
        <f>IF(AND(AA24=0, 2022-C24&gt;0, AU24=0),2022-C24,"")</f>
        <v>48</v>
      </c>
      <c r="BE24" s="181" t="str">
        <f t="shared" si="3"/>
        <v/>
      </c>
    </row>
    <row r="25" spans="1:58" ht="18.75" customHeight="1" x14ac:dyDescent="0.25">
      <c r="A25" s="42" t="s">
        <v>33</v>
      </c>
      <c r="B25" s="31" t="s">
        <v>124</v>
      </c>
      <c r="C25" s="33">
        <v>1974</v>
      </c>
      <c r="D25" s="33">
        <v>36</v>
      </c>
      <c r="E25" s="33">
        <v>12</v>
      </c>
      <c r="F25" s="32">
        <v>6000</v>
      </c>
      <c r="G25" s="32"/>
      <c r="H25" s="37" t="s">
        <v>146</v>
      </c>
      <c r="I25" s="148"/>
      <c r="J25" s="148"/>
      <c r="K25" s="152"/>
      <c r="L25" s="148"/>
      <c r="M25" s="152"/>
      <c r="N25" s="148"/>
      <c r="O25" s="149"/>
      <c r="P25" s="148">
        <v>475</v>
      </c>
      <c r="Q25" s="152">
        <f t="shared" ref="Q25" si="36">0.008*2</f>
        <v>1.6E-2</v>
      </c>
      <c r="R25" s="149">
        <f t="shared" si="29"/>
        <v>19</v>
      </c>
      <c r="S25" s="148"/>
      <c r="T25" s="148"/>
      <c r="U25" s="148"/>
      <c r="V25" s="149">
        <v>1.5</v>
      </c>
      <c r="W25" s="149">
        <v>1.5</v>
      </c>
      <c r="X25" s="148">
        <f t="shared" si="11"/>
        <v>950</v>
      </c>
      <c r="Y25" s="149">
        <f t="shared" si="12"/>
        <v>19</v>
      </c>
      <c r="Z25" s="152">
        <f t="shared" si="4"/>
        <v>1.6E-2</v>
      </c>
      <c r="AA25" s="79">
        <v>2000</v>
      </c>
      <c r="AB25" s="73">
        <f>IF(AU25=0, IF(AND((C25+AA25)&gt;0,MAX(C25,AA25)&gt;(2022-Hypotheses!$D$3)), MAX(C25,AA25)+Hypotheses!$D$3, 2027), "")</f>
        <v>2040</v>
      </c>
      <c r="AC25" s="62" t="s">
        <v>170</v>
      </c>
      <c r="AD25" s="153">
        <f t="shared" si="13"/>
        <v>950</v>
      </c>
      <c r="AE25" s="153">
        <f t="shared" si="14"/>
        <v>19</v>
      </c>
      <c r="AF25" s="153">
        <f t="shared" si="15"/>
        <v>0</v>
      </c>
      <c r="AG25" s="153">
        <f t="shared" si="16"/>
        <v>19</v>
      </c>
      <c r="AH25" s="153">
        <f t="shared" si="17"/>
        <v>1.5</v>
      </c>
      <c r="AI25" s="153">
        <f t="shared" si="18"/>
        <v>1.5</v>
      </c>
      <c r="AJ25" s="79" t="s">
        <v>168</v>
      </c>
      <c r="AK25" s="150"/>
      <c r="AL25" s="156"/>
      <c r="AM25" s="150"/>
      <c r="AN25" s="150">
        <v>1800</v>
      </c>
      <c r="AO25" s="156">
        <v>2.5999999999999999E-2</v>
      </c>
      <c r="AP25" s="150">
        <f>AN25*AO25*2.5</f>
        <v>117</v>
      </c>
      <c r="AQ25" s="150">
        <f t="shared" si="8"/>
        <v>1800</v>
      </c>
      <c r="AR25" s="150">
        <f>AM25+AP25</f>
        <v>117</v>
      </c>
      <c r="AS25" s="150">
        <f>AT25*2</f>
        <v>3</v>
      </c>
      <c r="AT25" s="150">
        <f>W25</f>
        <v>1.5</v>
      </c>
      <c r="AU25" s="81"/>
      <c r="AV25" s="158"/>
      <c r="AW25" s="158"/>
      <c r="AX25" s="158"/>
      <c r="AY25" s="158"/>
      <c r="AZ25" s="158"/>
      <c r="BA25" s="158"/>
      <c r="BC25" s="180">
        <f t="shared" si="2"/>
        <v>26</v>
      </c>
      <c r="BD25" s="180">
        <f>2022-AA25</f>
        <v>22</v>
      </c>
      <c r="BE25" s="181" t="str">
        <f t="shared" si="3"/>
        <v/>
      </c>
      <c r="BF25" s="88" t="s">
        <v>61</v>
      </c>
    </row>
    <row r="26" spans="1:58" ht="18.75" customHeight="1" x14ac:dyDescent="0.25">
      <c r="A26" s="42" t="s">
        <v>196</v>
      </c>
      <c r="B26" s="34" t="s">
        <v>125</v>
      </c>
      <c r="C26" s="33">
        <v>1974</v>
      </c>
      <c r="D26" s="33">
        <v>109</v>
      </c>
      <c r="E26" s="33">
        <v>31</v>
      </c>
      <c r="F26" s="32">
        <v>7000</v>
      </c>
      <c r="G26" s="32">
        <v>32000</v>
      </c>
      <c r="H26" s="37" t="s">
        <v>146</v>
      </c>
      <c r="I26" s="148"/>
      <c r="J26" s="148">
        <v>625</v>
      </c>
      <c r="K26" s="152">
        <v>6.0000000000000001E-3</v>
      </c>
      <c r="L26" s="148"/>
      <c r="M26" s="152"/>
      <c r="N26" s="148">
        <f t="shared" si="0"/>
        <v>625</v>
      </c>
      <c r="O26" s="149">
        <f t="shared" si="27"/>
        <v>9.375</v>
      </c>
      <c r="P26" s="148">
        <f>5220+783</f>
        <v>6003</v>
      </c>
      <c r="Q26" s="152">
        <v>1.7999999999999999E-2</v>
      </c>
      <c r="R26" s="149">
        <f t="shared" si="29"/>
        <v>270.13499999999999</v>
      </c>
      <c r="S26" s="148"/>
      <c r="T26" s="148"/>
      <c r="U26" s="148"/>
      <c r="V26" s="149">
        <v>14.624000000000001</v>
      </c>
      <c r="W26" s="149">
        <f>P26/(1.5*1.5)*(1.5*4)/1000</f>
        <v>16.007999999999999</v>
      </c>
      <c r="X26" s="148">
        <f t="shared" si="11"/>
        <v>12631</v>
      </c>
      <c r="Y26" s="149">
        <f t="shared" si="12"/>
        <v>279.51</v>
      </c>
      <c r="Z26" s="152"/>
      <c r="AA26" s="79"/>
      <c r="AB26" s="73">
        <f>IF(AU26=0, IF(AND((C26+AA26)&gt;0,MAX(C26,AA26)&gt;(2022-Hypotheses!$D$3)), MAX(C26,AA26)+Hypotheses!$D$3, 2027), "")</f>
        <v>2027</v>
      </c>
      <c r="AC26" s="62"/>
      <c r="AD26" s="153">
        <f t="shared" si="13"/>
        <v>12631</v>
      </c>
      <c r="AE26" s="153">
        <f t="shared" si="14"/>
        <v>279.51</v>
      </c>
      <c r="AF26" s="153">
        <f t="shared" si="15"/>
        <v>9.375</v>
      </c>
      <c r="AG26" s="153">
        <f t="shared" si="16"/>
        <v>270.13499999999999</v>
      </c>
      <c r="AH26" s="153">
        <f t="shared" si="17"/>
        <v>14.624000000000001</v>
      </c>
      <c r="AI26" s="153">
        <f t="shared" si="18"/>
        <v>16.007999999999999</v>
      </c>
      <c r="AJ26" s="79" t="s">
        <v>146</v>
      </c>
      <c r="AK26" s="150">
        <f>J26</f>
        <v>625</v>
      </c>
      <c r="AL26" s="156">
        <v>8.0000000000000002E-3</v>
      </c>
      <c r="AM26" s="150">
        <f t="shared" si="25"/>
        <v>12.5</v>
      </c>
      <c r="AN26" s="150">
        <f>P26</f>
        <v>6003</v>
      </c>
      <c r="AO26" s="156">
        <f>Q26</f>
        <v>1.7999999999999999E-2</v>
      </c>
      <c r="AP26" s="150">
        <f>AN26*AO26*2.5</f>
        <v>270.13499999999999</v>
      </c>
      <c r="AQ26" s="150">
        <f t="shared" si="8"/>
        <v>6628</v>
      </c>
      <c r="AR26" s="150">
        <f>AM26+AP26</f>
        <v>282.63499999999999</v>
      </c>
      <c r="AS26" s="150">
        <f>V26</f>
        <v>14.624000000000001</v>
      </c>
      <c r="AT26" s="150">
        <f>W26</f>
        <v>16.007999999999999</v>
      </c>
      <c r="AU26" s="81"/>
      <c r="AV26" s="158"/>
      <c r="AW26" s="158"/>
      <c r="AX26" s="158"/>
      <c r="AY26" s="158"/>
      <c r="AZ26" s="158"/>
      <c r="BA26" s="158"/>
      <c r="BC26" s="180" t="str">
        <f t="shared" si="2"/>
        <v/>
      </c>
      <c r="BD26" s="180">
        <f>IF(AND(AA26=0, 2022-C26&gt;0, AU26=0),2022-C26,"")</f>
        <v>48</v>
      </c>
      <c r="BE26" s="181" t="str">
        <f t="shared" si="3"/>
        <v/>
      </c>
    </row>
    <row r="27" spans="1:58" ht="18.75" customHeight="1" x14ac:dyDescent="0.25">
      <c r="A27" s="42" t="s">
        <v>197</v>
      </c>
      <c r="B27" s="31" t="s">
        <v>124</v>
      </c>
      <c r="C27" s="33">
        <v>1974</v>
      </c>
      <c r="D27" s="33">
        <v>159</v>
      </c>
      <c r="E27" s="33">
        <v>39</v>
      </c>
      <c r="F27" s="32">
        <v>68000</v>
      </c>
      <c r="G27" s="32"/>
      <c r="H27" s="37" t="s">
        <v>146</v>
      </c>
      <c r="I27" s="148">
        <f>30*(6*39)</f>
        <v>7020</v>
      </c>
      <c r="J27" s="148">
        <f>I27*(1.5*0.9)*0.9</f>
        <v>8529.3000000000011</v>
      </c>
      <c r="K27" s="152">
        <v>6.0000000000000001E-3</v>
      </c>
      <c r="L27" s="148"/>
      <c r="M27" s="152"/>
      <c r="N27" s="148">
        <f t="shared" si="0"/>
        <v>8529.3000000000011</v>
      </c>
      <c r="O27" s="149">
        <f t="shared" si="27"/>
        <v>127.93950000000002</v>
      </c>
      <c r="P27" s="148">
        <f>I27*(2.5*0.9)*0.9</f>
        <v>14215.5</v>
      </c>
      <c r="Q27" s="152">
        <v>1.7999999999999999E-2</v>
      </c>
      <c r="R27" s="149">
        <f t="shared" si="29"/>
        <v>639.69749999999999</v>
      </c>
      <c r="S27" s="148"/>
      <c r="T27" s="148"/>
      <c r="U27" s="148"/>
      <c r="V27" s="149">
        <f>(I27*(1.5*2+0.9*2)+I27*(2.5*2+0.9*2))/1000</f>
        <v>81.432000000000002</v>
      </c>
      <c r="W27" s="149">
        <f>(I27*(2.5*2+0.9*2))/1000</f>
        <v>47.735999999999997</v>
      </c>
      <c r="X27" s="148">
        <f t="shared" si="11"/>
        <v>36960.300000000003</v>
      </c>
      <c r="Y27" s="149">
        <f t="shared" si="12"/>
        <v>767.63700000000006</v>
      </c>
      <c r="Z27" s="152">
        <f t="shared" si="4"/>
        <v>1.7999999999999999E-2</v>
      </c>
      <c r="AA27" s="79"/>
      <c r="AB27" s="73" t="str">
        <f>IF(AU27=0, IF(AND((C27+AA27)&gt;0,MAX(C27,AA27)&gt;(2022-Hypotheses!$D$3)), MAX(C27,AA27)+Hypotheses!$D$3, 2027), "")</f>
        <v/>
      </c>
      <c r="AC27" s="62"/>
      <c r="AD27" s="153"/>
      <c r="AE27" s="153"/>
      <c r="AF27" s="153"/>
      <c r="AG27" s="153"/>
      <c r="AH27" s="153"/>
      <c r="AI27" s="153"/>
      <c r="AJ27" s="61"/>
      <c r="AK27" s="150"/>
      <c r="AL27" s="156"/>
      <c r="AM27" s="150"/>
      <c r="AN27" s="150"/>
      <c r="AO27" s="156"/>
      <c r="AP27" s="150"/>
      <c r="AQ27" s="150"/>
      <c r="AR27" s="150"/>
      <c r="AS27" s="150"/>
      <c r="AT27" s="150"/>
      <c r="AU27" s="74">
        <v>2008</v>
      </c>
      <c r="AV27" s="158">
        <f>O27</f>
        <v>127.93950000000002</v>
      </c>
      <c r="AW27" s="158">
        <f>R27</f>
        <v>639.69749999999999</v>
      </c>
      <c r="AX27" s="158">
        <f>X27</f>
        <v>36960.300000000003</v>
      </c>
      <c r="AY27" s="158">
        <f>Y27</f>
        <v>767.63700000000006</v>
      </c>
      <c r="AZ27" s="158">
        <f>V27</f>
        <v>81.432000000000002</v>
      </c>
      <c r="BA27" s="158">
        <f>W27</f>
        <v>47.735999999999997</v>
      </c>
      <c r="BC27" s="180" t="str">
        <f t="shared" si="2"/>
        <v/>
      </c>
      <c r="BD27" s="180" t="str">
        <f>IF(AND(AA27=0, 2022-C27&gt;0, AU27=0),2022-C27,"")</f>
        <v/>
      </c>
      <c r="BE27" s="181">
        <f t="shared" si="3"/>
        <v>34</v>
      </c>
      <c r="BF27" s="89" t="s">
        <v>98</v>
      </c>
    </row>
    <row r="28" spans="1:58" ht="18.75" customHeight="1" x14ac:dyDescent="0.25">
      <c r="A28" s="42" t="s">
        <v>198</v>
      </c>
      <c r="B28" s="31" t="s">
        <v>124</v>
      </c>
      <c r="C28" s="33">
        <v>1974</v>
      </c>
      <c r="D28" s="33">
        <v>180</v>
      </c>
      <c r="E28" s="33">
        <v>45</v>
      </c>
      <c r="F28" s="32">
        <v>75000</v>
      </c>
      <c r="G28" s="32"/>
      <c r="H28" s="37" t="s">
        <v>146</v>
      </c>
      <c r="I28" s="148">
        <v>5334</v>
      </c>
      <c r="J28" s="148">
        <f>I28*(1.2*1.5)*0.9</f>
        <v>8641.08</v>
      </c>
      <c r="K28" s="152">
        <v>6.0000000000000001E-3</v>
      </c>
      <c r="L28" s="148"/>
      <c r="M28" s="152"/>
      <c r="N28" s="148">
        <f t="shared" si="0"/>
        <v>8641.08</v>
      </c>
      <c r="O28" s="149">
        <f t="shared" si="27"/>
        <v>129.61619999999999</v>
      </c>
      <c r="P28" s="148">
        <f>I28*(2.3*1.5)*0.9</f>
        <v>16562.07</v>
      </c>
      <c r="Q28" s="152">
        <v>1.7999999999999999E-2</v>
      </c>
      <c r="R28" s="149">
        <f t="shared" si="29"/>
        <v>745.29314999999997</v>
      </c>
      <c r="S28" s="148"/>
      <c r="T28" s="148"/>
      <c r="U28" s="148"/>
      <c r="V28" s="149">
        <f>I28*(2.3*2+1.5*2+1.5*4)/1000</f>
        <v>72.542400000000001</v>
      </c>
      <c r="W28" s="149">
        <f>I28*(2.3*2+1.5*2)/1000</f>
        <v>40.538400000000003</v>
      </c>
      <c r="X28" s="148">
        <f t="shared" si="11"/>
        <v>41765.22</v>
      </c>
      <c r="Y28" s="149">
        <f t="shared" si="12"/>
        <v>874.9093499999999</v>
      </c>
      <c r="Z28" s="152">
        <f t="shared" si="4"/>
        <v>1.7999999999999999E-2</v>
      </c>
      <c r="AA28" s="79">
        <v>2010</v>
      </c>
      <c r="AB28" s="73">
        <f>IF(AU28=0, IF(AND((C28+AA28)&gt;0,MAX(C28,AA28)&gt;(2022-Hypotheses!$D$3)), MAX(C28,AA28)+Hypotheses!$D$3, 2027), "")</f>
        <v>2050</v>
      </c>
      <c r="AC28" s="62" t="s">
        <v>170</v>
      </c>
      <c r="AD28" s="153">
        <f>X28</f>
        <v>41765.22</v>
      </c>
      <c r="AE28" s="153">
        <f>Y28</f>
        <v>874.9093499999999</v>
      </c>
      <c r="AF28" s="153">
        <f>O28</f>
        <v>129.61619999999999</v>
      </c>
      <c r="AG28" s="153">
        <f>R28</f>
        <v>745.29314999999997</v>
      </c>
      <c r="AH28" s="153">
        <f>V28</f>
        <v>72.542400000000001</v>
      </c>
      <c r="AI28" s="153">
        <f>W28</f>
        <v>40.538400000000003</v>
      </c>
      <c r="AJ28" s="61" t="s">
        <v>146</v>
      </c>
      <c r="AK28" s="150"/>
      <c r="AL28" s="156"/>
      <c r="AM28" s="150"/>
      <c r="AN28" s="150">
        <f t="shared" ref="AN28:AN33" si="37">P28</f>
        <v>16562.07</v>
      </c>
      <c r="AO28" s="156">
        <v>1.7999999999999999E-2</v>
      </c>
      <c r="AP28" s="150">
        <f>AN28*AO28*2.5</f>
        <v>745.29314999999997</v>
      </c>
      <c r="AQ28" s="150">
        <f t="shared" si="8"/>
        <v>16562.07</v>
      </c>
      <c r="AR28" s="150">
        <f>AM28+AP28</f>
        <v>745.29314999999997</v>
      </c>
      <c r="AS28" s="150">
        <f t="shared" ref="AS28:AT33" si="38">V28</f>
        <v>72.542400000000001</v>
      </c>
      <c r="AT28" s="150">
        <f t="shared" si="38"/>
        <v>40.538400000000003</v>
      </c>
      <c r="AU28" s="81"/>
      <c r="AV28" s="158"/>
      <c r="AW28" s="158"/>
      <c r="AX28" s="158"/>
      <c r="AY28" s="158"/>
      <c r="AZ28" s="158"/>
      <c r="BA28" s="158"/>
      <c r="BC28" s="180">
        <f t="shared" si="2"/>
        <v>36</v>
      </c>
      <c r="BD28" s="180">
        <f>2022-AA28</f>
        <v>12</v>
      </c>
      <c r="BE28" s="181" t="str">
        <f t="shared" si="3"/>
        <v/>
      </c>
      <c r="BF28" s="90" t="s">
        <v>89</v>
      </c>
    </row>
    <row r="29" spans="1:58" ht="18.75" customHeight="1" x14ac:dyDescent="0.25">
      <c r="A29" s="42" t="s">
        <v>36</v>
      </c>
      <c r="B29" s="34" t="s">
        <v>125</v>
      </c>
      <c r="C29" s="33">
        <v>1974</v>
      </c>
      <c r="D29" s="33">
        <v>41</v>
      </c>
      <c r="E29" s="33">
        <v>16</v>
      </c>
      <c r="F29" s="32"/>
      <c r="G29" s="32">
        <v>12480</v>
      </c>
      <c r="H29" s="37" t="s">
        <v>146</v>
      </c>
      <c r="I29" s="148"/>
      <c r="J29" s="148"/>
      <c r="K29" s="152"/>
      <c r="L29" s="148"/>
      <c r="M29" s="152"/>
      <c r="N29" s="148"/>
      <c r="O29" s="149"/>
      <c r="P29" s="148">
        <f>800+1280</f>
        <v>2080</v>
      </c>
      <c r="Q29" s="152">
        <v>0.01</v>
      </c>
      <c r="R29" s="149">
        <f t="shared" si="29"/>
        <v>52</v>
      </c>
      <c r="S29" s="148"/>
      <c r="T29" s="148"/>
      <c r="U29" s="148"/>
      <c r="V29" s="149">
        <f>W29</f>
        <v>5.5466666666666669</v>
      </c>
      <c r="W29" s="149">
        <f>P29/(1.5*1.5)*(1.5*4)/1000</f>
        <v>5.5466666666666669</v>
      </c>
      <c r="X29" s="148">
        <f t="shared" si="11"/>
        <v>4160</v>
      </c>
      <c r="Y29" s="149">
        <f t="shared" si="12"/>
        <v>52</v>
      </c>
      <c r="Z29" s="152"/>
      <c r="AA29" s="79"/>
      <c r="AB29" s="73">
        <f>IF(AU29=0, IF(AND((C29+AA29)&gt;0,MAX(C29,AA29)&gt;(2022-Hypotheses!$D$3)), MAX(C29,AA29)+Hypotheses!$D$3, 2027), "")</f>
        <v>2027</v>
      </c>
      <c r="AC29" s="62"/>
      <c r="AD29" s="153"/>
      <c r="AE29" s="153"/>
      <c r="AF29" s="153"/>
      <c r="AG29" s="153"/>
      <c r="AH29" s="153"/>
      <c r="AI29" s="153"/>
      <c r="AJ29" s="61" t="s">
        <v>146</v>
      </c>
      <c r="AK29" s="150"/>
      <c r="AL29" s="156"/>
      <c r="AM29" s="150"/>
      <c r="AN29" s="150">
        <f t="shared" si="37"/>
        <v>2080</v>
      </c>
      <c r="AO29" s="156">
        <f>Q29</f>
        <v>0.01</v>
      </c>
      <c r="AP29" s="150">
        <f t="shared" ref="AP29:AP45" si="39">AN29*AO29*2.5</f>
        <v>52</v>
      </c>
      <c r="AQ29" s="150">
        <f t="shared" si="8"/>
        <v>2080</v>
      </c>
      <c r="AR29" s="150">
        <f t="shared" ref="AR29" si="40">AM29+AP29</f>
        <v>52</v>
      </c>
      <c r="AS29" s="150">
        <f t="shared" si="38"/>
        <v>5.5466666666666669</v>
      </c>
      <c r="AT29" s="150">
        <f t="shared" si="38"/>
        <v>5.5466666666666669</v>
      </c>
      <c r="AU29" s="81"/>
      <c r="AV29" s="158"/>
      <c r="AW29" s="158"/>
      <c r="AX29" s="158"/>
      <c r="AY29" s="158"/>
      <c r="AZ29" s="158"/>
      <c r="BA29" s="158"/>
      <c r="BC29" s="180" t="str">
        <f t="shared" si="2"/>
        <v/>
      </c>
      <c r="BD29" s="180">
        <f>IF(AND(AA29=0, 2022-C29&gt;0, AU29=0),2022-C29,"")</f>
        <v>48</v>
      </c>
      <c r="BE29" s="181" t="str">
        <f t="shared" si="3"/>
        <v/>
      </c>
    </row>
    <row r="30" spans="1:58" ht="18.75" customHeight="1" x14ac:dyDescent="0.25">
      <c r="A30" s="42" t="s">
        <v>35</v>
      </c>
      <c r="B30" s="34" t="s">
        <v>125</v>
      </c>
      <c r="C30" s="33">
        <v>1974</v>
      </c>
      <c r="D30" s="33">
        <v>55</v>
      </c>
      <c r="E30" s="33">
        <v>19</v>
      </c>
      <c r="F30" s="32"/>
      <c r="G30" s="32">
        <f>15900</f>
        <v>15900</v>
      </c>
      <c r="H30" s="37" t="s">
        <v>146</v>
      </c>
      <c r="I30" s="148"/>
      <c r="J30" s="148"/>
      <c r="K30" s="152"/>
      <c r="L30" s="148"/>
      <c r="M30" s="152"/>
      <c r="N30" s="148"/>
      <c r="O30" s="149"/>
      <c r="P30" s="148">
        <f>3510</f>
        <v>3510</v>
      </c>
      <c r="Q30" s="152">
        <v>0.01</v>
      </c>
      <c r="R30" s="149">
        <f t="shared" si="29"/>
        <v>87.75</v>
      </c>
      <c r="S30" s="148"/>
      <c r="T30" s="148"/>
      <c r="U30" s="148"/>
      <c r="V30" s="149">
        <f>W30</f>
        <v>9.36</v>
      </c>
      <c r="W30" s="149">
        <f>P30/(1.5*1.5)*(1.5*4)/1000</f>
        <v>9.36</v>
      </c>
      <c r="X30" s="148">
        <f t="shared" si="11"/>
        <v>7020</v>
      </c>
      <c r="Y30" s="149">
        <f t="shared" si="12"/>
        <v>87.75</v>
      </c>
      <c r="Z30" s="152"/>
      <c r="AA30" s="79"/>
      <c r="AB30" s="73">
        <f>IF(AU30=0, IF(AND((C30+AA30)&gt;0,MAX(C30,AA30)&gt;(2022-Hypotheses!$D$3)), MAX(C30,AA30)+Hypotheses!$D$3, 2027), "")</f>
        <v>2027</v>
      </c>
      <c r="AC30" s="62"/>
      <c r="AD30" s="153"/>
      <c r="AE30" s="153"/>
      <c r="AF30" s="153"/>
      <c r="AG30" s="153"/>
      <c r="AH30" s="153"/>
      <c r="AI30" s="153"/>
      <c r="AJ30" s="61" t="s">
        <v>146</v>
      </c>
      <c r="AK30" s="150"/>
      <c r="AL30" s="156"/>
      <c r="AM30" s="150"/>
      <c r="AN30" s="150">
        <f t="shared" si="37"/>
        <v>3510</v>
      </c>
      <c r="AO30" s="156">
        <f>Q30</f>
        <v>0.01</v>
      </c>
      <c r="AP30" s="150">
        <f t="shared" si="39"/>
        <v>87.75</v>
      </c>
      <c r="AQ30" s="150">
        <f t="shared" si="8"/>
        <v>3510</v>
      </c>
      <c r="AR30" s="150">
        <f t="shared" ref="AR30:AR33" si="41">AM30+AP30</f>
        <v>87.75</v>
      </c>
      <c r="AS30" s="150">
        <f t="shared" si="38"/>
        <v>9.36</v>
      </c>
      <c r="AT30" s="150">
        <f t="shared" si="38"/>
        <v>9.36</v>
      </c>
      <c r="AU30" s="81"/>
      <c r="AV30" s="158"/>
      <c r="AW30" s="158"/>
      <c r="AX30" s="158"/>
      <c r="AY30" s="158"/>
      <c r="AZ30" s="158"/>
      <c r="BA30" s="158"/>
      <c r="BC30" s="180" t="str">
        <f t="shared" si="2"/>
        <v/>
      </c>
      <c r="BD30" s="180">
        <f>IF(AND(AA30=0, 2022-C30&gt;0, AU30=0),2022-C30,"")</f>
        <v>48</v>
      </c>
      <c r="BE30" s="181" t="str">
        <f t="shared" si="3"/>
        <v/>
      </c>
    </row>
    <row r="31" spans="1:58" ht="18.75" customHeight="1" x14ac:dyDescent="0.25">
      <c r="A31" s="42" t="s">
        <v>199</v>
      </c>
      <c r="B31" s="31" t="s">
        <v>124</v>
      </c>
      <c r="C31" s="33">
        <v>1974</v>
      </c>
      <c r="D31" s="33">
        <v>110</v>
      </c>
      <c r="E31" s="33">
        <v>32</v>
      </c>
      <c r="F31" s="32">
        <v>34500</v>
      </c>
      <c r="G31" s="32"/>
      <c r="H31" s="37" t="s">
        <v>146</v>
      </c>
      <c r="I31" s="148">
        <f>E31*(42+24)*2</f>
        <v>4224</v>
      </c>
      <c r="J31" s="148">
        <f>1*0.9*I31</f>
        <v>3801.6</v>
      </c>
      <c r="K31" s="152">
        <v>6.0000000000000001E-3</v>
      </c>
      <c r="L31" s="148"/>
      <c r="M31" s="152"/>
      <c r="N31" s="148">
        <f t="shared" si="0"/>
        <v>3801.6</v>
      </c>
      <c r="O31" s="149">
        <f t="shared" si="27"/>
        <v>57.024000000000001</v>
      </c>
      <c r="P31" s="148">
        <f>2.3*0.9*I31</f>
        <v>8743.6799999999985</v>
      </c>
      <c r="Q31" s="152">
        <f t="shared" ref="Q31:Q33" si="42">0.008*2</f>
        <v>1.6E-2</v>
      </c>
      <c r="R31" s="149">
        <f t="shared" si="29"/>
        <v>349.74719999999996</v>
      </c>
      <c r="S31" s="148"/>
      <c r="T31" s="148"/>
      <c r="U31" s="148"/>
      <c r="V31" s="149">
        <f>(I31*(1*2+1*2)+I31*(1*2+2.3*2))/1000</f>
        <v>44.774399999999993</v>
      </c>
      <c r="W31" s="149">
        <f>I31*(1*2+2.3*2)/1000</f>
        <v>27.878399999999999</v>
      </c>
      <c r="X31" s="148">
        <f t="shared" si="11"/>
        <v>21288.959999999995</v>
      </c>
      <c r="Y31" s="149">
        <f t="shared" si="12"/>
        <v>406.77119999999996</v>
      </c>
      <c r="Z31" s="152">
        <f t="shared" si="4"/>
        <v>1.6E-2</v>
      </c>
      <c r="AA31" s="79">
        <v>1998</v>
      </c>
      <c r="AB31" s="73">
        <f>IF(AU31=0, IF(AND((C31+AA31)&gt;0,MAX(C31,AA31)&gt;(2022-Hypotheses!$D$3)), MAX(C31,AA31)+Hypotheses!$D$3, 2027), "")</f>
        <v>2038</v>
      </c>
      <c r="AC31" s="62" t="s">
        <v>170</v>
      </c>
      <c r="AD31" s="153">
        <f t="shared" ref="AD31:AE34" si="43">X31</f>
        <v>21288.959999999995</v>
      </c>
      <c r="AE31" s="153">
        <f t="shared" si="43"/>
        <v>406.77119999999996</v>
      </c>
      <c r="AF31" s="153">
        <f>O31</f>
        <v>57.024000000000001</v>
      </c>
      <c r="AG31" s="153">
        <f>R31</f>
        <v>349.74719999999996</v>
      </c>
      <c r="AH31" s="153">
        <f t="shared" ref="AH31:AI34" si="44">V31</f>
        <v>44.774399999999993</v>
      </c>
      <c r="AI31" s="153">
        <f t="shared" si="44"/>
        <v>27.878399999999999</v>
      </c>
      <c r="AJ31" s="61" t="s">
        <v>146</v>
      </c>
      <c r="AK31" s="150"/>
      <c r="AL31" s="156"/>
      <c r="AM31" s="150"/>
      <c r="AN31" s="150">
        <f t="shared" si="37"/>
        <v>8743.6799999999985</v>
      </c>
      <c r="AO31" s="156">
        <v>1.4E-2</v>
      </c>
      <c r="AP31" s="150">
        <f t="shared" si="39"/>
        <v>306.02879999999993</v>
      </c>
      <c r="AQ31" s="150">
        <f t="shared" si="8"/>
        <v>8743.6799999999985</v>
      </c>
      <c r="AR31" s="150">
        <f t="shared" si="41"/>
        <v>306.02879999999993</v>
      </c>
      <c r="AS31" s="150">
        <f t="shared" si="38"/>
        <v>44.774399999999993</v>
      </c>
      <c r="AT31" s="150">
        <f t="shared" si="38"/>
        <v>27.878399999999999</v>
      </c>
      <c r="AU31" s="81"/>
      <c r="AV31" s="158"/>
      <c r="AW31" s="158"/>
      <c r="AX31" s="158"/>
      <c r="AY31" s="158"/>
      <c r="AZ31" s="158"/>
      <c r="BA31" s="158"/>
      <c r="BC31" s="180">
        <f t="shared" si="2"/>
        <v>24</v>
      </c>
      <c r="BD31" s="180">
        <f>2022-AA31</f>
        <v>24</v>
      </c>
      <c r="BE31" s="181" t="str">
        <f t="shared" si="3"/>
        <v/>
      </c>
      <c r="BF31" s="90" t="s">
        <v>62</v>
      </c>
    </row>
    <row r="32" spans="1:58" ht="18.75" customHeight="1" x14ac:dyDescent="0.25">
      <c r="A32" s="42" t="s">
        <v>200</v>
      </c>
      <c r="B32" s="31" t="s">
        <v>124</v>
      </c>
      <c r="C32" s="33">
        <v>1975</v>
      </c>
      <c r="D32" s="33">
        <v>117</v>
      </c>
      <c r="E32" s="33">
        <v>28</v>
      </c>
      <c r="F32" s="32">
        <v>50500</v>
      </c>
      <c r="G32" s="32"/>
      <c r="H32" s="37" t="s">
        <v>146</v>
      </c>
      <c r="I32" s="148">
        <f>(11+24)*2*26</f>
        <v>1820</v>
      </c>
      <c r="J32" s="148">
        <f>I32*1*1.5*0.9</f>
        <v>2457</v>
      </c>
      <c r="K32" s="152">
        <v>6.0000000000000001E-3</v>
      </c>
      <c r="L32" s="148"/>
      <c r="M32" s="152"/>
      <c r="N32" s="148">
        <f t="shared" si="0"/>
        <v>2457</v>
      </c>
      <c r="O32" s="149">
        <f t="shared" si="27"/>
        <v>36.855000000000004</v>
      </c>
      <c r="P32" s="148">
        <f>(1.9*1.5)*0.9*I32</f>
        <v>4668.3</v>
      </c>
      <c r="Q32" s="152">
        <v>1.2E-2</v>
      </c>
      <c r="R32" s="149">
        <f t="shared" si="29"/>
        <v>140.04900000000001</v>
      </c>
      <c r="S32" s="148"/>
      <c r="T32" s="148"/>
      <c r="U32" s="148"/>
      <c r="V32" s="149">
        <f>(I32*(1.5*2+1*2)+I32*(1.5*2+1.9*2))/1000</f>
        <v>21.475999999999999</v>
      </c>
      <c r="W32" s="149">
        <f>I32*(1.5*2+1.9*2)/1000</f>
        <v>12.375999999999999</v>
      </c>
      <c r="X32" s="148">
        <f t="shared" si="11"/>
        <v>11793.6</v>
      </c>
      <c r="Y32" s="149">
        <f t="shared" si="12"/>
        <v>176.904</v>
      </c>
      <c r="Z32" s="152">
        <f t="shared" si="4"/>
        <v>1.2E-2</v>
      </c>
      <c r="AA32" s="79">
        <v>1994</v>
      </c>
      <c r="AB32" s="73">
        <f>IF(AU32=0, IF(AND((C32+AA32)&gt;0,MAX(C32,AA32)&gt;(2022-Hypotheses!$D$3)), MAX(C32,AA32)+Hypotheses!$D$3, 2027), "")</f>
        <v>2034</v>
      </c>
      <c r="AC32" s="62" t="s">
        <v>170</v>
      </c>
      <c r="AD32" s="153">
        <f t="shared" si="43"/>
        <v>11793.6</v>
      </c>
      <c r="AE32" s="153">
        <f t="shared" si="43"/>
        <v>176.904</v>
      </c>
      <c r="AF32" s="153">
        <f>O32</f>
        <v>36.855000000000004</v>
      </c>
      <c r="AG32" s="153">
        <f>R32</f>
        <v>140.04900000000001</v>
      </c>
      <c r="AH32" s="153">
        <f t="shared" si="44"/>
        <v>21.475999999999999</v>
      </c>
      <c r="AI32" s="153">
        <f t="shared" si="44"/>
        <v>12.375999999999999</v>
      </c>
      <c r="AJ32" s="61" t="s">
        <v>146</v>
      </c>
      <c r="AK32" s="150"/>
      <c r="AL32" s="156"/>
      <c r="AM32" s="150"/>
      <c r="AN32" s="150">
        <f t="shared" si="37"/>
        <v>4668.3</v>
      </c>
      <c r="AO32" s="156">
        <v>1.4E-2</v>
      </c>
      <c r="AP32" s="150">
        <f t="shared" si="39"/>
        <v>163.3905</v>
      </c>
      <c r="AQ32" s="150">
        <f t="shared" si="8"/>
        <v>4668.3</v>
      </c>
      <c r="AR32" s="150">
        <f t="shared" si="41"/>
        <v>163.3905</v>
      </c>
      <c r="AS32" s="150">
        <f t="shared" si="38"/>
        <v>21.475999999999999</v>
      </c>
      <c r="AT32" s="150">
        <f t="shared" si="38"/>
        <v>12.375999999999999</v>
      </c>
      <c r="AU32" s="81"/>
      <c r="AV32" s="158"/>
      <c r="AW32" s="158"/>
      <c r="AX32" s="158"/>
      <c r="AY32" s="158"/>
      <c r="AZ32" s="158"/>
      <c r="BA32" s="158"/>
      <c r="BC32" s="180">
        <f t="shared" si="2"/>
        <v>19</v>
      </c>
      <c r="BD32" s="180">
        <f>2022-AA32</f>
        <v>28</v>
      </c>
      <c r="BE32" s="181" t="str">
        <f t="shared" si="3"/>
        <v/>
      </c>
    </row>
    <row r="33" spans="1:61" ht="18.75" customHeight="1" x14ac:dyDescent="0.25">
      <c r="A33" s="42" t="s">
        <v>201</v>
      </c>
      <c r="B33" s="31" t="s">
        <v>124</v>
      </c>
      <c r="C33" s="33">
        <v>1975</v>
      </c>
      <c r="D33" s="33">
        <v>134</v>
      </c>
      <c r="E33" s="33">
        <v>37</v>
      </c>
      <c r="F33" s="32">
        <v>63000</v>
      </c>
      <c r="G33" s="32"/>
      <c r="H33" s="37" t="s">
        <v>146</v>
      </c>
      <c r="I33" s="148"/>
      <c r="J33" s="148"/>
      <c r="K33" s="152"/>
      <c r="L33" s="148"/>
      <c r="M33" s="152"/>
      <c r="N33" s="148"/>
      <c r="O33" s="149"/>
      <c r="P33" s="148">
        <f>33*(10+22)*2*(2*2)*0.9+(10+22)*2*(8*2)*0.9*1.5</f>
        <v>8985.6</v>
      </c>
      <c r="Q33" s="152">
        <f t="shared" si="42"/>
        <v>1.6E-2</v>
      </c>
      <c r="R33" s="149">
        <f t="shared" si="29"/>
        <v>359.42399999999998</v>
      </c>
      <c r="S33" s="148"/>
      <c r="T33" s="148"/>
      <c r="U33" s="148"/>
      <c r="V33" s="149">
        <f>W33</f>
        <v>17.28</v>
      </c>
      <c r="W33" s="149">
        <f>1/1000*(33*(10+22)*2*8*0.9+(10+22)*2*(8*2+4*2)*0.9*1.5)</f>
        <v>17.28</v>
      </c>
      <c r="X33" s="148">
        <f t="shared" si="11"/>
        <v>17971.2</v>
      </c>
      <c r="Y33" s="149">
        <f t="shared" si="12"/>
        <v>359.42399999999998</v>
      </c>
      <c r="Z33" s="152">
        <f t="shared" si="4"/>
        <v>1.6E-2</v>
      </c>
      <c r="AA33" s="79">
        <v>2007</v>
      </c>
      <c r="AB33" s="73">
        <f>IF(AU33=0, IF(AND((C33+AA33)&gt;0,MAX(C33,AA33)&gt;(2022-Hypotheses!$D$3)), MAX(C33,AA33)+Hypotheses!$D$3, 2027), "")</f>
        <v>2047</v>
      </c>
      <c r="AC33" s="62" t="s">
        <v>170</v>
      </c>
      <c r="AD33" s="153">
        <f t="shared" si="43"/>
        <v>17971.2</v>
      </c>
      <c r="AE33" s="153">
        <f t="shared" si="43"/>
        <v>359.42399999999998</v>
      </c>
      <c r="AF33" s="153">
        <f>O33</f>
        <v>0</v>
      </c>
      <c r="AG33" s="153">
        <f>R33</f>
        <v>359.42399999999998</v>
      </c>
      <c r="AH33" s="153">
        <f t="shared" si="44"/>
        <v>17.28</v>
      </c>
      <c r="AI33" s="153">
        <f t="shared" si="44"/>
        <v>17.28</v>
      </c>
      <c r="AJ33" s="61" t="s">
        <v>146</v>
      </c>
      <c r="AK33" s="150"/>
      <c r="AL33" s="156"/>
      <c r="AM33" s="150"/>
      <c r="AN33" s="150">
        <f t="shared" si="37"/>
        <v>8985.6</v>
      </c>
      <c r="AO33" s="156">
        <v>1.4E-2</v>
      </c>
      <c r="AP33" s="150">
        <f t="shared" si="39"/>
        <v>314.49599999999998</v>
      </c>
      <c r="AQ33" s="150">
        <f t="shared" si="8"/>
        <v>8985.6</v>
      </c>
      <c r="AR33" s="150">
        <f t="shared" si="41"/>
        <v>314.49599999999998</v>
      </c>
      <c r="AS33" s="150">
        <f t="shared" si="38"/>
        <v>17.28</v>
      </c>
      <c r="AT33" s="150">
        <f t="shared" si="38"/>
        <v>17.28</v>
      </c>
      <c r="AU33" s="81"/>
      <c r="AV33" s="158"/>
      <c r="AW33" s="158"/>
      <c r="AX33" s="158"/>
      <c r="AY33" s="158"/>
      <c r="AZ33" s="158"/>
      <c r="BA33" s="158"/>
      <c r="BC33" s="180">
        <f t="shared" si="2"/>
        <v>32</v>
      </c>
      <c r="BD33" s="180">
        <f>2022-AA33</f>
        <v>15</v>
      </c>
      <c r="BE33" s="181" t="str">
        <f t="shared" si="3"/>
        <v/>
      </c>
    </row>
    <row r="34" spans="1:61" ht="18.75" customHeight="1" x14ac:dyDescent="0.25">
      <c r="A34" s="42" t="s">
        <v>34</v>
      </c>
      <c r="B34" s="34" t="s">
        <v>125</v>
      </c>
      <c r="C34" s="33">
        <v>1975</v>
      </c>
      <c r="D34" s="33">
        <v>54</v>
      </c>
      <c r="E34" s="33">
        <v>17</v>
      </c>
      <c r="F34" s="32"/>
      <c r="G34" s="32">
        <f>130*80</f>
        <v>10400</v>
      </c>
      <c r="H34" s="37" t="s">
        <v>121</v>
      </c>
      <c r="I34" s="148"/>
      <c r="J34" s="148"/>
      <c r="K34" s="152"/>
      <c r="L34" s="148">
        <f>1255+1100</f>
        <v>2355</v>
      </c>
      <c r="M34" s="152">
        <v>5.0000000000000001E-3</v>
      </c>
      <c r="N34" s="148">
        <f t="shared" si="0"/>
        <v>2355</v>
      </c>
      <c r="O34" s="149">
        <f t="shared" si="27"/>
        <v>29.4375</v>
      </c>
      <c r="P34" s="148"/>
      <c r="Q34" s="152"/>
      <c r="R34" s="149"/>
      <c r="S34" s="148"/>
      <c r="T34" s="148"/>
      <c r="U34" s="148"/>
      <c r="V34" s="149">
        <f>L34/(1.3*1.3)*(1.3*4)/1000</f>
        <v>7.2461538461538444</v>
      </c>
      <c r="W34" s="149"/>
      <c r="X34" s="148">
        <f t="shared" si="11"/>
        <v>2355</v>
      </c>
      <c r="Y34" s="149">
        <f t="shared" si="12"/>
        <v>29.4375</v>
      </c>
      <c r="Z34" s="152"/>
      <c r="AA34" s="79">
        <v>2007</v>
      </c>
      <c r="AB34" s="73">
        <f>IF(AU34=0, IF(AND((C34+AA34)&gt;0,MAX(C34,AA34)&gt;(2022-Hypotheses!$D$3)), MAX(C34,AA34)+Hypotheses!$D$3, 2027), "")</f>
        <v>2047</v>
      </c>
      <c r="AC34" s="62"/>
      <c r="AD34" s="153">
        <f t="shared" si="43"/>
        <v>2355</v>
      </c>
      <c r="AE34" s="153">
        <f t="shared" si="43"/>
        <v>29.4375</v>
      </c>
      <c r="AF34" s="153">
        <f>O34</f>
        <v>29.4375</v>
      </c>
      <c r="AG34" s="153">
        <f>R34</f>
        <v>0</v>
      </c>
      <c r="AH34" s="153">
        <f t="shared" si="44"/>
        <v>7.2461538461538444</v>
      </c>
      <c r="AI34" s="153">
        <f t="shared" si="44"/>
        <v>0</v>
      </c>
      <c r="AJ34" s="61" t="s">
        <v>146</v>
      </c>
      <c r="AK34" s="150"/>
      <c r="AL34" s="156"/>
      <c r="AM34" s="150"/>
      <c r="AN34" s="150">
        <f>L34</f>
        <v>2355</v>
      </c>
      <c r="AO34" s="156">
        <v>0.01</v>
      </c>
      <c r="AP34" s="150">
        <f t="shared" si="39"/>
        <v>58.875</v>
      </c>
      <c r="AQ34" s="150">
        <f t="shared" si="8"/>
        <v>2355</v>
      </c>
      <c r="AR34" s="150">
        <f t="shared" ref="AR34:AR39" si="45">AM34+AP34</f>
        <v>58.875</v>
      </c>
      <c r="AS34" s="150">
        <f>AT34</f>
        <v>5.45</v>
      </c>
      <c r="AT34" s="150">
        <f>2.7+2.75</f>
        <v>5.45</v>
      </c>
      <c r="AU34" s="81"/>
      <c r="AV34" s="158"/>
      <c r="AW34" s="158"/>
      <c r="AX34" s="158"/>
      <c r="AY34" s="158"/>
      <c r="AZ34" s="158"/>
      <c r="BA34" s="158"/>
      <c r="BC34" s="180">
        <f t="shared" si="2"/>
        <v>32</v>
      </c>
      <c r="BD34" s="180">
        <f>2022-AA34</f>
        <v>15</v>
      </c>
      <c r="BE34" s="181" t="str">
        <f t="shared" si="3"/>
        <v/>
      </c>
    </row>
    <row r="35" spans="1:61" ht="18.75" customHeight="1" x14ac:dyDescent="0.25">
      <c r="A35" s="42" t="s">
        <v>202</v>
      </c>
      <c r="B35" s="31" t="s">
        <v>124</v>
      </c>
      <c r="C35" s="33">
        <v>1975</v>
      </c>
      <c r="D35" s="33">
        <v>110</v>
      </c>
      <c r="E35" s="33">
        <v>33</v>
      </c>
      <c r="F35" s="32">
        <v>80100</v>
      </c>
      <c r="G35" s="32"/>
      <c r="H35" s="37" t="s">
        <v>146</v>
      </c>
      <c r="I35" s="148">
        <f>33*125</f>
        <v>4125</v>
      </c>
      <c r="J35" s="148"/>
      <c r="K35" s="152"/>
      <c r="L35" s="148"/>
      <c r="M35" s="152"/>
      <c r="N35" s="148"/>
      <c r="O35" s="149"/>
      <c r="P35" s="148">
        <f>I35*3.6*1.8*0.9</f>
        <v>24057</v>
      </c>
      <c r="Q35" s="152">
        <f>0.008*2</f>
        <v>1.6E-2</v>
      </c>
      <c r="R35" s="149">
        <f t="shared" si="29"/>
        <v>962.28000000000009</v>
      </c>
      <c r="S35" s="148"/>
      <c r="T35" s="148"/>
      <c r="U35" s="148"/>
      <c r="V35" s="149">
        <f>(I35*(2*3.6+2*1.8)*0.9)/1000</f>
        <v>40.094999999999999</v>
      </c>
      <c r="W35" s="149">
        <f>V35</f>
        <v>40.094999999999999</v>
      </c>
      <c r="X35" s="148">
        <f t="shared" si="11"/>
        <v>48114</v>
      </c>
      <c r="Y35" s="149">
        <f t="shared" si="12"/>
        <v>962.28000000000009</v>
      </c>
      <c r="Z35" s="152">
        <f t="shared" si="4"/>
        <v>1.6E-2</v>
      </c>
      <c r="AA35" s="79"/>
      <c r="AB35" s="73">
        <f>IF(AU35=0, IF(AND((C35+AA35)&gt;0,MAX(C35,AA35)&gt;(2022-Hypotheses!$D$3)), MAX(C35,AA35)+Hypotheses!$D$3, 2027), "")</f>
        <v>2027</v>
      </c>
      <c r="AC35" s="62"/>
      <c r="AD35" s="153"/>
      <c r="AE35" s="153"/>
      <c r="AF35" s="153"/>
      <c r="AG35" s="153"/>
      <c r="AH35" s="153"/>
      <c r="AI35" s="153"/>
      <c r="AJ35" s="61" t="s">
        <v>146</v>
      </c>
      <c r="AK35" s="150"/>
      <c r="AL35" s="156"/>
      <c r="AM35" s="150"/>
      <c r="AN35" s="150">
        <f>P35</f>
        <v>24057</v>
      </c>
      <c r="AO35" s="156">
        <f>Q35</f>
        <v>1.6E-2</v>
      </c>
      <c r="AP35" s="150">
        <f t="shared" si="39"/>
        <v>962.28000000000009</v>
      </c>
      <c r="AQ35" s="150">
        <f t="shared" si="8"/>
        <v>24057</v>
      </c>
      <c r="AR35" s="150">
        <f t="shared" si="45"/>
        <v>962.28000000000009</v>
      </c>
      <c r="AS35" s="150">
        <f t="shared" ref="AS35:AT37" si="46">V35</f>
        <v>40.094999999999999</v>
      </c>
      <c r="AT35" s="150">
        <f t="shared" si="46"/>
        <v>40.094999999999999</v>
      </c>
      <c r="AU35" s="81"/>
      <c r="AV35" s="158"/>
      <c r="AW35" s="158"/>
      <c r="AX35" s="158"/>
      <c r="AY35" s="158"/>
      <c r="AZ35" s="158"/>
      <c r="BA35" s="158"/>
      <c r="BC35" s="180" t="str">
        <f t="shared" si="2"/>
        <v/>
      </c>
      <c r="BD35" s="180">
        <f>IF(AND(AA35=0, 2022-C35&gt;0, AU35=0),2022-C35,"")</f>
        <v>47</v>
      </c>
      <c r="BE35" s="181" t="str">
        <f t="shared" si="3"/>
        <v/>
      </c>
    </row>
    <row r="36" spans="1:61" ht="18.75" customHeight="1" x14ac:dyDescent="0.25">
      <c r="A36" s="42" t="s">
        <v>203</v>
      </c>
      <c r="B36" s="34" t="s">
        <v>125</v>
      </c>
      <c r="C36" s="33">
        <v>1975</v>
      </c>
      <c r="D36" s="33">
        <v>104</v>
      </c>
      <c r="E36" s="33">
        <v>37</v>
      </c>
      <c r="F36" s="32"/>
      <c r="G36" s="32">
        <f>304*60</f>
        <v>18240</v>
      </c>
      <c r="H36" s="37" t="s">
        <v>146</v>
      </c>
      <c r="I36" s="148">
        <f>34*7*2</f>
        <v>476</v>
      </c>
      <c r="J36" s="148"/>
      <c r="K36" s="152"/>
      <c r="L36" s="148"/>
      <c r="M36" s="152"/>
      <c r="N36" s="148"/>
      <c r="O36" s="149"/>
      <c r="P36" s="148">
        <f>I36*(2.3*1.2+1.4*1.1)*0.9</f>
        <v>1842.12</v>
      </c>
      <c r="Q36" s="152">
        <v>0.01</v>
      </c>
      <c r="R36" s="149">
        <f t="shared" si="29"/>
        <v>46.052999999999997</v>
      </c>
      <c r="S36" s="148"/>
      <c r="T36" s="148"/>
      <c r="U36" s="148"/>
      <c r="V36" s="149">
        <f>(I36*((2.3+1.2)*2+(1.4+1.1)*2)*0.9)/1000</f>
        <v>5.1408000000000005</v>
      </c>
      <c r="W36" s="149">
        <f>V36</f>
        <v>5.1408000000000005</v>
      </c>
      <c r="X36" s="148">
        <f t="shared" si="11"/>
        <v>3684.24</v>
      </c>
      <c r="Y36" s="149">
        <f t="shared" si="12"/>
        <v>46.052999999999997</v>
      </c>
      <c r="Z36" s="152"/>
      <c r="AA36" s="79">
        <v>2002</v>
      </c>
      <c r="AB36" s="73">
        <f>IF(AU36=0, IF(AND((C36+AA36)&gt;0,MAX(C36,AA36)&gt;(2022-Hypotheses!$D$3)), MAX(C36,AA36)+Hypotheses!$D$3, 2027), "")</f>
        <v>2042</v>
      </c>
      <c r="AC36" s="62"/>
      <c r="AD36" s="153">
        <f t="shared" ref="AD36:AE41" si="47">X36</f>
        <v>3684.24</v>
      </c>
      <c r="AE36" s="153">
        <f t="shared" si="47"/>
        <v>46.052999999999997</v>
      </c>
      <c r="AF36" s="153">
        <f t="shared" ref="AF36:AF41" si="48">O36</f>
        <v>0</v>
      </c>
      <c r="AG36" s="153">
        <f t="shared" ref="AG36:AG41" si="49">R36</f>
        <v>46.052999999999997</v>
      </c>
      <c r="AH36" s="153">
        <f t="shared" ref="AH36:AI41" si="50">V36</f>
        <v>5.1408000000000005</v>
      </c>
      <c r="AI36" s="153">
        <f t="shared" si="50"/>
        <v>5.1408000000000005</v>
      </c>
      <c r="AJ36" s="61" t="s">
        <v>146</v>
      </c>
      <c r="AK36" s="150"/>
      <c r="AL36" s="156"/>
      <c r="AM36" s="150"/>
      <c r="AN36" s="150">
        <f>P36</f>
        <v>1842.12</v>
      </c>
      <c r="AO36" s="156">
        <f>Q36</f>
        <v>0.01</v>
      </c>
      <c r="AP36" s="150">
        <f t="shared" si="39"/>
        <v>46.052999999999997</v>
      </c>
      <c r="AQ36" s="150">
        <f t="shared" si="8"/>
        <v>1842.12</v>
      </c>
      <c r="AR36" s="150">
        <f t="shared" si="45"/>
        <v>46.052999999999997</v>
      </c>
      <c r="AS36" s="150">
        <f t="shared" si="46"/>
        <v>5.1408000000000005</v>
      </c>
      <c r="AT36" s="150">
        <f t="shared" si="46"/>
        <v>5.1408000000000005</v>
      </c>
      <c r="AU36" s="81"/>
      <c r="AV36" s="158"/>
      <c r="AW36" s="158"/>
      <c r="AX36" s="158"/>
      <c r="AY36" s="158"/>
      <c r="AZ36" s="158"/>
      <c r="BA36" s="158"/>
      <c r="BC36" s="180">
        <f t="shared" ref="BC36:BC67" si="51">IF(AA36&gt;0,AA36-C36,"")</f>
        <v>27</v>
      </c>
      <c r="BD36" s="180">
        <f>2022-AA36</f>
        <v>20</v>
      </c>
      <c r="BE36" s="181" t="str">
        <f t="shared" ref="BE36:BE67" si="52">IF(AU36&gt;0,AU36-C36,"")</f>
        <v/>
      </c>
    </row>
    <row r="37" spans="1:61" ht="18.75" customHeight="1" x14ac:dyDescent="0.25">
      <c r="A37" s="42" t="s">
        <v>63</v>
      </c>
      <c r="B37" s="31" t="s">
        <v>124</v>
      </c>
      <c r="C37" s="33">
        <v>1976</v>
      </c>
      <c r="D37" s="33">
        <v>40</v>
      </c>
      <c r="E37" s="33">
        <v>9</v>
      </c>
      <c r="F37" s="32">
        <v>19100</v>
      </c>
      <c r="G37" s="32"/>
      <c r="H37" s="37" t="s">
        <v>146</v>
      </c>
      <c r="I37" s="148"/>
      <c r="J37" s="148"/>
      <c r="K37" s="152"/>
      <c r="L37" s="148"/>
      <c r="M37" s="152"/>
      <c r="N37" s="148"/>
      <c r="O37" s="149"/>
      <c r="P37" s="148">
        <f>2935</f>
        <v>2935</v>
      </c>
      <c r="Q37" s="152">
        <f>0.008*2</f>
        <v>1.6E-2</v>
      </c>
      <c r="R37" s="149">
        <f t="shared" si="29"/>
        <v>117.4</v>
      </c>
      <c r="S37" s="148"/>
      <c r="T37" s="148"/>
      <c r="U37" s="148"/>
      <c r="V37" s="149">
        <f>8.315</f>
        <v>8.3149999999999995</v>
      </c>
      <c r="W37" s="149">
        <f>V37</f>
        <v>8.3149999999999995</v>
      </c>
      <c r="X37" s="148">
        <f t="shared" si="11"/>
        <v>5870</v>
      </c>
      <c r="Y37" s="149">
        <f t="shared" si="12"/>
        <v>117.4</v>
      </c>
      <c r="Z37" s="152">
        <f t="shared" si="4"/>
        <v>1.6E-2</v>
      </c>
      <c r="AA37" s="79">
        <v>2021</v>
      </c>
      <c r="AB37" s="73">
        <f>IF(AU37=0, IF(AND((C37+AA37)&gt;0,MAX(C37,AA37)&gt;(2022-Hypotheses!$D$3)), MAX(C37,AA37)+Hypotheses!$D$3, 2027), "")</f>
        <v>2061</v>
      </c>
      <c r="AC37" s="62" t="s">
        <v>170</v>
      </c>
      <c r="AD37" s="153">
        <f t="shared" si="47"/>
        <v>5870</v>
      </c>
      <c r="AE37" s="153">
        <f t="shared" si="47"/>
        <v>117.4</v>
      </c>
      <c r="AF37" s="153">
        <f t="shared" si="48"/>
        <v>0</v>
      </c>
      <c r="AG37" s="153">
        <f t="shared" si="49"/>
        <v>117.4</v>
      </c>
      <c r="AH37" s="153">
        <f t="shared" si="50"/>
        <v>8.3149999999999995</v>
      </c>
      <c r="AI37" s="153">
        <f t="shared" si="50"/>
        <v>8.3149999999999995</v>
      </c>
      <c r="AJ37" s="61" t="s">
        <v>146</v>
      </c>
      <c r="AK37" s="150"/>
      <c r="AL37" s="156"/>
      <c r="AM37" s="150"/>
      <c r="AN37" s="150">
        <f>P37*2</f>
        <v>5870</v>
      </c>
      <c r="AO37" s="156">
        <f>Q37</f>
        <v>1.6E-2</v>
      </c>
      <c r="AP37" s="150">
        <f t="shared" si="39"/>
        <v>234.8</v>
      </c>
      <c r="AQ37" s="150">
        <f t="shared" si="8"/>
        <v>5870</v>
      </c>
      <c r="AR37" s="150">
        <f t="shared" si="45"/>
        <v>234.8</v>
      </c>
      <c r="AS37" s="150">
        <f t="shared" si="46"/>
        <v>8.3149999999999995</v>
      </c>
      <c r="AT37" s="150">
        <f t="shared" si="46"/>
        <v>8.3149999999999995</v>
      </c>
      <c r="AU37" s="81"/>
      <c r="AV37" s="158"/>
      <c r="AW37" s="158"/>
      <c r="AX37" s="158"/>
      <c r="AY37" s="158"/>
      <c r="AZ37" s="158"/>
      <c r="BA37" s="158"/>
      <c r="BC37" s="180">
        <f t="shared" si="51"/>
        <v>45</v>
      </c>
      <c r="BD37" s="180">
        <f>2022-AA37</f>
        <v>1</v>
      </c>
      <c r="BE37" s="181" t="str">
        <f t="shared" si="52"/>
        <v/>
      </c>
      <c r="BF37" s="88" t="s">
        <v>88</v>
      </c>
    </row>
    <row r="38" spans="1:61" ht="18.75" customHeight="1" x14ac:dyDescent="0.25">
      <c r="A38" s="42" t="s">
        <v>64</v>
      </c>
      <c r="B38" s="34" t="s">
        <v>125</v>
      </c>
      <c r="C38" s="33">
        <v>1976</v>
      </c>
      <c r="D38" s="33">
        <v>48</v>
      </c>
      <c r="E38" s="33">
        <v>13</v>
      </c>
      <c r="F38" s="32"/>
      <c r="G38" s="32">
        <f>640*70</f>
        <v>44800</v>
      </c>
      <c r="H38" s="37" t="s">
        <v>121</v>
      </c>
      <c r="I38" s="148"/>
      <c r="J38" s="148"/>
      <c r="K38" s="152"/>
      <c r="L38" s="148">
        <f>(186+316+568+588)*(2.2*3)*0.9+(56+126+198+311)*(1.6*1.4)*0.9</f>
        <v>11241.576000000001</v>
      </c>
      <c r="M38" s="152">
        <v>5.0000000000000001E-3</v>
      </c>
      <c r="N38" s="148">
        <f t="shared" si="0"/>
        <v>11241.576000000001</v>
      </c>
      <c r="O38" s="149">
        <f t="shared" si="27"/>
        <v>140.5197</v>
      </c>
      <c r="P38" s="148"/>
      <c r="Q38" s="152"/>
      <c r="R38" s="149"/>
      <c r="S38" s="148"/>
      <c r="T38" s="148"/>
      <c r="U38" s="148"/>
      <c r="V38" s="149">
        <f>((186+316+568+588)*(2.2+3)*2*0.9+(56+126+198+311)*(1.6+1.4)*2*0.9)/1000</f>
        <v>19.250280000000004</v>
      </c>
      <c r="W38" s="149">
        <v>0</v>
      </c>
      <c r="X38" s="148">
        <f t="shared" si="11"/>
        <v>11241.576000000001</v>
      </c>
      <c r="Y38" s="149">
        <f t="shared" si="12"/>
        <v>140.5197</v>
      </c>
      <c r="Z38" s="152"/>
      <c r="AA38" s="79">
        <v>2005</v>
      </c>
      <c r="AB38" s="73">
        <f>IF(AU38=0, IF(AND((C38+AA38)&gt;0,MAX(C38,AA38)&gt;(2022-Hypotheses!$D$3)), MAX(C38,AA38)+Hypotheses!$D$3, 2027), "")</f>
        <v>2045</v>
      </c>
      <c r="AC38" s="62"/>
      <c r="AD38" s="153">
        <f t="shared" si="47"/>
        <v>11241.576000000001</v>
      </c>
      <c r="AE38" s="153">
        <f t="shared" si="47"/>
        <v>140.5197</v>
      </c>
      <c r="AF38" s="153">
        <f t="shared" si="48"/>
        <v>140.5197</v>
      </c>
      <c r="AG38" s="153">
        <f t="shared" si="49"/>
        <v>0</v>
      </c>
      <c r="AH38" s="153">
        <f t="shared" si="50"/>
        <v>19.250280000000004</v>
      </c>
      <c r="AI38" s="153">
        <f t="shared" si="50"/>
        <v>0</v>
      </c>
      <c r="AJ38" s="61" t="s">
        <v>146</v>
      </c>
      <c r="AK38" s="150"/>
      <c r="AL38" s="156"/>
      <c r="AM38" s="150"/>
      <c r="AN38" s="150">
        <f>L38</f>
        <v>11241.576000000001</v>
      </c>
      <c r="AO38" s="156">
        <v>0.01</v>
      </c>
      <c r="AP38" s="150">
        <f t="shared" si="39"/>
        <v>281.0394</v>
      </c>
      <c r="AQ38" s="150">
        <f t="shared" si="8"/>
        <v>11241.576000000001</v>
      </c>
      <c r="AR38" s="150">
        <f t="shared" si="45"/>
        <v>281.0394</v>
      </c>
      <c r="AS38" s="150">
        <f>V38</f>
        <v>19.250280000000004</v>
      </c>
      <c r="AT38" s="150">
        <f>V38</f>
        <v>19.250280000000004</v>
      </c>
      <c r="AU38" s="81"/>
      <c r="AV38" s="158"/>
      <c r="AW38" s="158"/>
      <c r="AX38" s="158"/>
      <c r="AY38" s="158"/>
      <c r="AZ38" s="158"/>
      <c r="BA38" s="158"/>
      <c r="BC38" s="180">
        <f t="shared" si="51"/>
        <v>29</v>
      </c>
      <c r="BD38" s="180">
        <f>2022-AA38</f>
        <v>17</v>
      </c>
      <c r="BE38" s="181" t="str">
        <f t="shared" si="52"/>
        <v/>
      </c>
    </row>
    <row r="39" spans="1:61" ht="18.75" customHeight="1" x14ac:dyDescent="0.25">
      <c r="A39" s="42" t="s">
        <v>39</v>
      </c>
      <c r="B39" s="34" t="s">
        <v>125</v>
      </c>
      <c r="C39" s="33">
        <v>1976</v>
      </c>
      <c r="D39" s="52">
        <v>38</v>
      </c>
      <c r="E39" s="52">
        <v>8</v>
      </c>
      <c r="F39" s="32"/>
      <c r="G39" s="32">
        <f>275*70</f>
        <v>19250</v>
      </c>
      <c r="H39" s="38" t="s">
        <v>121</v>
      </c>
      <c r="I39" s="148"/>
      <c r="J39" s="148"/>
      <c r="K39" s="152"/>
      <c r="L39" s="148">
        <f>6*1.2*(15+60)*2*0.9+1650</f>
        <v>2622</v>
      </c>
      <c r="M39" s="152">
        <v>5.0000000000000001E-3</v>
      </c>
      <c r="N39" s="148">
        <f t="shared" si="0"/>
        <v>2622</v>
      </c>
      <c r="O39" s="149">
        <f t="shared" si="27"/>
        <v>32.774999999999999</v>
      </c>
      <c r="P39" s="148"/>
      <c r="Q39" s="152"/>
      <c r="R39" s="149"/>
      <c r="S39" s="148"/>
      <c r="T39" s="148"/>
      <c r="U39" s="148"/>
      <c r="V39" s="149">
        <f>L39/(1.3*1.3)*(1.3*4)/1000</f>
        <v>8.0676923076923082</v>
      </c>
      <c r="W39" s="149">
        <v>0</v>
      </c>
      <c r="X39" s="148">
        <f t="shared" si="11"/>
        <v>2622</v>
      </c>
      <c r="Y39" s="149">
        <f t="shared" si="12"/>
        <v>32.774999999999999</v>
      </c>
      <c r="Z39" s="152"/>
      <c r="AA39" s="79"/>
      <c r="AB39" s="73">
        <f>IF(AU39=0, IF(AND((C39+AA39)&gt;0,MAX(C39,AA39)&gt;(2022-Hypotheses!$D$3)), MAX(C39,AA39)+Hypotheses!$D$3, 2027), "")</f>
        <v>2027</v>
      </c>
      <c r="AC39" s="62"/>
      <c r="AD39" s="153">
        <f t="shared" si="47"/>
        <v>2622</v>
      </c>
      <c r="AE39" s="153">
        <f t="shared" si="47"/>
        <v>32.774999999999999</v>
      </c>
      <c r="AF39" s="153">
        <f t="shared" si="48"/>
        <v>32.774999999999999</v>
      </c>
      <c r="AG39" s="153">
        <f t="shared" si="49"/>
        <v>0</v>
      </c>
      <c r="AH39" s="153">
        <f t="shared" si="50"/>
        <v>8.0676923076923082</v>
      </c>
      <c r="AI39" s="153">
        <f t="shared" si="50"/>
        <v>0</v>
      </c>
      <c r="AJ39" s="64" t="s">
        <v>146</v>
      </c>
      <c r="AK39" s="150"/>
      <c r="AL39" s="156"/>
      <c r="AM39" s="150"/>
      <c r="AN39" s="150">
        <f>L39</f>
        <v>2622</v>
      </c>
      <c r="AO39" s="156">
        <v>0.01</v>
      </c>
      <c r="AP39" s="150">
        <f t="shared" si="39"/>
        <v>65.55</v>
      </c>
      <c r="AQ39" s="150">
        <f t="shared" si="8"/>
        <v>2622</v>
      </c>
      <c r="AR39" s="150">
        <f t="shared" si="45"/>
        <v>65.55</v>
      </c>
      <c r="AS39" s="150">
        <f>AT39</f>
        <v>8.0676923076923082</v>
      </c>
      <c r="AT39" s="150">
        <f>V39</f>
        <v>8.0676923076923082</v>
      </c>
      <c r="AU39" s="81"/>
      <c r="AV39" s="158"/>
      <c r="AW39" s="158"/>
      <c r="AX39" s="158"/>
      <c r="AY39" s="158"/>
      <c r="AZ39" s="158"/>
      <c r="BA39" s="158"/>
      <c r="BC39" s="180" t="str">
        <f t="shared" si="51"/>
        <v/>
      </c>
      <c r="BD39" s="180">
        <f>IF(AND(AA39=0, 2022-C39&gt;0, AU39=0),2022-C39,"")</f>
        <v>46</v>
      </c>
      <c r="BE39" s="181" t="str">
        <f t="shared" si="52"/>
        <v/>
      </c>
    </row>
    <row r="40" spans="1:61" ht="18.75" customHeight="1" x14ac:dyDescent="0.25">
      <c r="A40" s="42" t="s">
        <v>60</v>
      </c>
      <c r="B40" s="31" t="s">
        <v>124</v>
      </c>
      <c r="C40" s="33">
        <v>1978</v>
      </c>
      <c r="D40" s="52">
        <v>37</v>
      </c>
      <c r="E40" s="52">
        <v>10</v>
      </c>
      <c r="F40" s="32">
        <v>30000</v>
      </c>
      <c r="G40" s="32"/>
      <c r="H40" s="38" t="s">
        <v>146</v>
      </c>
      <c r="I40" s="148">
        <f>7*425</f>
        <v>2975</v>
      </c>
      <c r="J40" s="148">
        <f>I40*1.2*0.9</f>
        <v>3213</v>
      </c>
      <c r="K40" s="152">
        <v>6.0000000000000001E-3</v>
      </c>
      <c r="L40" s="148"/>
      <c r="M40" s="152"/>
      <c r="N40" s="148">
        <f t="shared" si="0"/>
        <v>3213</v>
      </c>
      <c r="O40" s="149">
        <f t="shared" si="27"/>
        <v>48.194999999999993</v>
      </c>
      <c r="P40" s="148">
        <f>I40*2.5*0.9</f>
        <v>6693.75</v>
      </c>
      <c r="Q40" s="152">
        <f t="shared" ref="Q40:Q51" si="53">0.008*2</f>
        <v>1.6E-2</v>
      </c>
      <c r="R40" s="149">
        <f t="shared" si="29"/>
        <v>267.75</v>
      </c>
      <c r="S40" s="148"/>
      <c r="T40" s="148"/>
      <c r="U40" s="148"/>
      <c r="V40" s="149">
        <f>W40*2</f>
        <v>29.75</v>
      </c>
      <c r="W40" s="149">
        <f>I40*(2.5*2)/1000</f>
        <v>14.875</v>
      </c>
      <c r="X40" s="148">
        <f t="shared" si="11"/>
        <v>16600.5</v>
      </c>
      <c r="Y40" s="149">
        <f t="shared" si="12"/>
        <v>315.94499999999999</v>
      </c>
      <c r="Z40" s="152">
        <f t="shared" si="4"/>
        <v>1.6E-2</v>
      </c>
      <c r="AA40" s="79">
        <v>2022</v>
      </c>
      <c r="AB40" s="73">
        <f>IF(AU40=0, IF(AND((C40+AA40)&gt;0,MAX(C40,AA40)&gt;(2022-Hypotheses!$D$3)), MAX(C40,AA40)+Hypotheses!$D$3, 2027), "")</f>
        <v>2062</v>
      </c>
      <c r="AC40" s="62" t="s">
        <v>170</v>
      </c>
      <c r="AD40" s="153">
        <f t="shared" si="47"/>
        <v>16600.5</v>
      </c>
      <c r="AE40" s="153">
        <f t="shared" si="47"/>
        <v>315.94499999999999</v>
      </c>
      <c r="AF40" s="153">
        <f t="shared" si="48"/>
        <v>48.194999999999993</v>
      </c>
      <c r="AG40" s="153">
        <f t="shared" si="49"/>
        <v>267.75</v>
      </c>
      <c r="AH40" s="153">
        <f t="shared" si="50"/>
        <v>29.75</v>
      </c>
      <c r="AI40" s="153">
        <f t="shared" si="50"/>
        <v>14.875</v>
      </c>
      <c r="AJ40" s="61" t="s">
        <v>146</v>
      </c>
      <c r="AK40" s="150"/>
      <c r="AL40" s="156"/>
      <c r="AM40" s="150"/>
      <c r="AN40" s="150">
        <f>13*300*3.7+125*2*13</f>
        <v>17680</v>
      </c>
      <c r="AO40" s="156">
        <f>Q40</f>
        <v>1.6E-2</v>
      </c>
      <c r="AP40" s="150">
        <f t="shared" si="39"/>
        <v>707.2</v>
      </c>
      <c r="AQ40" s="150">
        <f t="shared" si="8"/>
        <v>17680</v>
      </c>
      <c r="AR40" s="150">
        <f t="shared" ref="AR40:AR41" si="54">AM40+AP40</f>
        <v>707.2</v>
      </c>
      <c r="AS40" s="150">
        <f>AT40</f>
        <v>29.75</v>
      </c>
      <c r="AT40" s="150">
        <f>V40</f>
        <v>29.75</v>
      </c>
      <c r="AU40" s="81"/>
      <c r="AV40" s="158"/>
      <c r="AW40" s="158"/>
      <c r="AX40" s="158"/>
      <c r="AY40" s="158"/>
      <c r="AZ40" s="158"/>
      <c r="BA40" s="158"/>
      <c r="BC40" s="180">
        <f t="shared" si="51"/>
        <v>44</v>
      </c>
      <c r="BD40" s="180">
        <f>2022-AA40</f>
        <v>0</v>
      </c>
      <c r="BE40" s="181" t="str">
        <f t="shared" si="52"/>
        <v/>
      </c>
      <c r="BF40" s="90" t="s">
        <v>65</v>
      </c>
    </row>
    <row r="41" spans="1:61" ht="18.75" customHeight="1" x14ac:dyDescent="0.25">
      <c r="A41" s="42" t="s">
        <v>40</v>
      </c>
      <c r="B41" s="31" t="s">
        <v>124</v>
      </c>
      <c r="C41" s="33">
        <v>1980</v>
      </c>
      <c r="D41" s="52">
        <v>34</v>
      </c>
      <c r="E41" s="52">
        <v>10</v>
      </c>
      <c r="F41" s="32">
        <v>9500</v>
      </c>
      <c r="G41" s="32"/>
      <c r="H41" s="38" t="s">
        <v>146</v>
      </c>
      <c r="I41" s="148">
        <f>7*(75+22)</f>
        <v>679</v>
      </c>
      <c r="J41" s="148">
        <f>I41*2*1.9*0.9</f>
        <v>2322.1799999999998</v>
      </c>
      <c r="K41" s="152">
        <v>6.0000000000000001E-3</v>
      </c>
      <c r="L41" s="148"/>
      <c r="M41" s="152"/>
      <c r="N41" s="148">
        <f t="shared" si="0"/>
        <v>2322.1799999999998</v>
      </c>
      <c r="O41" s="149">
        <f t="shared" si="27"/>
        <v>34.832699999999996</v>
      </c>
      <c r="P41" s="148">
        <f>I41*2*1.9*0.9</f>
        <v>2322.1799999999998</v>
      </c>
      <c r="Q41" s="152">
        <f t="shared" si="53"/>
        <v>1.6E-2</v>
      </c>
      <c r="R41" s="149">
        <f t="shared" si="29"/>
        <v>92.887199999999993</v>
      </c>
      <c r="S41" s="148"/>
      <c r="T41" s="148"/>
      <c r="U41" s="148"/>
      <c r="V41" s="149">
        <f>W41*2</f>
        <v>10.5924</v>
      </c>
      <c r="W41" s="149">
        <f>I41*(2+1.9)*2/1000</f>
        <v>5.2961999999999998</v>
      </c>
      <c r="X41" s="148">
        <f t="shared" si="11"/>
        <v>6966.5399999999991</v>
      </c>
      <c r="Y41" s="149">
        <f t="shared" si="12"/>
        <v>127.7199</v>
      </c>
      <c r="Z41" s="152">
        <f t="shared" si="4"/>
        <v>1.6E-2</v>
      </c>
      <c r="AA41" s="79">
        <v>1996</v>
      </c>
      <c r="AB41" s="73">
        <f>IF(AU41=0, IF(AND((C41+AA41)&gt;0,MAX(C41,AA41)&gt;(2022-Hypotheses!$D$3)), MAX(C41,AA41)+Hypotheses!$D$3, 2027), "")</f>
        <v>2036</v>
      </c>
      <c r="AC41" s="62" t="s">
        <v>170</v>
      </c>
      <c r="AD41" s="153">
        <f t="shared" si="47"/>
        <v>6966.5399999999991</v>
      </c>
      <c r="AE41" s="153">
        <f t="shared" si="47"/>
        <v>127.7199</v>
      </c>
      <c r="AF41" s="153">
        <f t="shared" si="48"/>
        <v>34.832699999999996</v>
      </c>
      <c r="AG41" s="153">
        <f t="shared" si="49"/>
        <v>92.887199999999993</v>
      </c>
      <c r="AH41" s="153">
        <f t="shared" si="50"/>
        <v>10.5924</v>
      </c>
      <c r="AI41" s="153">
        <f t="shared" si="50"/>
        <v>5.2961999999999998</v>
      </c>
      <c r="AJ41" s="61" t="s">
        <v>146</v>
      </c>
      <c r="AK41" s="150">
        <f>J41</f>
        <v>2322.1799999999998</v>
      </c>
      <c r="AL41" s="156">
        <v>0.08</v>
      </c>
      <c r="AM41" s="150">
        <f t="shared" si="25"/>
        <v>464.43599999999998</v>
      </c>
      <c r="AN41" s="150">
        <f>P41</f>
        <v>2322.1799999999998</v>
      </c>
      <c r="AO41" s="156">
        <f>Q41</f>
        <v>1.6E-2</v>
      </c>
      <c r="AP41" s="150">
        <f t="shared" si="39"/>
        <v>92.887199999999993</v>
      </c>
      <c r="AQ41" s="150">
        <f t="shared" si="8"/>
        <v>4644.3599999999997</v>
      </c>
      <c r="AR41" s="150">
        <f t="shared" si="54"/>
        <v>557.32319999999993</v>
      </c>
      <c r="AS41" s="150">
        <f>AT41*2</f>
        <v>36.226007999999993</v>
      </c>
      <c r="AT41" s="150">
        <f>AN41*(2+1.9)*2/1000</f>
        <v>18.113003999999997</v>
      </c>
      <c r="AU41" s="81"/>
      <c r="AV41" s="158"/>
      <c r="AW41" s="158"/>
      <c r="AX41" s="158"/>
      <c r="AY41" s="158"/>
      <c r="AZ41" s="158"/>
      <c r="BA41" s="158"/>
      <c r="BC41" s="180">
        <f t="shared" si="51"/>
        <v>16</v>
      </c>
      <c r="BD41" s="180">
        <f>2022-AA41</f>
        <v>26</v>
      </c>
      <c r="BE41" s="181" t="str">
        <f t="shared" si="52"/>
        <v/>
      </c>
    </row>
    <row r="42" spans="1:61" ht="18.75" customHeight="1" x14ac:dyDescent="0.25">
      <c r="A42" s="42" t="s">
        <v>41</v>
      </c>
      <c r="B42" s="31" t="s">
        <v>124</v>
      </c>
      <c r="C42" s="33">
        <v>1981</v>
      </c>
      <c r="D42" s="52">
        <v>69</v>
      </c>
      <c r="E42" s="52">
        <v>17</v>
      </c>
      <c r="F42" s="32">
        <v>57500</v>
      </c>
      <c r="G42" s="32"/>
      <c r="H42" s="38" t="s">
        <v>146</v>
      </c>
      <c r="I42" s="148"/>
      <c r="J42" s="148"/>
      <c r="K42" s="152"/>
      <c r="L42" s="148"/>
      <c r="M42" s="152"/>
      <c r="N42" s="148"/>
      <c r="O42" s="149"/>
      <c r="P42" s="148">
        <f>7*3.2*(265*2)</f>
        <v>11872.000000000002</v>
      </c>
      <c r="Q42" s="152">
        <f t="shared" si="53"/>
        <v>1.6E-2</v>
      </c>
      <c r="R42" s="149">
        <f t="shared" si="29"/>
        <v>474.88000000000005</v>
      </c>
      <c r="S42" s="148"/>
      <c r="T42" s="148"/>
      <c r="U42" s="148"/>
      <c r="V42" s="149">
        <f>W42</f>
        <v>17.5</v>
      </c>
      <c r="W42" s="149">
        <v>17.5</v>
      </c>
      <c r="X42" s="148">
        <f t="shared" si="11"/>
        <v>23744.000000000004</v>
      </c>
      <c r="Y42" s="149">
        <f t="shared" si="12"/>
        <v>474.88000000000005</v>
      </c>
      <c r="Z42" s="152">
        <f t="shared" si="4"/>
        <v>1.6E-2</v>
      </c>
      <c r="AA42" s="79"/>
      <c r="AB42" s="73" t="str">
        <f>IF(AU42=0, IF(AND((C42+AA42)&gt;0,MAX(C42,AA42)&gt;(2022-Hypotheses!$D$3)), MAX(C42,AA42)+Hypotheses!$D$3, 2027), "")</f>
        <v/>
      </c>
      <c r="AC42" s="62"/>
      <c r="AD42" s="153"/>
      <c r="AE42" s="153"/>
      <c r="AF42" s="153"/>
      <c r="AG42" s="153"/>
      <c r="AH42" s="153"/>
      <c r="AI42" s="153"/>
      <c r="AJ42" s="64"/>
      <c r="AK42" s="150"/>
      <c r="AL42" s="156"/>
      <c r="AM42" s="150"/>
      <c r="AN42" s="150"/>
      <c r="AO42" s="156"/>
      <c r="AP42" s="150"/>
      <c r="AQ42" s="150"/>
      <c r="AR42" s="150"/>
      <c r="AS42" s="150"/>
      <c r="AT42" s="150"/>
      <c r="AU42" s="81">
        <v>2022</v>
      </c>
      <c r="AV42" s="158">
        <f>O42</f>
        <v>0</v>
      </c>
      <c r="AW42" s="158">
        <f>R42</f>
        <v>474.88000000000005</v>
      </c>
      <c r="AX42" s="158">
        <f>X42</f>
        <v>23744.000000000004</v>
      </c>
      <c r="AY42" s="158">
        <f>Y42</f>
        <v>474.88000000000005</v>
      </c>
      <c r="AZ42" s="158">
        <f>V42</f>
        <v>17.5</v>
      </c>
      <c r="BA42" s="158">
        <f>W42</f>
        <v>17.5</v>
      </c>
      <c r="BC42" s="180" t="str">
        <f t="shared" si="51"/>
        <v/>
      </c>
      <c r="BD42" s="180" t="str">
        <f>IF(AND(AA42=0, 2022-C42&gt;0, AU42=0),2022-C42,"")</f>
        <v/>
      </c>
      <c r="BE42" s="181">
        <f t="shared" si="52"/>
        <v>41</v>
      </c>
    </row>
    <row r="43" spans="1:61" ht="18.75" customHeight="1" x14ac:dyDescent="0.25">
      <c r="A43" s="42" t="s">
        <v>42</v>
      </c>
      <c r="B43" s="31" t="s">
        <v>124</v>
      </c>
      <c r="C43" s="33">
        <v>1981</v>
      </c>
      <c r="D43" s="52">
        <v>44</v>
      </c>
      <c r="E43" s="52">
        <v>10</v>
      </c>
      <c r="F43" s="32">
        <v>6800</v>
      </c>
      <c r="G43" s="32"/>
      <c r="H43" s="38" t="s">
        <v>146</v>
      </c>
      <c r="I43" s="148">
        <f>10*75</f>
        <v>750</v>
      </c>
      <c r="J43" s="148">
        <f>I43*(1.4*1.25)*0.9</f>
        <v>1181.25</v>
      </c>
      <c r="K43" s="152">
        <v>6.0000000000000001E-3</v>
      </c>
      <c r="L43" s="148"/>
      <c r="M43" s="152"/>
      <c r="N43" s="148">
        <f t="shared" si="0"/>
        <v>1181.25</v>
      </c>
      <c r="O43" s="149">
        <f t="shared" si="27"/>
        <v>17.71875</v>
      </c>
      <c r="P43" s="148">
        <f>I43*(1.4*1.5)*0.9</f>
        <v>1417.4999999999998</v>
      </c>
      <c r="Q43" s="152">
        <f t="shared" si="53"/>
        <v>1.6E-2</v>
      </c>
      <c r="R43" s="149">
        <f t="shared" si="29"/>
        <v>56.699999999999989</v>
      </c>
      <c r="S43" s="148"/>
      <c r="T43" s="148"/>
      <c r="U43" s="148"/>
      <c r="V43" s="149">
        <f>I43*(1.4+1.5)*2/1000+I43*(1.4+1.25)*2/1000</f>
        <v>8.3249999999999993</v>
      </c>
      <c r="W43" s="149">
        <f>I43*(1.4+1.5)*2/1000</f>
        <v>4.3499999999999996</v>
      </c>
      <c r="X43" s="148">
        <f t="shared" si="11"/>
        <v>4016.2499999999995</v>
      </c>
      <c r="Y43" s="149">
        <f t="shared" si="12"/>
        <v>74.418749999999989</v>
      </c>
      <c r="Z43" s="152">
        <f t="shared" si="4"/>
        <v>1.6E-2</v>
      </c>
      <c r="AA43" s="79">
        <v>2006</v>
      </c>
      <c r="AB43" s="73">
        <f>IF(AU43=0, IF(AND((C43+AA43)&gt;0,MAX(C43,AA43)&gt;(2022-Hypotheses!$D$3)), MAX(C43,AA43)+Hypotheses!$D$3, 2027), "")</f>
        <v>2046</v>
      </c>
      <c r="AC43" s="62" t="s">
        <v>170</v>
      </c>
      <c r="AD43" s="153">
        <f t="shared" ref="AD43:AE45" si="55">X43</f>
        <v>4016.2499999999995</v>
      </c>
      <c r="AE43" s="153">
        <f t="shared" si="55"/>
        <v>74.418749999999989</v>
      </c>
      <c r="AF43" s="153">
        <f>O43</f>
        <v>17.71875</v>
      </c>
      <c r="AG43" s="153">
        <f>R43</f>
        <v>56.699999999999989</v>
      </c>
      <c r="AH43" s="153">
        <f t="shared" ref="AH43:AI45" si="56">V43</f>
        <v>8.3249999999999993</v>
      </c>
      <c r="AI43" s="153">
        <f t="shared" si="56"/>
        <v>4.3499999999999996</v>
      </c>
      <c r="AJ43" s="61" t="s">
        <v>146</v>
      </c>
      <c r="AK43" s="150"/>
      <c r="AL43" s="156"/>
      <c r="AM43" s="150"/>
      <c r="AN43" s="150">
        <f>P43</f>
        <v>1417.4999999999998</v>
      </c>
      <c r="AO43" s="156">
        <f>Q43</f>
        <v>1.6E-2</v>
      </c>
      <c r="AP43" s="150">
        <f t="shared" si="39"/>
        <v>56.699999999999989</v>
      </c>
      <c r="AQ43" s="150">
        <f t="shared" si="8"/>
        <v>1417.4999999999998</v>
      </c>
      <c r="AR43" s="150">
        <f t="shared" ref="AR43:AR45" si="57">AM43+AP43</f>
        <v>56.699999999999989</v>
      </c>
      <c r="AS43" s="150">
        <f>AT43</f>
        <v>8.3249999999999993</v>
      </c>
      <c r="AT43" s="150">
        <f>V43</f>
        <v>8.3249999999999993</v>
      </c>
      <c r="AU43" s="81"/>
      <c r="AV43" s="158"/>
      <c r="AW43" s="158"/>
      <c r="AX43" s="158"/>
      <c r="AY43" s="158"/>
      <c r="AZ43" s="158"/>
      <c r="BA43" s="158"/>
      <c r="BC43" s="180">
        <f t="shared" si="51"/>
        <v>25</v>
      </c>
      <c r="BD43" s="180">
        <f>2022-AA43</f>
        <v>16</v>
      </c>
      <c r="BE43" s="181" t="str">
        <f t="shared" si="52"/>
        <v/>
      </c>
    </row>
    <row r="44" spans="1:61" ht="18.75" customHeight="1" x14ac:dyDescent="0.25">
      <c r="A44" s="42" t="s">
        <v>58</v>
      </c>
      <c r="B44" s="31" t="s">
        <v>124</v>
      </c>
      <c r="C44" s="33">
        <v>1982</v>
      </c>
      <c r="D44" s="52">
        <v>32</v>
      </c>
      <c r="E44" s="52">
        <v>6</v>
      </c>
      <c r="F44" s="32">
        <v>32400</v>
      </c>
      <c r="G44" s="32"/>
      <c r="H44" s="38" t="s">
        <v>146</v>
      </c>
      <c r="I44" s="148">
        <f>(43*8+4*8+13*8+4*8+10*14+19*14+14*14+8*8+4*8+13*8+4*8+8*8+14*14+19*14+14*14+8*8+4*8+13*8+4*8+55*8+4*8+13*8+8*4+9*8+13*14+19*14+13*14+9*8+4*8+13*8+4*8+9*8+13*14+19*14+13*14+9*8+8*4+13*8+4*8)+(19*6*4)+(43+4+4+13+4+12+4+4+13+4+19+4+13+4+4+55+4+4+13+19+4+13+19+4+13)</f>
        <v>5545</v>
      </c>
      <c r="J44" s="148"/>
      <c r="K44" s="152"/>
      <c r="L44" s="148"/>
      <c r="M44" s="152"/>
      <c r="N44" s="148"/>
      <c r="O44" s="149"/>
      <c r="P44" s="148">
        <f>(1.25*1.4)*I44</f>
        <v>9703.75</v>
      </c>
      <c r="Q44" s="152">
        <f t="shared" si="53"/>
        <v>1.6E-2</v>
      </c>
      <c r="R44" s="149">
        <f t="shared" si="29"/>
        <v>388.15</v>
      </c>
      <c r="S44" s="148"/>
      <c r="T44" s="148"/>
      <c r="U44" s="148"/>
      <c r="V44" s="149">
        <f t="shared" ref="V44:V51" si="58">W44</f>
        <v>29.388500000000001</v>
      </c>
      <c r="W44" s="149">
        <f>I44*(1.25+1.4)*2/1000</f>
        <v>29.388500000000001</v>
      </c>
      <c r="X44" s="148">
        <f t="shared" si="11"/>
        <v>19407.5</v>
      </c>
      <c r="Y44" s="149">
        <f t="shared" si="12"/>
        <v>388.15</v>
      </c>
      <c r="Z44" s="152">
        <f t="shared" si="4"/>
        <v>1.6E-2</v>
      </c>
      <c r="AA44" s="79">
        <v>2023</v>
      </c>
      <c r="AB44" s="73">
        <f>IF(AU44=0, IF(AND((C44+AA44)&gt;0,MAX(C44,AA44)&gt;(2022-Hypotheses!$D$3)), MAX(C44,AA44)+Hypotheses!$D$3, 2027), "")</f>
        <v>2063</v>
      </c>
      <c r="AC44" s="62" t="s">
        <v>170</v>
      </c>
      <c r="AD44" s="153">
        <f t="shared" si="55"/>
        <v>19407.5</v>
      </c>
      <c r="AE44" s="153">
        <f t="shared" si="55"/>
        <v>388.15</v>
      </c>
      <c r="AF44" s="153">
        <f>O44</f>
        <v>0</v>
      </c>
      <c r="AG44" s="153">
        <f>R44</f>
        <v>388.15</v>
      </c>
      <c r="AH44" s="153">
        <f t="shared" si="56"/>
        <v>29.388500000000001</v>
      </c>
      <c r="AI44" s="153">
        <f t="shared" si="56"/>
        <v>29.388500000000001</v>
      </c>
      <c r="AJ44" s="61" t="s">
        <v>146</v>
      </c>
      <c r="AK44" s="150"/>
      <c r="AL44" s="156"/>
      <c r="AM44" s="150"/>
      <c r="AN44" s="150">
        <f>628*3.3*8</f>
        <v>16579.2</v>
      </c>
      <c r="AO44" s="156">
        <f>Q44</f>
        <v>1.6E-2</v>
      </c>
      <c r="AP44" s="150">
        <f t="shared" si="39"/>
        <v>663.16800000000001</v>
      </c>
      <c r="AQ44" s="150">
        <f t="shared" si="8"/>
        <v>16579.2</v>
      </c>
      <c r="AR44" s="150">
        <f t="shared" si="57"/>
        <v>663.16800000000001</v>
      </c>
      <c r="AS44" s="150">
        <f>AT44</f>
        <v>27</v>
      </c>
      <c r="AT44" s="150">
        <v>27</v>
      </c>
      <c r="AU44" s="81"/>
      <c r="AV44" s="158"/>
      <c r="AW44" s="158"/>
      <c r="AX44" s="158"/>
      <c r="AY44" s="158"/>
      <c r="AZ44" s="158"/>
      <c r="BA44" s="158"/>
      <c r="BC44" s="180">
        <f t="shared" si="51"/>
        <v>41</v>
      </c>
      <c r="BD44" s="180"/>
      <c r="BE44" s="181" t="str">
        <f t="shared" si="52"/>
        <v/>
      </c>
      <c r="BF44" s="90" t="s">
        <v>59</v>
      </c>
    </row>
    <row r="45" spans="1:61" ht="18.75" customHeight="1" x14ac:dyDescent="0.25">
      <c r="A45" s="42" t="s">
        <v>43</v>
      </c>
      <c r="B45" s="31" t="s">
        <v>124</v>
      </c>
      <c r="C45" s="33">
        <v>1982</v>
      </c>
      <c r="D45" s="52">
        <v>30</v>
      </c>
      <c r="E45" s="52">
        <v>9</v>
      </c>
      <c r="F45" s="32">
        <v>9800</v>
      </c>
      <c r="G45" s="32"/>
      <c r="H45" s="38" t="s">
        <v>146</v>
      </c>
      <c r="I45" s="148">
        <f>((41*4+37+33+25)+(4*24+15+10)+20*4)*2</f>
        <v>920</v>
      </c>
      <c r="J45" s="148"/>
      <c r="K45" s="152"/>
      <c r="L45" s="148"/>
      <c r="M45" s="152"/>
      <c r="N45" s="148"/>
      <c r="O45" s="149"/>
      <c r="P45" s="148">
        <f>I45*(1.25*1.75)</f>
        <v>2012.5</v>
      </c>
      <c r="Q45" s="152">
        <f t="shared" si="53"/>
        <v>1.6E-2</v>
      </c>
      <c r="R45" s="149">
        <f t="shared" si="29"/>
        <v>80.5</v>
      </c>
      <c r="S45" s="148"/>
      <c r="T45" s="148"/>
      <c r="U45" s="148"/>
      <c r="V45" s="149">
        <f t="shared" si="58"/>
        <v>5.52</v>
      </c>
      <c r="W45" s="149">
        <f>I45*(1.25+1.75)*2/1000</f>
        <v>5.52</v>
      </c>
      <c r="X45" s="148">
        <f t="shared" si="11"/>
        <v>4025</v>
      </c>
      <c r="Y45" s="149">
        <f t="shared" si="12"/>
        <v>80.5</v>
      </c>
      <c r="Z45" s="152">
        <f t="shared" si="4"/>
        <v>1.6E-2</v>
      </c>
      <c r="AA45" s="79">
        <v>2022</v>
      </c>
      <c r="AB45" s="73">
        <f>IF(AU45=0, IF(AND((C45+AA45)&gt;0,MAX(C45,AA45)&gt;(2022-Hypotheses!$D$3)), MAX(C45,AA45)+Hypotheses!$D$3, 2027), "")</f>
        <v>2062</v>
      </c>
      <c r="AC45" s="62" t="s">
        <v>170</v>
      </c>
      <c r="AD45" s="153">
        <f t="shared" si="55"/>
        <v>4025</v>
      </c>
      <c r="AE45" s="153">
        <f t="shared" si="55"/>
        <v>80.5</v>
      </c>
      <c r="AF45" s="153">
        <f>O45</f>
        <v>0</v>
      </c>
      <c r="AG45" s="153">
        <f>R45</f>
        <v>80.5</v>
      </c>
      <c r="AH45" s="153">
        <f t="shared" si="56"/>
        <v>5.52</v>
      </c>
      <c r="AI45" s="153">
        <f t="shared" si="56"/>
        <v>5.52</v>
      </c>
      <c r="AJ45" s="64" t="s">
        <v>146</v>
      </c>
      <c r="AK45" s="150"/>
      <c r="AL45" s="156"/>
      <c r="AM45" s="150"/>
      <c r="AN45" s="150">
        <f>(115*2.5*2)+115*2.5+115*2.7*2+103*2*2.7+79*2.7*2+61*2.7*2+63*5*2.7+25*5*2.5+20*10*2.5</f>
        <v>4458.7000000000007</v>
      </c>
      <c r="AO45" s="156">
        <f>Q45</f>
        <v>1.6E-2</v>
      </c>
      <c r="AP45" s="150">
        <f t="shared" si="39"/>
        <v>178.34800000000004</v>
      </c>
      <c r="AQ45" s="150">
        <f t="shared" si="8"/>
        <v>4458.7000000000007</v>
      </c>
      <c r="AR45" s="150">
        <f t="shared" si="57"/>
        <v>178.34800000000004</v>
      </c>
      <c r="AS45" s="150">
        <f>AT45</f>
        <v>6.3647999999999998</v>
      </c>
      <c r="AT45" s="150">
        <f>680*(2.5+2.7)*2*0.9/1000</f>
        <v>6.3647999999999998</v>
      </c>
      <c r="AU45" s="81"/>
      <c r="AV45" s="158"/>
      <c r="AW45" s="158"/>
      <c r="AX45" s="158"/>
      <c r="AY45" s="158"/>
      <c r="AZ45" s="158"/>
      <c r="BA45" s="158"/>
      <c r="BC45" s="180">
        <f t="shared" si="51"/>
        <v>40</v>
      </c>
      <c r="BD45" s="180"/>
      <c r="BE45" s="181" t="str">
        <f t="shared" si="52"/>
        <v/>
      </c>
      <c r="BF45" s="88" t="s">
        <v>66</v>
      </c>
    </row>
    <row r="46" spans="1:61" ht="18.75" customHeight="1" x14ac:dyDescent="0.25">
      <c r="A46" s="42" t="s">
        <v>204</v>
      </c>
      <c r="B46" s="31" t="s">
        <v>124</v>
      </c>
      <c r="C46" s="33">
        <v>1982</v>
      </c>
      <c r="D46" s="52">
        <v>31</v>
      </c>
      <c r="E46" s="52">
        <v>9</v>
      </c>
      <c r="F46" s="32">
        <v>6263</v>
      </c>
      <c r="G46" s="32"/>
      <c r="H46" s="38" t="s">
        <v>146</v>
      </c>
      <c r="I46" s="148"/>
      <c r="J46" s="148"/>
      <c r="K46" s="152"/>
      <c r="L46" s="148"/>
      <c r="M46" s="152"/>
      <c r="N46" s="148"/>
      <c r="O46" s="149"/>
      <c r="P46" s="148">
        <f>(42+24)*2*0.7*(9*2.2)</f>
        <v>1829.52</v>
      </c>
      <c r="Q46" s="152">
        <f t="shared" si="53"/>
        <v>1.6E-2</v>
      </c>
      <c r="R46" s="149">
        <f t="shared" si="29"/>
        <v>73.180800000000005</v>
      </c>
      <c r="S46" s="148"/>
      <c r="T46" s="148"/>
      <c r="U46" s="148"/>
      <c r="V46" s="149">
        <f t="shared" si="58"/>
        <v>5.7833999999999994</v>
      </c>
      <c r="W46" s="149">
        <f>(42+24)*2*0.7*(9*2.7)/(2.2*1.2)*(2.2+1.2)*2/1000</f>
        <v>5.7833999999999994</v>
      </c>
      <c r="X46" s="148">
        <f t="shared" si="11"/>
        <v>3659.04</v>
      </c>
      <c r="Y46" s="149">
        <f t="shared" si="12"/>
        <v>73.180800000000005</v>
      </c>
      <c r="Z46" s="152">
        <f t="shared" si="4"/>
        <v>1.6E-2</v>
      </c>
      <c r="AA46" s="79"/>
      <c r="AB46" s="73" t="str">
        <f>IF(AU46=0, IF(AND((C46+AA46)&gt;0,MAX(C46,AA46)&gt;(2022-Hypotheses!$D$3)), MAX(C46,AA46)+Hypotheses!$D$3, 2027), "")</f>
        <v/>
      </c>
      <c r="AC46" s="62"/>
      <c r="AD46" s="153"/>
      <c r="AE46" s="153"/>
      <c r="AF46" s="153"/>
      <c r="AG46" s="153"/>
      <c r="AH46" s="153"/>
      <c r="AI46" s="153"/>
      <c r="AJ46" s="64"/>
      <c r="AK46" s="150"/>
      <c r="AL46" s="156"/>
      <c r="AM46" s="150"/>
      <c r="AN46" s="150"/>
      <c r="AO46" s="156"/>
      <c r="AP46" s="150"/>
      <c r="AQ46" s="150"/>
      <c r="AR46" s="150"/>
      <c r="AS46" s="150"/>
      <c r="AT46" s="150"/>
      <c r="AU46" s="81">
        <v>2009</v>
      </c>
      <c r="AV46" s="158">
        <f>O46</f>
        <v>0</v>
      </c>
      <c r="AW46" s="158">
        <f>R46</f>
        <v>73.180800000000005</v>
      </c>
      <c r="AX46" s="158">
        <f>X46</f>
        <v>3659.04</v>
      </c>
      <c r="AY46" s="158">
        <f>Y46</f>
        <v>73.180800000000005</v>
      </c>
      <c r="AZ46" s="158">
        <f>V46</f>
        <v>5.7833999999999994</v>
      </c>
      <c r="BA46" s="158">
        <f>W46</f>
        <v>5.7833999999999994</v>
      </c>
      <c r="BC46" s="180" t="str">
        <f t="shared" si="51"/>
        <v/>
      </c>
      <c r="BD46" s="180" t="str">
        <f>IF(AND(AA46=0, 2022-C46&gt;0, AU46=0),2022-C46,"")</f>
        <v/>
      </c>
      <c r="BE46" s="181">
        <f t="shared" si="52"/>
        <v>27</v>
      </c>
      <c r="BF46" s="88"/>
    </row>
    <row r="47" spans="1:61" ht="18.75" customHeight="1" x14ac:dyDescent="0.25">
      <c r="A47" s="42" t="s">
        <v>205</v>
      </c>
      <c r="B47" s="31" t="s">
        <v>124</v>
      </c>
      <c r="C47" s="33">
        <v>1983</v>
      </c>
      <c r="D47" s="52">
        <v>31</v>
      </c>
      <c r="E47" s="52">
        <v>8</v>
      </c>
      <c r="F47" s="32">
        <v>17500</v>
      </c>
      <c r="G47" s="32"/>
      <c r="H47" s="38" t="s">
        <v>146</v>
      </c>
      <c r="I47" s="148">
        <f>(24+19)*2*E47</f>
        <v>688</v>
      </c>
      <c r="J47" s="148"/>
      <c r="K47" s="152"/>
      <c r="L47" s="148"/>
      <c r="M47" s="152"/>
      <c r="N47" s="148"/>
      <c r="O47" s="149"/>
      <c r="P47" s="148">
        <f>I47*(1.5*2)</f>
        <v>2064</v>
      </c>
      <c r="Q47" s="152">
        <f t="shared" si="53"/>
        <v>1.6E-2</v>
      </c>
      <c r="R47" s="149">
        <f t="shared" si="29"/>
        <v>82.56</v>
      </c>
      <c r="S47" s="148"/>
      <c r="T47" s="148"/>
      <c r="U47" s="148"/>
      <c r="V47" s="149">
        <f t="shared" si="58"/>
        <v>4.8159999999999998</v>
      </c>
      <c r="W47" s="149">
        <f>I47*(1.5+2)*2/1000</f>
        <v>4.8159999999999998</v>
      </c>
      <c r="X47" s="148">
        <f t="shared" si="11"/>
        <v>4128</v>
      </c>
      <c r="Y47" s="149">
        <f t="shared" si="12"/>
        <v>82.56</v>
      </c>
      <c r="Z47" s="152">
        <f t="shared" si="4"/>
        <v>1.6E-2</v>
      </c>
      <c r="AA47" s="79"/>
      <c r="AB47" s="73" t="str">
        <f>IF(AU47=0, IF(AND((C47+AA47)&gt;0,MAX(C47,AA47)&gt;(2022-Hypotheses!$D$3)), MAX(C47,AA47)+Hypotheses!$D$3, 2027), "")</f>
        <v/>
      </c>
      <c r="AC47" s="62"/>
      <c r="AD47" s="153"/>
      <c r="AE47" s="153"/>
      <c r="AF47" s="153"/>
      <c r="AG47" s="153"/>
      <c r="AH47" s="153"/>
      <c r="AI47" s="153"/>
      <c r="AJ47" s="64"/>
      <c r="AK47" s="150"/>
      <c r="AL47" s="156"/>
      <c r="AM47" s="150"/>
      <c r="AN47" s="150"/>
      <c r="AO47" s="156"/>
      <c r="AP47" s="150"/>
      <c r="AQ47" s="150"/>
      <c r="AR47" s="150"/>
      <c r="AS47" s="150"/>
      <c r="AT47" s="150"/>
      <c r="AU47" s="81">
        <v>2015</v>
      </c>
      <c r="AV47" s="158">
        <f>O47</f>
        <v>0</v>
      </c>
      <c r="AW47" s="158">
        <f>R47</f>
        <v>82.56</v>
      </c>
      <c r="AX47" s="158">
        <f>X47</f>
        <v>4128</v>
      </c>
      <c r="AY47" s="158">
        <f>Y47</f>
        <v>82.56</v>
      </c>
      <c r="AZ47" s="158">
        <f>V47</f>
        <v>4.8159999999999998</v>
      </c>
      <c r="BA47" s="158">
        <f>W47</f>
        <v>4.8159999999999998</v>
      </c>
      <c r="BC47" s="180" t="str">
        <f t="shared" si="51"/>
        <v/>
      </c>
      <c r="BD47" s="180" t="str">
        <f>IF(AND(AA47=0, 2022-C47&gt;0, AU47=0),2022-C47,"")</f>
        <v/>
      </c>
      <c r="BE47" s="181">
        <f t="shared" si="52"/>
        <v>32</v>
      </c>
      <c r="BF47" s="90" t="s">
        <v>101</v>
      </c>
    </row>
    <row r="48" spans="1:61" s="49" customFormat="1" ht="18.75" customHeight="1" x14ac:dyDescent="0.25">
      <c r="A48" s="43" t="s">
        <v>206</v>
      </c>
      <c r="B48" s="31" t="s">
        <v>124</v>
      </c>
      <c r="C48" s="33">
        <v>1983</v>
      </c>
      <c r="D48" s="52">
        <v>94</v>
      </c>
      <c r="E48" s="52">
        <v>28</v>
      </c>
      <c r="F48" s="32">
        <v>64000</v>
      </c>
      <c r="G48" s="32"/>
      <c r="H48" s="38" t="s">
        <v>146</v>
      </c>
      <c r="I48" s="148">
        <f>(17*49+26*60)</f>
        <v>2393</v>
      </c>
      <c r="J48" s="148"/>
      <c r="K48" s="152"/>
      <c r="L48" s="148"/>
      <c r="M48" s="152"/>
      <c r="N48" s="148"/>
      <c r="O48" s="149"/>
      <c r="P48" s="148">
        <f>I48*(2*1.8)*0.9</f>
        <v>7753.3200000000015</v>
      </c>
      <c r="Q48" s="152">
        <v>1.7999999999999999E-2</v>
      </c>
      <c r="R48" s="149">
        <f t="shared" si="29"/>
        <v>348.89940000000001</v>
      </c>
      <c r="S48" s="148"/>
      <c r="T48" s="148"/>
      <c r="U48" s="148"/>
      <c r="V48" s="149">
        <f t="shared" si="58"/>
        <v>16.368119999999998</v>
      </c>
      <c r="W48" s="149">
        <f>I48*(2+1.8)*2*0.9/1000</f>
        <v>16.368119999999998</v>
      </c>
      <c r="X48" s="148">
        <f t="shared" si="11"/>
        <v>15506.640000000003</v>
      </c>
      <c r="Y48" s="149">
        <f t="shared" si="12"/>
        <v>348.89940000000001</v>
      </c>
      <c r="Z48" s="152">
        <f t="shared" si="4"/>
        <v>1.7999999999999999E-2</v>
      </c>
      <c r="AA48" s="79">
        <v>2021</v>
      </c>
      <c r="AB48" s="73">
        <f>IF(AU48=0, IF(AND((C48+AA48)&gt;0,MAX(C48,AA48)&gt;(2022-Hypotheses!$D$3)), MAX(C48,AA48)+Hypotheses!$D$3, 2027), "")</f>
        <v>2061</v>
      </c>
      <c r="AC48" s="62" t="s">
        <v>170</v>
      </c>
      <c r="AD48" s="153">
        <f>X48</f>
        <v>15506.640000000003</v>
      </c>
      <c r="AE48" s="153">
        <f>Y48</f>
        <v>348.89940000000001</v>
      </c>
      <c r="AF48" s="153">
        <f>O48</f>
        <v>0</v>
      </c>
      <c r="AG48" s="153">
        <f>R48</f>
        <v>348.89940000000001</v>
      </c>
      <c r="AH48" s="153">
        <f>V48</f>
        <v>16.368119999999998</v>
      </c>
      <c r="AI48" s="153">
        <f>W48</f>
        <v>16.368119999999998</v>
      </c>
      <c r="AJ48" s="61" t="s">
        <v>146</v>
      </c>
      <c r="AK48" s="150">
        <f>(17*49+26*60-10*19)*(1.8*1.8)</f>
        <v>7137.72</v>
      </c>
      <c r="AL48" s="156">
        <v>0.02</v>
      </c>
      <c r="AM48" s="150">
        <f t="shared" si="25"/>
        <v>356.88600000000002</v>
      </c>
      <c r="AN48" s="150">
        <v>12000</v>
      </c>
      <c r="AO48" s="156">
        <f>Q48</f>
        <v>1.7999999999999999E-2</v>
      </c>
      <c r="AP48" s="150">
        <f t="shared" ref="AP48:AP49" si="59">AN48*AO48*2.5</f>
        <v>539.99999999999989</v>
      </c>
      <c r="AQ48" s="150">
        <f t="shared" si="8"/>
        <v>19137.72</v>
      </c>
      <c r="AR48" s="150">
        <f>AM48+AP48</f>
        <v>896.88599999999997</v>
      </c>
      <c r="AS48" s="150">
        <f>AT48</f>
        <v>14.099200000000002</v>
      </c>
      <c r="AT48" s="150">
        <f>(17*49+26*60-10*19)*(1.6+1.6)*2/1000</f>
        <v>14.099200000000002</v>
      </c>
      <c r="AU48" s="81"/>
      <c r="AV48" s="158"/>
      <c r="AW48" s="158"/>
      <c r="AX48" s="158"/>
      <c r="AY48" s="158"/>
      <c r="AZ48" s="158"/>
      <c r="BA48" s="158"/>
      <c r="BB48" s="98"/>
      <c r="BC48" s="180">
        <f t="shared" si="51"/>
        <v>38</v>
      </c>
      <c r="BD48" s="180">
        <f>2022-AA48</f>
        <v>1</v>
      </c>
      <c r="BE48" s="181" t="str">
        <f t="shared" si="52"/>
        <v/>
      </c>
      <c r="BF48" s="88" t="s">
        <v>92</v>
      </c>
      <c r="BG48" s="50"/>
      <c r="BH48" s="47"/>
      <c r="BI48" s="47"/>
    </row>
    <row r="49" spans="1:61" ht="18.75" customHeight="1" x14ac:dyDescent="0.25">
      <c r="A49" s="42" t="s">
        <v>68</v>
      </c>
      <c r="B49" s="31" t="s">
        <v>124</v>
      </c>
      <c r="C49" s="33">
        <v>1983</v>
      </c>
      <c r="D49" s="52">
        <v>54</v>
      </c>
      <c r="E49" s="52">
        <v>17</v>
      </c>
      <c r="F49" s="32">
        <v>26800</v>
      </c>
      <c r="G49" s="32"/>
      <c r="H49" s="38" t="s">
        <v>146</v>
      </c>
      <c r="I49" s="148"/>
      <c r="J49" s="148"/>
      <c r="K49" s="152"/>
      <c r="L49" s="148"/>
      <c r="M49" s="152"/>
      <c r="N49" s="148"/>
      <c r="O49" s="149"/>
      <c r="P49" s="148">
        <f>2.4*54*10*6*0.9</f>
        <v>6998.4000000000005</v>
      </c>
      <c r="Q49" s="152">
        <f t="shared" si="53"/>
        <v>1.6E-2</v>
      </c>
      <c r="R49" s="149">
        <f t="shared" si="29"/>
        <v>279.93600000000004</v>
      </c>
      <c r="S49" s="148"/>
      <c r="T49" s="148"/>
      <c r="U49" s="148"/>
      <c r="V49" s="149">
        <f t="shared" si="58"/>
        <v>19.897411764705883</v>
      </c>
      <c r="W49" s="149">
        <f>2.4*54*10*6/(1.2*1.7)*(1.2+1.7)*2*0.9/1000</f>
        <v>19.897411764705883</v>
      </c>
      <c r="X49" s="148">
        <f t="shared" si="11"/>
        <v>13996.800000000001</v>
      </c>
      <c r="Y49" s="149">
        <f t="shared" si="12"/>
        <v>279.93600000000004</v>
      </c>
      <c r="Z49" s="152">
        <f t="shared" si="4"/>
        <v>1.6E-2</v>
      </c>
      <c r="AA49" s="79"/>
      <c r="AB49" s="73">
        <f>IF(AU49=0, IF(AND((C49+AA49)&gt;0,MAX(C49,AA49)&gt;(2022-Hypotheses!$D$3)), MAX(C49,AA49)+Hypotheses!$D$3, 2027), "")</f>
        <v>2023</v>
      </c>
      <c r="AC49" s="62"/>
      <c r="AD49" s="153">
        <f>X49</f>
        <v>13996.800000000001</v>
      </c>
      <c r="AE49" s="153">
        <f>Y49</f>
        <v>279.93600000000004</v>
      </c>
      <c r="AF49" s="153">
        <f>O49</f>
        <v>0</v>
      </c>
      <c r="AG49" s="153">
        <f>R49</f>
        <v>279.93600000000004</v>
      </c>
      <c r="AH49" s="153">
        <f>V49</f>
        <v>19.897411764705883</v>
      </c>
      <c r="AI49" s="153">
        <f>W49</f>
        <v>19.897411764705883</v>
      </c>
      <c r="AJ49" s="79" t="s">
        <v>146</v>
      </c>
      <c r="AK49" s="150"/>
      <c r="AL49" s="156"/>
      <c r="AM49" s="150"/>
      <c r="AN49" s="150">
        <f>P49</f>
        <v>6998.4000000000005</v>
      </c>
      <c r="AO49" s="156">
        <f>Q49</f>
        <v>1.6E-2</v>
      </c>
      <c r="AP49" s="150">
        <f t="shared" si="59"/>
        <v>279.93600000000004</v>
      </c>
      <c r="AQ49" s="150">
        <f t="shared" si="8"/>
        <v>6998.4000000000005</v>
      </c>
      <c r="AR49" s="150">
        <f t="shared" ref="AR49" si="60">AM49+AP49</f>
        <v>279.93600000000004</v>
      </c>
      <c r="AS49" s="150">
        <f>V49</f>
        <v>19.897411764705883</v>
      </c>
      <c r="AT49" s="150">
        <f>W49</f>
        <v>19.897411764705883</v>
      </c>
      <c r="AU49" s="81"/>
      <c r="AV49" s="158"/>
      <c r="AW49" s="158"/>
      <c r="AX49" s="158"/>
      <c r="AY49" s="158"/>
      <c r="AZ49" s="158"/>
      <c r="BA49" s="158"/>
      <c r="BC49" s="180" t="str">
        <f t="shared" si="51"/>
        <v/>
      </c>
      <c r="BD49" s="180">
        <f>IF(AND(AA49=0, 2022-C49&gt;0, AU49=0),2022-C49,"")</f>
        <v>39</v>
      </c>
      <c r="BE49" s="181" t="str">
        <f t="shared" si="52"/>
        <v/>
      </c>
      <c r="BF49" s="90" t="s">
        <v>67</v>
      </c>
    </row>
    <row r="50" spans="1:61" ht="18.75" customHeight="1" x14ac:dyDescent="0.25">
      <c r="A50" s="42" t="s">
        <v>116</v>
      </c>
      <c r="B50" s="31" t="s">
        <v>124</v>
      </c>
      <c r="C50" s="33">
        <v>1984</v>
      </c>
      <c r="D50" s="52">
        <v>34</v>
      </c>
      <c r="E50" s="52">
        <v>8</v>
      </c>
      <c r="F50" s="32">
        <v>8000</v>
      </c>
      <c r="G50" s="32"/>
      <c r="H50" s="38" t="s">
        <v>146</v>
      </c>
      <c r="I50" s="148"/>
      <c r="J50" s="148"/>
      <c r="K50" s="152"/>
      <c r="L50" s="148"/>
      <c r="M50" s="152"/>
      <c r="N50" s="148"/>
      <c r="O50" s="149"/>
      <c r="P50" s="148">
        <v>2000</v>
      </c>
      <c r="Q50" s="152">
        <f t="shared" si="53"/>
        <v>1.6E-2</v>
      </c>
      <c r="R50" s="149">
        <f t="shared" si="29"/>
        <v>80</v>
      </c>
      <c r="S50" s="148"/>
      <c r="T50" s="148"/>
      <c r="U50" s="148"/>
      <c r="V50" s="149">
        <f t="shared" si="58"/>
        <v>5.7142857142857144</v>
      </c>
      <c r="W50" s="149">
        <f>P50/(1.4*1.4)*(1.4*4)/1000</f>
        <v>5.7142857142857144</v>
      </c>
      <c r="X50" s="148">
        <f t="shared" si="11"/>
        <v>4000</v>
      </c>
      <c r="Y50" s="149">
        <f t="shared" si="12"/>
        <v>80</v>
      </c>
      <c r="Z50" s="152">
        <f t="shared" si="4"/>
        <v>1.6E-2</v>
      </c>
      <c r="AA50" s="79"/>
      <c r="AB50" s="73" t="str">
        <f>IF(AU50=0, IF(AND((C50+AA50)&gt;0,MAX(C50,AA50)&gt;(2022-Hypotheses!$D$3)), MAX(C50,AA50)+Hypotheses!$D$3, 2027), "")</f>
        <v/>
      </c>
      <c r="AC50" s="62"/>
      <c r="AD50" s="153"/>
      <c r="AE50" s="153"/>
      <c r="AF50" s="153"/>
      <c r="AG50" s="153"/>
      <c r="AH50" s="153"/>
      <c r="AI50" s="153"/>
      <c r="AJ50" s="64"/>
      <c r="AK50" s="150"/>
      <c r="AL50" s="156"/>
      <c r="AM50" s="150"/>
      <c r="AN50" s="150"/>
      <c r="AO50" s="156"/>
      <c r="AP50" s="150"/>
      <c r="AQ50" s="150"/>
      <c r="AR50" s="150"/>
      <c r="AS50" s="150"/>
      <c r="AT50" s="150"/>
      <c r="AU50" s="81">
        <v>2011</v>
      </c>
      <c r="AV50" s="158">
        <f>O50</f>
        <v>0</v>
      </c>
      <c r="AW50" s="158">
        <f>R50</f>
        <v>80</v>
      </c>
      <c r="AX50" s="158">
        <f>X50</f>
        <v>4000</v>
      </c>
      <c r="AY50" s="158">
        <f>Y50</f>
        <v>80</v>
      </c>
      <c r="AZ50" s="158">
        <f>V50</f>
        <v>5.7142857142857144</v>
      </c>
      <c r="BA50" s="158">
        <f>W50</f>
        <v>5.7142857142857144</v>
      </c>
      <c r="BC50" s="180" t="str">
        <f t="shared" si="51"/>
        <v/>
      </c>
      <c r="BD50" s="180" t="str">
        <f>IF(AND(AA50=0, 2022-C50&gt;0, AU50=0),2022-C50,"")</f>
        <v/>
      </c>
      <c r="BE50" s="181">
        <f t="shared" si="52"/>
        <v>27</v>
      </c>
      <c r="BF50" s="90" t="s">
        <v>117</v>
      </c>
    </row>
    <row r="51" spans="1:61" ht="18.75" customHeight="1" x14ac:dyDescent="0.25">
      <c r="A51" s="42" t="s">
        <v>207</v>
      </c>
      <c r="B51" s="31" t="s">
        <v>124</v>
      </c>
      <c r="C51" s="33">
        <v>1984</v>
      </c>
      <c r="D51" s="52">
        <v>85</v>
      </c>
      <c r="E51" s="52">
        <v>23</v>
      </c>
      <c r="F51" s="32">
        <v>38000</v>
      </c>
      <c r="G51" s="32"/>
      <c r="H51" s="38" t="s">
        <v>146</v>
      </c>
      <c r="I51" s="148"/>
      <c r="J51" s="148">
        <v>6400</v>
      </c>
      <c r="K51" s="152">
        <v>6.0000000000000001E-3</v>
      </c>
      <c r="L51" s="148"/>
      <c r="M51" s="152"/>
      <c r="N51" s="148">
        <f>L51+J51</f>
        <v>6400</v>
      </c>
      <c r="O51" s="149">
        <f>(J51*K51+L51*M51)*2.5</f>
        <v>96</v>
      </c>
      <c r="P51" s="148">
        <f>9500</f>
        <v>9500</v>
      </c>
      <c r="Q51" s="152">
        <f t="shared" si="53"/>
        <v>1.6E-2</v>
      </c>
      <c r="R51" s="149">
        <f t="shared" si="29"/>
        <v>380</v>
      </c>
      <c r="S51" s="148"/>
      <c r="T51" s="148"/>
      <c r="U51" s="148"/>
      <c r="V51" s="149">
        <f t="shared" si="58"/>
        <v>22</v>
      </c>
      <c r="W51" s="149">
        <v>22</v>
      </c>
      <c r="X51" s="148">
        <f t="shared" si="11"/>
        <v>25400</v>
      </c>
      <c r="Y51" s="149">
        <f t="shared" si="12"/>
        <v>476</v>
      </c>
      <c r="Z51" s="152">
        <f t="shared" si="4"/>
        <v>1.6E-2</v>
      </c>
      <c r="AA51" s="79">
        <v>2015</v>
      </c>
      <c r="AB51" s="73">
        <f>IF(AU51=0, IF(AND((C51+AA51)&gt;0,MAX(C51,AA51)&gt;(2022-Hypotheses!$D$3)), MAX(C51,AA51)+Hypotheses!$D$3, 2027), "")</f>
        <v>2055</v>
      </c>
      <c r="AC51" s="62" t="s">
        <v>170</v>
      </c>
      <c r="AD51" s="153">
        <f t="shared" ref="AD51:AE57" si="61">X51</f>
        <v>25400</v>
      </c>
      <c r="AE51" s="153">
        <f t="shared" si="61"/>
        <v>476</v>
      </c>
      <c r="AF51" s="153">
        <f t="shared" ref="AF51:AF57" si="62">O51</f>
        <v>96</v>
      </c>
      <c r="AG51" s="153">
        <f t="shared" ref="AG51:AG57" si="63">R51</f>
        <v>380</v>
      </c>
      <c r="AH51" s="153">
        <f t="shared" ref="AH51:AI57" si="64">V51</f>
        <v>22</v>
      </c>
      <c r="AI51" s="153">
        <f t="shared" si="64"/>
        <v>22</v>
      </c>
      <c r="AJ51" s="64" t="s">
        <v>146</v>
      </c>
      <c r="AK51" s="150"/>
      <c r="AL51" s="156"/>
      <c r="AM51" s="150"/>
      <c r="AN51" s="150">
        <f t="shared" ref="AN51:AO53" si="65">P51</f>
        <v>9500</v>
      </c>
      <c r="AO51" s="156">
        <f t="shared" si="65"/>
        <v>1.6E-2</v>
      </c>
      <c r="AP51" s="150">
        <f t="shared" ref="AP51:AP53" si="66">AN51*AO51*2.5</f>
        <v>380</v>
      </c>
      <c r="AQ51" s="150">
        <f t="shared" si="8"/>
        <v>9500</v>
      </c>
      <c r="AR51" s="150">
        <f>AM51+AP51</f>
        <v>380</v>
      </c>
      <c r="AS51" s="150">
        <f>AT51</f>
        <v>22</v>
      </c>
      <c r="AT51" s="150">
        <f>V51</f>
        <v>22</v>
      </c>
      <c r="AU51" s="81"/>
      <c r="AV51" s="158"/>
      <c r="AW51" s="158"/>
      <c r="AX51" s="158"/>
      <c r="AY51" s="158"/>
      <c r="AZ51" s="158"/>
      <c r="BA51" s="158"/>
      <c r="BC51" s="180">
        <f t="shared" si="51"/>
        <v>31</v>
      </c>
      <c r="BD51" s="180">
        <f>2022-AA51</f>
        <v>7</v>
      </c>
      <c r="BE51" s="181" t="str">
        <f t="shared" si="52"/>
        <v/>
      </c>
      <c r="BF51" s="88" t="s">
        <v>69</v>
      </c>
    </row>
    <row r="52" spans="1:61" ht="18.75" customHeight="1" x14ac:dyDescent="0.25">
      <c r="A52" s="42" t="s">
        <v>44</v>
      </c>
      <c r="B52" s="34" t="s">
        <v>125</v>
      </c>
      <c r="C52" s="33">
        <v>1984</v>
      </c>
      <c r="D52" s="52">
        <v>44</v>
      </c>
      <c r="E52" s="52">
        <v>16</v>
      </c>
      <c r="F52" s="32"/>
      <c r="G52" s="32">
        <v>13000</v>
      </c>
      <c r="H52" s="38" t="s">
        <v>146</v>
      </c>
      <c r="I52" s="148"/>
      <c r="J52" s="148"/>
      <c r="K52" s="152"/>
      <c r="L52" s="148"/>
      <c r="M52" s="152"/>
      <c r="N52" s="148"/>
      <c r="O52" s="149"/>
      <c r="P52" s="148">
        <f>84*9</f>
        <v>756</v>
      </c>
      <c r="Q52" s="152">
        <v>1.7999999999999999E-2</v>
      </c>
      <c r="R52" s="149">
        <f t="shared" si="29"/>
        <v>34.019999999999996</v>
      </c>
      <c r="S52" s="148"/>
      <c r="T52" s="148"/>
      <c r="U52" s="148"/>
      <c r="V52" s="149">
        <f>84*(4*1+4*1)*9/1000</f>
        <v>6.048</v>
      </c>
      <c r="W52" s="149">
        <f>V52</f>
        <v>6.048</v>
      </c>
      <c r="X52" s="148">
        <f t="shared" si="11"/>
        <v>1512</v>
      </c>
      <c r="Y52" s="149">
        <f t="shared" si="12"/>
        <v>34.019999999999996</v>
      </c>
      <c r="Z52" s="152"/>
      <c r="AA52" s="79"/>
      <c r="AB52" s="73">
        <f>IF(AU52=0, IF(AND((C52+AA52)&gt;0,MAX(C52,AA52)&gt;(2022-Hypotheses!$D$3)), MAX(C52,AA52)+Hypotheses!$D$3, 2027), "")</f>
        <v>2024</v>
      </c>
      <c r="AC52" s="62"/>
      <c r="AD52" s="153">
        <f t="shared" si="61"/>
        <v>1512</v>
      </c>
      <c r="AE52" s="153">
        <f t="shared" si="61"/>
        <v>34.019999999999996</v>
      </c>
      <c r="AF52" s="153">
        <f t="shared" si="62"/>
        <v>0</v>
      </c>
      <c r="AG52" s="153">
        <f t="shared" si="63"/>
        <v>34.019999999999996</v>
      </c>
      <c r="AH52" s="153">
        <f t="shared" si="64"/>
        <v>6.048</v>
      </c>
      <c r="AI52" s="153">
        <f t="shared" si="64"/>
        <v>6.048</v>
      </c>
      <c r="AJ52" s="79" t="s">
        <v>146</v>
      </c>
      <c r="AK52" s="150"/>
      <c r="AL52" s="156"/>
      <c r="AM52" s="150"/>
      <c r="AN52" s="150">
        <f t="shared" si="65"/>
        <v>756</v>
      </c>
      <c r="AO52" s="156">
        <f t="shared" si="65"/>
        <v>1.7999999999999999E-2</v>
      </c>
      <c r="AP52" s="150">
        <f t="shared" si="66"/>
        <v>34.019999999999996</v>
      </c>
      <c r="AQ52" s="150">
        <f t="shared" si="8"/>
        <v>756</v>
      </c>
      <c r="AR52" s="150">
        <f t="shared" ref="AR52:AR53" si="67">AM52+AP52</f>
        <v>34.019999999999996</v>
      </c>
      <c r="AS52" s="150">
        <f>V52</f>
        <v>6.048</v>
      </c>
      <c r="AT52" s="150">
        <f>W52</f>
        <v>6.048</v>
      </c>
      <c r="AU52" s="81"/>
      <c r="AV52" s="158"/>
      <c r="AW52" s="158"/>
      <c r="AX52" s="158"/>
      <c r="AY52" s="158"/>
      <c r="AZ52" s="158"/>
      <c r="BA52" s="158"/>
      <c r="BC52" s="180" t="str">
        <f t="shared" si="51"/>
        <v/>
      </c>
      <c r="BD52" s="180">
        <f>IF(AND(AA52=0, 2022-C52&gt;0, AU52=0),2022-C52,"")</f>
        <v>38</v>
      </c>
      <c r="BE52" s="181" t="str">
        <f t="shared" si="52"/>
        <v/>
      </c>
    </row>
    <row r="53" spans="1:61" ht="18.75" customHeight="1" x14ac:dyDescent="0.25">
      <c r="A53" s="42" t="s">
        <v>45</v>
      </c>
      <c r="B53" s="34" t="s">
        <v>125</v>
      </c>
      <c r="C53" s="33">
        <v>1984</v>
      </c>
      <c r="D53" s="52">
        <v>55</v>
      </c>
      <c r="E53" s="52">
        <v>21</v>
      </c>
      <c r="F53" s="32"/>
      <c r="G53" s="32">
        <f>500*70</f>
        <v>35000</v>
      </c>
      <c r="H53" s="38" t="s">
        <v>146</v>
      </c>
      <c r="I53" s="148"/>
      <c r="J53" s="148"/>
      <c r="K53" s="152"/>
      <c r="L53" s="148"/>
      <c r="M53" s="152"/>
      <c r="N53" s="148"/>
      <c r="O53" s="149"/>
      <c r="P53" s="148">
        <f>170*17*2.7</f>
        <v>7803.0000000000009</v>
      </c>
      <c r="Q53" s="152">
        <v>1.7999999999999999E-2</v>
      </c>
      <c r="R53" s="149">
        <f t="shared" si="29"/>
        <v>351.13499999999999</v>
      </c>
      <c r="S53" s="148"/>
      <c r="T53" s="148"/>
      <c r="U53" s="148"/>
      <c r="V53" s="149">
        <v>8</v>
      </c>
      <c r="W53" s="149">
        <f>V53</f>
        <v>8</v>
      </c>
      <c r="X53" s="148">
        <f t="shared" si="11"/>
        <v>15606.000000000002</v>
      </c>
      <c r="Y53" s="149">
        <f t="shared" si="12"/>
        <v>351.13499999999999</v>
      </c>
      <c r="Z53" s="152"/>
      <c r="AA53" s="79"/>
      <c r="AB53" s="73">
        <f>IF(AU53=0, IF(AND((C53+AA53)&gt;0,MAX(C53,AA53)&gt;(2022-Hypotheses!$D$3)), MAX(C53,AA53)+Hypotheses!$D$3, 2027), "")</f>
        <v>2024</v>
      </c>
      <c r="AC53" s="62"/>
      <c r="AD53" s="153">
        <f t="shared" si="61"/>
        <v>15606.000000000002</v>
      </c>
      <c r="AE53" s="153">
        <f t="shared" si="61"/>
        <v>351.13499999999999</v>
      </c>
      <c r="AF53" s="153">
        <f t="shared" si="62"/>
        <v>0</v>
      </c>
      <c r="AG53" s="153">
        <f t="shared" si="63"/>
        <v>351.13499999999999</v>
      </c>
      <c r="AH53" s="153">
        <f t="shared" si="64"/>
        <v>8</v>
      </c>
      <c r="AI53" s="153">
        <f t="shared" si="64"/>
        <v>8</v>
      </c>
      <c r="AJ53" s="79" t="s">
        <v>146</v>
      </c>
      <c r="AK53" s="150"/>
      <c r="AL53" s="156"/>
      <c r="AM53" s="150"/>
      <c r="AN53" s="150">
        <f t="shared" si="65"/>
        <v>7803.0000000000009</v>
      </c>
      <c r="AO53" s="156">
        <f t="shared" si="65"/>
        <v>1.7999999999999999E-2</v>
      </c>
      <c r="AP53" s="150">
        <f t="shared" si="66"/>
        <v>351.13499999999999</v>
      </c>
      <c r="AQ53" s="150">
        <f t="shared" si="8"/>
        <v>7803.0000000000009</v>
      </c>
      <c r="AR53" s="150">
        <f t="shared" si="67"/>
        <v>351.13499999999999</v>
      </c>
      <c r="AS53" s="150">
        <f>V53</f>
        <v>8</v>
      </c>
      <c r="AT53" s="150">
        <f>W53</f>
        <v>8</v>
      </c>
      <c r="AU53" s="81"/>
      <c r="AV53" s="158"/>
      <c r="AW53" s="158"/>
      <c r="AX53" s="158"/>
      <c r="AY53" s="158"/>
      <c r="AZ53" s="158"/>
      <c r="BA53" s="158"/>
      <c r="BC53" s="180" t="str">
        <f t="shared" si="51"/>
        <v/>
      </c>
      <c r="BD53" s="180">
        <f>IF(AND(AA53=0, 2022-C53&gt;0, AU53=0),2022-C53,"")</f>
        <v>38</v>
      </c>
      <c r="BE53" s="181" t="str">
        <f t="shared" si="52"/>
        <v/>
      </c>
    </row>
    <row r="54" spans="1:61" s="49" customFormat="1" ht="18.75" customHeight="1" x14ac:dyDescent="0.25">
      <c r="A54" s="43" t="s">
        <v>70</v>
      </c>
      <c r="B54" s="31" t="s">
        <v>124</v>
      </c>
      <c r="C54" s="33">
        <v>1985</v>
      </c>
      <c r="D54" s="52">
        <v>36</v>
      </c>
      <c r="E54" s="52">
        <v>10</v>
      </c>
      <c r="F54" s="32">
        <v>8160</v>
      </c>
      <c r="G54" s="32"/>
      <c r="H54" s="38" t="s">
        <v>146</v>
      </c>
      <c r="I54" s="148">
        <f>122*10</f>
        <v>1220</v>
      </c>
      <c r="J54" s="148"/>
      <c r="K54" s="152"/>
      <c r="L54" s="148"/>
      <c r="M54" s="152"/>
      <c r="N54" s="148"/>
      <c r="O54" s="149"/>
      <c r="P54" s="148">
        <f>1.7*1.2*I54*0.9</f>
        <v>2239.92</v>
      </c>
      <c r="Q54" s="152">
        <v>1.7999999999999999E-2</v>
      </c>
      <c r="R54" s="149">
        <f t="shared" si="29"/>
        <v>100.79639999999999</v>
      </c>
      <c r="S54" s="148"/>
      <c r="T54" s="148"/>
      <c r="U54" s="148"/>
      <c r="V54" s="149"/>
      <c r="W54" s="149">
        <f>I54*(1.7+1.2)*2*0.9/1000</f>
        <v>6.3684000000000003</v>
      </c>
      <c r="X54" s="148">
        <f t="shared" si="11"/>
        <v>4479.84</v>
      </c>
      <c r="Y54" s="149">
        <f t="shared" si="12"/>
        <v>100.79639999999999</v>
      </c>
      <c r="Z54" s="152">
        <f t="shared" si="4"/>
        <v>1.7999999999999999E-2</v>
      </c>
      <c r="AA54" s="79">
        <v>2021</v>
      </c>
      <c r="AB54" s="73">
        <f>IF(AU54=0, IF(AND((C54+AA54)&gt;0,MAX(C54,AA54)&gt;(2022-Hypotheses!$D$3)), MAX(C54,AA54)+Hypotheses!$D$3, 2027), "")</f>
        <v>2061</v>
      </c>
      <c r="AC54" s="62" t="s">
        <v>170</v>
      </c>
      <c r="AD54" s="153">
        <f t="shared" si="61"/>
        <v>4479.84</v>
      </c>
      <c r="AE54" s="153">
        <f t="shared" si="61"/>
        <v>100.79639999999999</v>
      </c>
      <c r="AF54" s="153">
        <f t="shared" si="62"/>
        <v>0</v>
      </c>
      <c r="AG54" s="153">
        <f t="shared" si="63"/>
        <v>100.79639999999999</v>
      </c>
      <c r="AH54" s="153">
        <f t="shared" si="64"/>
        <v>0</v>
      </c>
      <c r="AI54" s="153">
        <f t="shared" si="64"/>
        <v>6.3684000000000003</v>
      </c>
      <c r="AJ54" s="64" t="s">
        <v>238</v>
      </c>
      <c r="AK54" s="150">
        <f>(6*150+3*122)*3.7*0.9*0.7</f>
        <v>2951.0459999999998</v>
      </c>
      <c r="AL54" s="156">
        <v>0.02</v>
      </c>
      <c r="AM54" s="150">
        <f t="shared" ref="AM54:AM56" si="68">AK54*AL54*2.5</f>
        <v>147.5523</v>
      </c>
      <c r="AN54" s="150">
        <f>(6*150+3*122)*2.5*0.8+2*145*3*0.9</f>
        <v>3315</v>
      </c>
      <c r="AO54" s="156">
        <f>Q54</f>
        <v>1.7999999999999999E-2</v>
      </c>
      <c r="AP54" s="150">
        <f t="shared" ref="AP54:AP56" si="69">AN54*AO54*2.5</f>
        <v>149.17499999999998</v>
      </c>
      <c r="AQ54" s="150">
        <f t="shared" si="8"/>
        <v>6266.0460000000003</v>
      </c>
      <c r="AR54" s="150">
        <f t="shared" ref="AR54:AR56" si="70">AM54+AP54</f>
        <v>296.72730000000001</v>
      </c>
      <c r="AS54" s="150">
        <f>AT54+AT54*0.7</f>
        <v>9.4832800000000006</v>
      </c>
      <c r="AT54" s="150">
        <f>((6*150+3*122)*2.5/(2.5*2)*(2.5+2)*2+2*145*3/(3*2.5)*(3+2.5)*2)*0.8/1000</f>
        <v>5.5784000000000002</v>
      </c>
      <c r="AU54" s="81"/>
      <c r="AV54" s="158"/>
      <c r="AW54" s="158"/>
      <c r="AX54" s="158"/>
      <c r="AY54" s="158"/>
      <c r="AZ54" s="158"/>
      <c r="BA54" s="158"/>
      <c r="BB54" s="98"/>
      <c r="BC54" s="180">
        <f t="shared" si="51"/>
        <v>36</v>
      </c>
      <c r="BD54" s="180">
        <f>2022-AA54</f>
        <v>1</v>
      </c>
      <c r="BE54" s="181" t="str">
        <f t="shared" si="52"/>
        <v/>
      </c>
      <c r="BF54" s="90" t="s">
        <v>86</v>
      </c>
      <c r="BG54" s="50"/>
      <c r="BH54" s="47"/>
      <c r="BI54" s="47"/>
    </row>
    <row r="55" spans="1:61" ht="18.75" customHeight="1" x14ac:dyDescent="0.25">
      <c r="A55" s="42" t="s">
        <v>46</v>
      </c>
      <c r="B55" s="31" t="s">
        <v>124</v>
      </c>
      <c r="C55" s="33">
        <v>1985</v>
      </c>
      <c r="D55" s="52">
        <v>36</v>
      </c>
      <c r="E55" s="52">
        <v>10</v>
      </c>
      <c r="F55" s="32">
        <v>12000</v>
      </c>
      <c r="G55" s="32"/>
      <c r="H55" s="38" t="s">
        <v>146</v>
      </c>
      <c r="I55" s="148"/>
      <c r="J55" s="148"/>
      <c r="K55" s="152"/>
      <c r="L55" s="148"/>
      <c r="M55" s="152"/>
      <c r="N55" s="148"/>
      <c r="O55" s="149"/>
      <c r="P55" s="148">
        <f>1.7*200*10*0.9</f>
        <v>3060</v>
      </c>
      <c r="Q55" s="152">
        <v>1.7999999999999999E-2</v>
      </c>
      <c r="R55" s="149">
        <f t="shared" si="29"/>
        <v>137.69999999999999</v>
      </c>
      <c r="S55" s="148"/>
      <c r="T55" s="148"/>
      <c r="U55" s="148"/>
      <c r="V55" s="149">
        <f>W55</f>
        <v>10.44</v>
      </c>
      <c r="W55" s="149">
        <f>200*10*(1.7+1.2)*2*0.9/1000</f>
        <v>10.44</v>
      </c>
      <c r="X55" s="148">
        <f t="shared" si="11"/>
        <v>6120</v>
      </c>
      <c r="Y55" s="149">
        <f t="shared" si="12"/>
        <v>137.69999999999999</v>
      </c>
      <c r="Z55" s="152">
        <f t="shared" si="4"/>
        <v>1.7999999999999999E-2</v>
      </c>
      <c r="AA55" s="79">
        <v>2016</v>
      </c>
      <c r="AB55" s="73">
        <f>IF(AU55=0, IF(AND((C55+AA55)&gt;0,MAX(C55,AA55)&gt;(2022-Hypotheses!$D$3)), MAX(C55,AA55)+Hypotheses!$D$3, 2027), "")</f>
        <v>2056</v>
      </c>
      <c r="AC55" s="62" t="s">
        <v>170</v>
      </c>
      <c r="AD55" s="153">
        <f t="shared" si="61"/>
        <v>6120</v>
      </c>
      <c r="AE55" s="153">
        <f t="shared" si="61"/>
        <v>137.69999999999999</v>
      </c>
      <c r="AF55" s="153">
        <f t="shared" si="62"/>
        <v>0</v>
      </c>
      <c r="AG55" s="153">
        <f t="shared" si="63"/>
        <v>137.69999999999999</v>
      </c>
      <c r="AH55" s="153">
        <f t="shared" si="64"/>
        <v>10.44</v>
      </c>
      <c r="AI55" s="153">
        <f t="shared" si="64"/>
        <v>10.44</v>
      </c>
      <c r="AJ55" s="64" t="s">
        <v>238</v>
      </c>
      <c r="AK55" s="150">
        <f>9*200*3.8*0.7</f>
        <v>4788</v>
      </c>
      <c r="AL55" s="156">
        <v>0.02</v>
      </c>
      <c r="AM55" s="150">
        <f t="shared" si="68"/>
        <v>239.4</v>
      </c>
      <c r="AN55" s="150">
        <f>9*200*2.8</f>
        <v>5040</v>
      </c>
      <c r="AO55" s="156">
        <f>Q55</f>
        <v>1.7999999999999999E-2</v>
      </c>
      <c r="AP55" s="150">
        <f t="shared" si="69"/>
        <v>226.8</v>
      </c>
      <c r="AQ55" s="150">
        <f t="shared" si="8"/>
        <v>9828</v>
      </c>
      <c r="AR55" s="150">
        <f t="shared" si="70"/>
        <v>466.20000000000005</v>
      </c>
      <c r="AS55" s="150">
        <f>AT55+AT55*0.7</f>
        <v>11.016</v>
      </c>
      <c r="AT55" s="150">
        <f>9*200*2.5/(2.5*2)*(2.5+2)*2*0.8/1000</f>
        <v>6.48</v>
      </c>
      <c r="AU55" s="81"/>
      <c r="AV55" s="158"/>
      <c r="AW55" s="158"/>
      <c r="AX55" s="158"/>
      <c r="AY55" s="158"/>
      <c r="AZ55" s="158"/>
      <c r="BA55" s="158"/>
      <c r="BC55" s="180">
        <f t="shared" si="51"/>
        <v>31</v>
      </c>
      <c r="BD55" s="180">
        <f>2022-AA55</f>
        <v>6</v>
      </c>
      <c r="BE55" s="181" t="str">
        <f t="shared" si="52"/>
        <v/>
      </c>
      <c r="BF55" s="90" t="s">
        <v>90</v>
      </c>
    </row>
    <row r="56" spans="1:61" ht="18.75" customHeight="1" x14ac:dyDescent="0.25">
      <c r="A56" s="42" t="s">
        <v>208</v>
      </c>
      <c r="B56" s="31" t="s">
        <v>124</v>
      </c>
      <c r="C56" s="33">
        <v>1985</v>
      </c>
      <c r="D56" s="52">
        <v>187</v>
      </c>
      <c r="E56" s="52">
        <v>49</v>
      </c>
      <c r="F56" s="32">
        <v>103000</v>
      </c>
      <c r="G56" s="32"/>
      <c r="H56" s="38" t="s">
        <v>146</v>
      </c>
      <c r="I56" s="148"/>
      <c r="J56" s="148">
        <f>53000/2*0.9</f>
        <v>23850</v>
      </c>
      <c r="K56" s="152">
        <v>8.0000000000000002E-3</v>
      </c>
      <c r="L56" s="148"/>
      <c r="M56" s="152"/>
      <c r="N56" s="148">
        <f t="shared" si="0"/>
        <v>23850</v>
      </c>
      <c r="O56" s="149">
        <f t="shared" si="27"/>
        <v>477</v>
      </c>
      <c r="P56" s="148">
        <f>53000/2*0.9</f>
        <v>23850</v>
      </c>
      <c r="Q56" s="152">
        <v>1.7999999999999999E-2</v>
      </c>
      <c r="R56" s="149">
        <f t="shared" si="29"/>
        <v>1073.25</v>
      </c>
      <c r="S56" s="148"/>
      <c r="T56" s="148"/>
      <c r="U56" s="148"/>
      <c r="V56" s="149">
        <f>W56*2</f>
        <v>212</v>
      </c>
      <c r="W56" s="149">
        <f>53000/(1.5*3)*(1.5+3)*2/1000</f>
        <v>106</v>
      </c>
      <c r="X56" s="148">
        <f t="shared" si="11"/>
        <v>71550</v>
      </c>
      <c r="Y56" s="149">
        <f t="shared" si="12"/>
        <v>1550.25</v>
      </c>
      <c r="Z56" s="152">
        <f t="shared" si="4"/>
        <v>1.7999999999999999E-2</v>
      </c>
      <c r="AA56" s="79"/>
      <c r="AB56" s="73">
        <f>IF(AU56=0, IF(AND((C56+AA56)&gt;0,MAX(C56,AA56)&gt;(2022-Hypotheses!$D$3)), MAX(C56,AA56)+Hypotheses!$D$3, 2027), "")</f>
        <v>2025</v>
      </c>
      <c r="AC56" s="62"/>
      <c r="AD56" s="153">
        <f t="shared" si="61"/>
        <v>71550</v>
      </c>
      <c r="AE56" s="153">
        <f t="shared" si="61"/>
        <v>1550.25</v>
      </c>
      <c r="AF56" s="153">
        <f t="shared" si="62"/>
        <v>477</v>
      </c>
      <c r="AG56" s="153">
        <f t="shared" si="63"/>
        <v>1073.25</v>
      </c>
      <c r="AH56" s="153">
        <f t="shared" si="64"/>
        <v>212</v>
      </c>
      <c r="AI56" s="153">
        <f t="shared" si="64"/>
        <v>106</v>
      </c>
      <c r="AJ56" s="79" t="s">
        <v>146</v>
      </c>
      <c r="AK56" s="150">
        <f>J56</f>
        <v>23850</v>
      </c>
      <c r="AL56" s="156">
        <v>8.0000000000000002E-3</v>
      </c>
      <c r="AM56" s="150">
        <f t="shared" si="68"/>
        <v>477</v>
      </c>
      <c r="AN56" s="150">
        <f>P56</f>
        <v>23850</v>
      </c>
      <c r="AO56" s="156">
        <f>Q56</f>
        <v>1.7999999999999999E-2</v>
      </c>
      <c r="AP56" s="150">
        <f t="shared" si="69"/>
        <v>1073.25</v>
      </c>
      <c r="AQ56" s="150">
        <f t="shared" si="8"/>
        <v>47700</v>
      </c>
      <c r="AR56" s="150">
        <f t="shared" si="70"/>
        <v>1550.25</v>
      </c>
      <c r="AS56" s="150">
        <f>V56</f>
        <v>212</v>
      </c>
      <c r="AT56" s="150">
        <f>W56</f>
        <v>106</v>
      </c>
      <c r="AU56" s="81"/>
      <c r="AV56" s="158"/>
      <c r="AW56" s="158"/>
      <c r="AX56" s="158"/>
      <c r="AY56" s="158"/>
      <c r="AZ56" s="158"/>
      <c r="BA56" s="158"/>
      <c r="BC56" s="180" t="str">
        <f t="shared" si="51"/>
        <v/>
      </c>
      <c r="BD56" s="180">
        <f>IF(AND(AA56=0, 2022-C56&gt;0, AU56=0),2022-C56,"")</f>
        <v>37</v>
      </c>
      <c r="BE56" s="181" t="str">
        <f t="shared" si="52"/>
        <v/>
      </c>
      <c r="BF56" s="90" t="s">
        <v>71</v>
      </c>
    </row>
    <row r="57" spans="1:61" ht="18.75" customHeight="1" x14ac:dyDescent="0.25">
      <c r="A57" s="42" t="s">
        <v>209</v>
      </c>
      <c r="B57" s="31" t="s">
        <v>124</v>
      </c>
      <c r="C57" s="33">
        <v>1985</v>
      </c>
      <c r="D57" s="52">
        <v>117</v>
      </c>
      <c r="E57" s="52">
        <v>34</v>
      </c>
      <c r="F57" s="32">
        <v>77750</v>
      </c>
      <c r="G57" s="32"/>
      <c r="H57" s="38" t="s">
        <v>146</v>
      </c>
      <c r="I57" s="148"/>
      <c r="J57" s="148"/>
      <c r="K57" s="152"/>
      <c r="L57" s="148"/>
      <c r="M57" s="152"/>
      <c r="N57" s="148"/>
      <c r="O57" s="149"/>
      <c r="P57" s="148">
        <f>30*150*1.8*0.9+12*28*(1.8*1.8)*0.9</f>
        <v>8269.7759999999998</v>
      </c>
      <c r="Q57" s="152">
        <v>1.7999999999999999E-2</v>
      </c>
      <c r="R57" s="149">
        <f t="shared" si="29"/>
        <v>372.13991999999996</v>
      </c>
      <c r="S57" s="148"/>
      <c r="T57" s="148"/>
      <c r="U57" s="148"/>
      <c r="V57" s="149">
        <f>W57</f>
        <v>19.99728</v>
      </c>
      <c r="W57" s="149">
        <f>(30*150*1.8/(1.8*3)*(1.8*4+3*2)*0.9+12*28*(1.8*4)*0.9)/1000</f>
        <v>19.99728</v>
      </c>
      <c r="X57" s="148">
        <f t="shared" si="11"/>
        <v>16539.552</v>
      </c>
      <c r="Y57" s="149">
        <f t="shared" si="12"/>
        <v>372.13991999999996</v>
      </c>
      <c r="Z57" s="152">
        <f t="shared" si="4"/>
        <v>1.7999999999999999E-2</v>
      </c>
      <c r="AA57" s="79"/>
      <c r="AB57" s="73">
        <f>IF(AU57=0, IF(AND((C57+AA57)&gt;0,MAX(C57,AA57)&gt;(2022-Hypotheses!$D$3)), MAX(C57,AA57)+Hypotheses!$D$3, 2027), "")</f>
        <v>2025</v>
      </c>
      <c r="AC57" s="62"/>
      <c r="AD57" s="153">
        <f t="shared" si="61"/>
        <v>16539.552</v>
      </c>
      <c r="AE57" s="153">
        <f t="shared" si="61"/>
        <v>372.13991999999996</v>
      </c>
      <c r="AF57" s="153">
        <f t="shared" si="62"/>
        <v>0</v>
      </c>
      <c r="AG57" s="153">
        <f t="shared" si="63"/>
        <v>372.13991999999996</v>
      </c>
      <c r="AH57" s="153">
        <f t="shared" si="64"/>
        <v>19.99728</v>
      </c>
      <c r="AI57" s="153">
        <f t="shared" si="64"/>
        <v>19.99728</v>
      </c>
      <c r="AJ57" s="79" t="s">
        <v>146</v>
      </c>
      <c r="AK57" s="150"/>
      <c r="AL57" s="156"/>
      <c r="AM57" s="150"/>
      <c r="AN57" s="150">
        <f>P57</f>
        <v>8269.7759999999998</v>
      </c>
      <c r="AO57" s="156">
        <f>Q57</f>
        <v>1.7999999999999999E-2</v>
      </c>
      <c r="AP57" s="150">
        <f t="shared" ref="AP57" si="71">AN57*AO57*2.5</f>
        <v>372.13991999999996</v>
      </c>
      <c r="AQ57" s="150">
        <f t="shared" si="8"/>
        <v>8269.7759999999998</v>
      </c>
      <c r="AR57" s="150">
        <f t="shared" ref="AR57" si="72">AM57+AP57</f>
        <v>372.13991999999996</v>
      </c>
      <c r="AS57" s="150">
        <f>V57</f>
        <v>19.99728</v>
      </c>
      <c r="AT57" s="150">
        <f>W57</f>
        <v>19.99728</v>
      </c>
      <c r="AU57" s="81"/>
      <c r="AV57" s="158"/>
      <c r="AW57" s="158"/>
      <c r="AX57" s="158"/>
      <c r="AY57" s="158"/>
      <c r="AZ57" s="158"/>
      <c r="BA57" s="158"/>
      <c r="BC57" s="180" t="str">
        <f t="shared" si="51"/>
        <v/>
      </c>
      <c r="BD57" s="180">
        <f>IF(AND(AA57=0, 2022-C57&gt;0, AU57=0),2022-C57,"")</f>
        <v>37</v>
      </c>
      <c r="BE57" s="181" t="str">
        <f t="shared" si="52"/>
        <v/>
      </c>
      <c r="BF57" s="88"/>
    </row>
    <row r="58" spans="1:61" s="49" customFormat="1" ht="18.75" customHeight="1" x14ac:dyDescent="0.25">
      <c r="A58" s="43" t="s">
        <v>105</v>
      </c>
      <c r="B58" s="31" t="s">
        <v>124</v>
      </c>
      <c r="C58" s="33">
        <v>1986</v>
      </c>
      <c r="D58" s="52">
        <v>27</v>
      </c>
      <c r="E58" s="52">
        <v>10</v>
      </c>
      <c r="F58" s="32">
        <f>26600+29500</f>
        <v>56100</v>
      </c>
      <c r="G58" s="32"/>
      <c r="H58" s="38" t="s">
        <v>146</v>
      </c>
      <c r="I58" s="148">
        <f>4975*2.5</f>
        <v>12437.5</v>
      </c>
      <c r="J58" s="148">
        <f>I58*(0.9*1.3)*0.9</f>
        <v>13096.687500000002</v>
      </c>
      <c r="K58" s="152">
        <v>8.0000000000000002E-3</v>
      </c>
      <c r="L58" s="148"/>
      <c r="M58" s="152"/>
      <c r="N58" s="148">
        <f t="shared" si="0"/>
        <v>13096.687500000002</v>
      </c>
      <c r="O58" s="149">
        <f t="shared" si="27"/>
        <v>261.93375000000003</v>
      </c>
      <c r="P58" s="148">
        <f>I58*(0.9*1.8)*0.9</f>
        <v>18133.875</v>
      </c>
      <c r="Q58" s="152">
        <f t="shared" ref="Q58:Q76" si="73">0.008*2</f>
        <v>1.6E-2</v>
      </c>
      <c r="R58" s="149">
        <f t="shared" si="29"/>
        <v>725.35500000000002</v>
      </c>
      <c r="S58" s="148"/>
      <c r="T58" s="148"/>
      <c r="U58" s="148"/>
      <c r="V58" s="149">
        <f>W58+I58*(0.9+1.3)*2/1000</f>
        <v>115.17125000000001</v>
      </c>
      <c r="W58" s="149">
        <f>I58*(0.9+1.8)*0.9*2/1000</f>
        <v>60.446249999999999</v>
      </c>
      <c r="X58" s="148">
        <f t="shared" si="11"/>
        <v>49364.4375</v>
      </c>
      <c r="Y58" s="149">
        <f t="shared" si="12"/>
        <v>987.28875000000005</v>
      </c>
      <c r="Z58" s="152">
        <f t="shared" si="4"/>
        <v>1.6E-2</v>
      </c>
      <c r="AA58" s="79"/>
      <c r="AB58" s="73" t="str">
        <f>IF(AU58=0, IF(AND((C58+AA58)&gt;0,MAX(C58,AA58)&gt;(2022-Hypotheses!$D$3)), MAX(C58,AA58)+Hypotheses!$D$3, 2027), "")</f>
        <v/>
      </c>
      <c r="AC58" s="62"/>
      <c r="AD58" s="153"/>
      <c r="AE58" s="153"/>
      <c r="AF58" s="153"/>
      <c r="AG58" s="153"/>
      <c r="AH58" s="153"/>
      <c r="AI58" s="153"/>
      <c r="AJ58" s="64"/>
      <c r="AK58" s="150"/>
      <c r="AL58" s="156"/>
      <c r="AM58" s="150"/>
      <c r="AN58" s="150"/>
      <c r="AO58" s="156"/>
      <c r="AP58" s="150"/>
      <c r="AQ58" s="150"/>
      <c r="AR58" s="150"/>
      <c r="AS58" s="150"/>
      <c r="AT58" s="150"/>
      <c r="AU58" s="81">
        <v>2020</v>
      </c>
      <c r="AV58" s="158">
        <f>O58</f>
        <v>261.93375000000003</v>
      </c>
      <c r="AW58" s="158">
        <f>R58</f>
        <v>725.35500000000002</v>
      </c>
      <c r="AX58" s="158">
        <f>X58</f>
        <v>49364.4375</v>
      </c>
      <c r="AY58" s="158">
        <f>Y58</f>
        <v>987.28875000000005</v>
      </c>
      <c r="AZ58" s="158">
        <f>V58</f>
        <v>115.17125000000001</v>
      </c>
      <c r="BA58" s="158">
        <f>W58</f>
        <v>60.446249999999999</v>
      </c>
      <c r="BB58" s="98"/>
      <c r="BC58" s="180" t="str">
        <f t="shared" si="51"/>
        <v/>
      </c>
      <c r="BD58" s="180" t="str">
        <f>IF(AND(AA58=0, 2022-C58&gt;0, AU58=0),2022-C58,"")</f>
        <v/>
      </c>
      <c r="BE58" s="181">
        <f t="shared" si="52"/>
        <v>34</v>
      </c>
      <c r="BF58" s="88" t="s">
        <v>115</v>
      </c>
      <c r="BG58" s="50"/>
      <c r="BH58" s="47"/>
      <c r="BI58" s="47"/>
    </row>
    <row r="59" spans="1:61" ht="18.75" customHeight="1" x14ac:dyDescent="0.25">
      <c r="A59" s="42" t="s">
        <v>38</v>
      </c>
      <c r="B59" s="31" t="s">
        <v>124</v>
      </c>
      <c r="C59" s="33">
        <v>1986</v>
      </c>
      <c r="D59" s="52">
        <v>30</v>
      </c>
      <c r="E59" s="52">
        <v>10</v>
      </c>
      <c r="F59" s="32">
        <v>34000</v>
      </c>
      <c r="G59" s="32"/>
      <c r="H59" s="38" t="s">
        <v>146</v>
      </c>
      <c r="I59" s="148">
        <f>113*9</f>
        <v>1017</v>
      </c>
      <c r="J59" s="148"/>
      <c r="K59" s="152"/>
      <c r="L59" s="148"/>
      <c r="M59" s="152"/>
      <c r="N59" s="148"/>
      <c r="O59" s="149"/>
      <c r="P59" s="148">
        <f>I59*(1.5*1.5)*0.9*1.5</f>
        <v>3089.1375000000003</v>
      </c>
      <c r="Q59" s="152">
        <v>1.7999999999999999E-2</v>
      </c>
      <c r="R59" s="149">
        <f t="shared" si="29"/>
        <v>139.01118750000001</v>
      </c>
      <c r="S59" s="148"/>
      <c r="T59" s="148"/>
      <c r="U59" s="148"/>
      <c r="V59" s="149">
        <f>W59</f>
        <v>5.4918000000000005</v>
      </c>
      <c r="W59" s="149">
        <f>I59*(1.5+1.5)*0.9*2/1000</f>
        <v>5.4918000000000005</v>
      </c>
      <c r="X59" s="148">
        <f t="shared" si="11"/>
        <v>6178.2750000000005</v>
      </c>
      <c r="Y59" s="149">
        <f t="shared" si="12"/>
        <v>139.01118750000001</v>
      </c>
      <c r="Z59" s="152">
        <f t="shared" si="4"/>
        <v>1.7999999999999999E-2</v>
      </c>
      <c r="AA59" s="79"/>
      <c r="AB59" s="73">
        <f>IF(AU59=0, IF(AND((C59+AA59)&gt;0,MAX(C59,AA59)&gt;(2022-Hypotheses!$D$3)), MAX(C59,AA59)+Hypotheses!$D$3, 2027), "")</f>
        <v>2026</v>
      </c>
      <c r="AC59" s="62"/>
      <c r="AD59" s="153">
        <f t="shared" ref="AD59:AE66" si="74">X59</f>
        <v>6178.2750000000005</v>
      </c>
      <c r="AE59" s="153">
        <f t="shared" si="74"/>
        <v>139.01118750000001</v>
      </c>
      <c r="AF59" s="153">
        <f t="shared" ref="AF59:AF66" si="75">O59</f>
        <v>0</v>
      </c>
      <c r="AG59" s="153">
        <f t="shared" ref="AG59:AG66" si="76">R59</f>
        <v>139.01118750000001</v>
      </c>
      <c r="AH59" s="153">
        <f t="shared" ref="AH59:AI66" si="77">V59</f>
        <v>5.4918000000000005</v>
      </c>
      <c r="AI59" s="153">
        <f t="shared" si="77"/>
        <v>5.4918000000000005</v>
      </c>
      <c r="AJ59" s="79" t="s">
        <v>146</v>
      </c>
      <c r="AK59" s="150"/>
      <c r="AL59" s="156"/>
      <c r="AM59" s="150"/>
      <c r="AN59" s="150">
        <f t="shared" ref="AN59:AO66" si="78">P59</f>
        <v>3089.1375000000003</v>
      </c>
      <c r="AO59" s="156">
        <f t="shared" si="78"/>
        <v>1.7999999999999999E-2</v>
      </c>
      <c r="AP59" s="150">
        <f t="shared" ref="AP59:AP62" si="79">AN59*AO59*2.5</f>
        <v>139.01118750000001</v>
      </c>
      <c r="AQ59" s="150">
        <f t="shared" si="8"/>
        <v>3089.1375000000003</v>
      </c>
      <c r="AR59" s="150">
        <f t="shared" ref="AR59" si="80">AM59+AP59</f>
        <v>139.01118750000001</v>
      </c>
      <c r="AS59" s="150">
        <f t="shared" ref="AS59:AT66" si="81">V59</f>
        <v>5.4918000000000005</v>
      </c>
      <c r="AT59" s="150">
        <f t="shared" si="81"/>
        <v>5.4918000000000005</v>
      </c>
      <c r="AU59" s="81"/>
      <c r="AV59" s="158"/>
      <c r="AW59" s="158"/>
      <c r="AX59" s="158"/>
      <c r="AY59" s="158"/>
      <c r="AZ59" s="158"/>
      <c r="BA59" s="158"/>
      <c r="BC59" s="180" t="str">
        <f t="shared" si="51"/>
        <v/>
      </c>
      <c r="BD59" s="180">
        <f>IF(AND(AA59=0, 2022-C59&gt;0, AU59=0),2022-C59,"")</f>
        <v>36</v>
      </c>
      <c r="BE59" s="181" t="str">
        <f t="shared" si="52"/>
        <v/>
      </c>
    </row>
    <row r="60" spans="1:61" s="49" customFormat="1" ht="18.75" customHeight="1" x14ac:dyDescent="0.25">
      <c r="A60" s="43" t="s">
        <v>210</v>
      </c>
      <c r="B60" s="31" t="s">
        <v>124</v>
      </c>
      <c r="C60" s="33">
        <v>1988</v>
      </c>
      <c r="D60" s="52">
        <v>131</v>
      </c>
      <c r="E60" s="52">
        <v>41</v>
      </c>
      <c r="F60" s="32">
        <v>77000</v>
      </c>
      <c r="G60" s="32"/>
      <c r="H60" s="38" t="s">
        <v>168</v>
      </c>
      <c r="I60" s="148"/>
      <c r="J60" s="148"/>
      <c r="K60" s="152"/>
      <c r="L60" s="148">
        <f>41*(245-8*2.5)*1.4*0.9</f>
        <v>11623.5</v>
      </c>
      <c r="M60" s="152">
        <v>0.01</v>
      </c>
      <c r="N60" s="148">
        <f t="shared" si="0"/>
        <v>11623.5</v>
      </c>
      <c r="O60" s="149">
        <f t="shared" si="27"/>
        <v>290.58749999999998</v>
      </c>
      <c r="P60" s="148">
        <f>41*(245-8*2.5)*1.4*0.9</f>
        <v>11623.5</v>
      </c>
      <c r="Q60" s="152">
        <f t="shared" si="73"/>
        <v>1.6E-2</v>
      </c>
      <c r="R60" s="149">
        <f t="shared" si="29"/>
        <v>464.94</v>
      </c>
      <c r="S60" s="148"/>
      <c r="T60" s="148"/>
      <c r="U60" s="148"/>
      <c r="V60" s="149">
        <f>W60+W60</f>
        <v>66.42</v>
      </c>
      <c r="W60" s="149">
        <f>41*(245-8*2.5)/1.4*(1.4+1.4)*2*0.9/1000</f>
        <v>33.21</v>
      </c>
      <c r="X60" s="148">
        <f t="shared" si="11"/>
        <v>34870.5</v>
      </c>
      <c r="Y60" s="149">
        <f t="shared" si="12"/>
        <v>755.52749999999992</v>
      </c>
      <c r="Z60" s="152">
        <f t="shared" si="4"/>
        <v>2.6000000000000002E-2</v>
      </c>
      <c r="AA60" s="79">
        <v>2012</v>
      </c>
      <c r="AB60" s="73">
        <f>IF(AU60=0, IF(AND((C60+AA60)&gt;0,MAX(C60,AA60)&gt;(2022-Hypotheses!$D$3)), MAX(C60,AA60)+Hypotheses!$D$3, 2027), "")</f>
        <v>2052</v>
      </c>
      <c r="AC60" s="62" t="s">
        <v>170</v>
      </c>
      <c r="AD60" s="153">
        <f t="shared" si="74"/>
        <v>34870.5</v>
      </c>
      <c r="AE60" s="153">
        <f t="shared" si="74"/>
        <v>755.52749999999992</v>
      </c>
      <c r="AF60" s="153">
        <f t="shared" si="75"/>
        <v>290.58749999999998</v>
      </c>
      <c r="AG60" s="153">
        <f t="shared" si="76"/>
        <v>464.94</v>
      </c>
      <c r="AH60" s="153">
        <f t="shared" si="77"/>
        <v>66.42</v>
      </c>
      <c r="AI60" s="153">
        <f t="shared" si="77"/>
        <v>33.21</v>
      </c>
      <c r="AJ60" s="61" t="s">
        <v>168</v>
      </c>
      <c r="AK60" s="150">
        <f>L60</f>
        <v>11623.5</v>
      </c>
      <c r="AL60" s="156">
        <v>0.01</v>
      </c>
      <c r="AM60" s="150">
        <f t="shared" ref="AM60" si="82">AK60*AL60*2.5</f>
        <v>290.58749999999998</v>
      </c>
      <c r="AN60" s="150">
        <f t="shared" si="78"/>
        <v>11623.5</v>
      </c>
      <c r="AO60" s="156">
        <f t="shared" si="78"/>
        <v>1.6E-2</v>
      </c>
      <c r="AP60" s="150">
        <f t="shared" si="79"/>
        <v>464.94</v>
      </c>
      <c r="AQ60" s="150">
        <f t="shared" si="8"/>
        <v>23247</v>
      </c>
      <c r="AR60" s="150">
        <f>AM60+AP60</f>
        <v>755.52749999999992</v>
      </c>
      <c r="AS60" s="150">
        <f t="shared" si="81"/>
        <v>66.42</v>
      </c>
      <c r="AT60" s="150">
        <f t="shared" si="81"/>
        <v>33.21</v>
      </c>
      <c r="AU60" s="81"/>
      <c r="AV60" s="158"/>
      <c r="AW60" s="158"/>
      <c r="AX60" s="158"/>
      <c r="AY60" s="158"/>
      <c r="AZ60" s="158"/>
      <c r="BA60" s="158"/>
      <c r="BB60" s="98"/>
      <c r="BC60" s="180">
        <f t="shared" si="51"/>
        <v>24</v>
      </c>
      <c r="BD60" s="180">
        <f>2022-AA60</f>
        <v>10</v>
      </c>
      <c r="BE60" s="181" t="str">
        <f t="shared" si="52"/>
        <v/>
      </c>
      <c r="BF60" s="88" t="s">
        <v>72</v>
      </c>
      <c r="BG60" s="50"/>
      <c r="BH60" s="47"/>
      <c r="BI60" s="47"/>
    </row>
    <row r="61" spans="1:61" ht="18.75" customHeight="1" x14ac:dyDescent="0.25">
      <c r="A61" s="42" t="s">
        <v>211</v>
      </c>
      <c r="B61" s="31" t="s">
        <v>124</v>
      </c>
      <c r="C61" s="33">
        <v>1988</v>
      </c>
      <c r="D61" s="52">
        <v>80</v>
      </c>
      <c r="E61" s="52">
        <v>24</v>
      </c>
      <c r="F61" s="32">
        <v>44000</v>
      </c>
      <c r="G61" s="32"/>
      <c r="H61" s="38" t="s">
        <v>146</v>
      </c>
      <c r="I61" s="148">
        <f>(18*31+25*43)</f>
        <v>1633</v>
      </c>
      <c r="J61" s="148"/>
      <c r="K61" s="152"/>
      <c r="L61" s="148"/>
      <c r="M61" s="152"/>
      <c r="N61" s="148"/>
      <c r="O61" s="149"/>
      <c r="P61" s="148">
        <f>I61*(2*1.8)*0.9</f>
        <v>5290.92</v>
      </c>
      <c r="Q61" s="152">
        <v>1.7999999999999999E-2</v>
      </c>
      <c r="R61" s="149">
        <f t="shared" si="29"/>
        <v>238.09139999999999</v>
      </c>
      <c r="S61" s="148"/>
      <c r="T61" s="148"/>
      <c r="U61" s="148"/>
      <c r="V61" s="149">
        <f>W61</f>
        <v>11.16972</v>
      </c>
      <c r="W61" s="149">
        <f>I61*(2+1.8)*2*0.9/1000</f>
        <v>11.16972</v>
      </c>
      <c r="X61" s="148">
        <f t="shared" si="11"/>
        <v>10581.84</v>
      </c>
      <c r="Y61" s="149">
        <f t="shared" si="12"/>
        <v>238.09139999999999</v>
      </c>
      <c r="Z61" s="152">
        <f t="shared" si="4"/>
        <v>1.7999999999999999E-2</v>
      </c>
      <c r="AA61" s="79"/>
      <c r="AB61" s="73">
        <f>IF(AU61=0, IF(AND((C61+AA61)&gt;0,MAX(C61,AA61)&gt;(2022-Hypotheses!$D$3)), MAX(C61,AA61)+Hypotheses!$D$3, 2027), "")</f>
        <v>2028</v>
      </c>
      <c r="AC61" s="62"/>
      <c r="AD61" s="153">
        <f t="shared" si="74"/>
        <v>10581.84</v>
      </c>
      <c r="AE61" s="153">
        <f t="shared" si="74"/>
        <v>238.09139999999999</v>
      </c>
      <c r="AF61" s="153">
        <f t="shared" si="75"/>
        <v>0</v>
      </c>
      <c r="AG61" s="153">
        <f t="shared" si="76"/>
        <v>238.09139999999999</v>
      </c>
      <c r="AH61" s="153">
        <f t="shared" si="77"/>
        <v>11.16972</v>
      </c>
      <c r="AI61" s="153">
        <f t="shared" si="77"/>
        <v>11.16972</v>
      </c>
      <c r="AJ61" s="79" t="s">
        <v>146</v>
      </c>
      <c r="AK61" s="150"/>
      <c r="AL61" s="156"/>
      <c r="AM61" s="150"/>
      <c r="AN61" s="150">
        <f t="shared" si="78"/>
        <v>5290.92</v>
      </c>
      <c r="AO61" s="156">
        <f t="shared" si="78"/>
        <v>1.7999999999999999E-2</v>
      </c>
      <c r="AP61" s="150">
        <f t="shared" si="79"/>
        <v>238.09139999999999</v>
      </c>
      <c r="AQ61" s="150">
        <f t="shared" si="8"/>
        <v>5290.92</v>
      </c>
      <c r="AR61" s="150">
        <f t="shared" ref="AR61:AR62" si="83">AM61+AP61</f>
        <v>238.09139999999999</v>
      </c>
      <c r="AS61" s="150">
        <f t="shared" si="81"/>
        <v>11.16972</v>
      </c>
      <c r="AT61" s="150">
        <f t="shared" si="81"/>
        <v>11.16972</v>
      </c>
      <c r="AU61" s="81"/>
      <c r="AV61" s="158"/>
      <c r="AW61" s="158"/>
      <c r="AX61" s="158"/>
      <c r="AY61" s="158"/>
      <c r="AZ61" s="158"/>
      <c r="BA61" s="158"/>
      <c r="BC61" s="180" t="str">
        <f t="shared" si="51"/>
        <v/>
      </c>
      <c r="BD61" s="180">
        <f>IF(AND(AA61=0, 2022-C61&gt;0, AU61=0),2022-C61,"")</f>
        <v>34</v>
      </c>
      <c r="BE61" s="181" t="str">
        <f t="shared" si="52"/>
        <v/>
      </c>
    </row>
    <row r="62" spans="1:61" ht="18.75" customHeight="1" x14ac:dyDescent="0.25">
      <c r="A62" s="42" t="s">
        <v>47</v>
      </c>
      <c r="B62" s="31" t="s">
        <v>124</v>
      </c>
      <c r="C62" s="33">
        <v>1989</v>
      </c>
      <c r="D62" s="52">
        <v>110</v>
      </c>
      <c r="E62" s="52">
        <v>36</v>
      </c>
      <c r="F62" s="32">
        <v>80000</v>
      </c>
      <c r="G62" s="32"/>
      <c r="H62" s="38" t="s">
        <v>168</v>
      </c>
      <c r="I62" s="148"/>
      <c r="J62" s="148"/>
      <c r="K62" s="152"/>
      <c r="L62" s="148">
        <f>(2.6*2.6)*2450</f>
        <v>16562</v>
      </c>
      <c r="M62" s="152">
        <v>1.7999999999999999E-2</v>
      </c>
      <c r="N62" s="148">
        <f t="shared" si="0"/>
        <v>16562</v>
      </c>
      <c r="O62" s="149">
        <f t="shared" si="27"/>
        <v>745.29</v>
      </c>
      <c r="P62" s="148">
        <f>(1.4*1.4)*(2450+1380)*0.9</f>
        <v>6756.12</v>
      </c>
      <c r="Q62" s="152">
        <f t="shared" si="73"/>
        <v>1.6E-2</v>
      </c>
      <c r="R62" s="149">
        <f t="shared" si="29"/>
        <v>270.2448</v>
      </c>
      <c r="S62" s="148"/>
      <c r="T62" s="148"/>
      <c r="U62" s="148"/>
      <c r="V62" s="149">
        <f t="shared" ref="V62:V70" si="84">W62*2</f>
        <v>77.212800000000001</v>
      </c>
      <c r="W62" s="149">
        <f>(1.4*4+1.4*4)*(2450+1380)*0.9/1000</f>
        <v>38.606400000000001</v>
      </c>
      <c r="X62" s="148">
        <f t="shared" si="11"/>
        <v>30074.239999999998</v>
      </c>
      <c r="Y62" s="149">
        <f t="shared" si="12"/>
        <v>1015.5347999999999</v>
      </c>
      <c r="Z62" s="152">
        <f t="shared" si="4"/>
        <v>3.4000000000000002E-2</v>
      </c>
      <c r="AA62" s="79">
        <v>2017</v>
      </c>
      <c r="AB62" s="73">
        <f>IF(AU62=0, IF(AND((C62+AA62)&gt;0,MAX(C62,AA62)&gt;(2022-Hypotheses!$D$3)), MAX(C62,AA62)+Hypotheses!$D$3, 2027), "")</f>
        <v>2057</v>
      </c>
      <c r="AC62" s="62"/>
      <c r="AD62" s="153">
        <f t="shared" si="74"/>
        <v>30074.239999999998</v>
      </c>
      <c r="AE62" s="153">
        <f t="shared" si="74"/>
        <v>1015.5347999999999</v>
      </c>
      <c r="AF62" s="153">
        <f t="shared" si="75"/>
        <v>745.29</v>
      </c>
      <c r="AG62" s="153">
        <f t="shared" si="76"/>
        <v>270.2448</v>
      </c>
      <c r="AH62" s="153">
        <f t="shared" si="77"/>
        <v>77.212800000000001</v>
      </c>
      <c r="AI62" s="153">
        <f t="shared" si="77"/>
        <v>38.606400000000001</v>
      </c>
      <c r="AJ62" s="64" t="s">
        <v>168</v>
      </c>
      <c r="AK62" s="150"/>
      <c r="AL62" s="156"/>
      <c r="AM62" s="150"/>
      <c r="AN62" s="150">
        <f t="shared" si="78"/>
        <v>6756.12</v>
      </c>
      <c r="AO62" s="156">
        <f t="shared" si="78"/>
        <v>1.6E-2</v>
      </c>
      <c r="AP62" s="150">
        <f t="shared" si="79"/>
        <v>270.2448</v>
      </c>
      <c r="AQ62" s="150">
        <f t="shared" si="8"/>
        <v>6756.12</v>
      </c>
      <c r="AR62" s="150">
        <f t="shared" si="83"/>
        <v>270.2448</v>
      </c>
      <c r="AS62" s="150">
        <f t="shared" si="81"/>
        <v>77.212800000000001</v>
      </c>
      <c r="AT62" s="150">
        <f t="shared" si="81"/>
        <v>38.606400000000001</v>
      </c>
      <c r="AU62" s="81"/>
      <c r="AV62" s="158"/>
      <c r="AW62" s="158"/>
      <c r="AX62" s="158"/>
      <c r="AY62" s="158"/>
      <c r="AZ62" s="158"/>
      <c r="BA62" s="158"/>
      <c r="BC62" s="180">
        <f t="shared" si="51"/>
        <v>28</v>
      </c>
      <c r="BD62" s="180">
        <f>2022-AA62</f>
        <v>5</v>
      </c>
      <c r="BE62" s="181" t="str">
        <f t="shared" si="52"/>
        <v/>
      </c>
    </row>
    <row r="63" spans="1:61" ht="18.75" customHeight="1" x14ac:dyDescent="0.25">
      <c r="A63" s="44" t="s">
        <v>212</v>
      </c>
      <c r="B63" s="31" t="s">
        <v>124</v>
      </c>
      <c r="C63" s="33">
        <v>1990</v>
      </c>
      <c r="D63" s="52">
        <v>119</v>
      </c>
      <c r="E63" s="52">
        <v>34</v>
      </c>
      <c r="F63" s="32">
        <v>55000</v>
      </c>
      <c r="G63" s="32"/>
      <c r="H63" s="38" t="s">
        <v>168</v>
      </c>
      <c r="I63" s="148"/>
      <c r="J63" s="148"/>
      <c r="K63" s="152"/>
      <c r="L63" s="148">
        <f>(6825+4000+1850+6300+6300)*0.9</f>
        <v>22747.5</v>
      </c>
      <c r="M63" s="152">
        <v>0.01</v>
      </c>
      <c r="N63" s="148">
        <f t="shared" si="0"/>
        <v>22747.5</v>
      </c>
      <c r="O63" s="149">
        <f t="shared" si="27"/>
        <v>568.6875</v>
      </c>
      <c r="P63" s="148">
        <f>(6825+4000+1850+6300+6300)/2*0.85</f>
        <v>10741.875</v>
      </c>
      <c r="Q63" s="152">
        <f t="shared" si="73"/>
        <v>1.6E-2</v>
      </c>
      <c r="R63" s="149">
        <f t="shared" si="29"/>
        <v>429.67500000000001</v>
      </c>
      <c r="S63" s="148"/>
      <c r="T63" s="148"/>
      <c r="U63" s="148"/>
      <c r="V63" s="149">
        <f t="shared" si="84"/>
        <v>67.356233766233771</v>
      </c>
      <c r="W63" s="149">
        <f>(6825+4000+1850+6300+6300)/2/(1.1*1.75)*(1.1+1.75)*2*0.9/1000</f>
        <v>33.678116883116886</v>
      </c>
      <c r="X63" s="148">
        <f t="shared" si="11"/>
        <v>44231.25</v>
      </c>
      <c r="Y63" s="149">
        <f t="shared" si="12"/>
        <v>998.36249999999995</v>
      </c>
      <c r="Z63" s="152">
        <f t="shared" si="4"/>
        <v>2.6000000000000002E-2</v>
      </c>
      <c r="AA63" s="79"/>
      <c r="AB63" s="73">
        <f>IF(AU63=0, IF(AND((C63+AA63)&gt;0,MAX(C63,AA63)&gt;(2022-Hypotheses!$D$3)), MAX(C63,AA63)+Hypotheses!$D$3, 2027), "")</f>
        <v>2030</v>
      </c>
      <c r="AC63" s="62"/>
      <c r="AD63" s="153">
        <f t="shared" si="74"/>
        <v>44231.25</v>
      </c>
      <c r="AE63" s="153">
        <f t="shared" si="74"/>
        <v>998.36249999999995</v>
      </c>
      <c r="AF63" s="153">
        <f t="shared" si="75"/>
        <v>568.6875</v>
      </c>
      <c r="AG63" s="153">
        <f t="shared" si="76"/>
        <v>429.67500000000001</v>
      </c>
      <c r="AH63" s="153">
        <f t="shared" si="77"/>
        <v>67.356233766233771</v>
      </c>
      <c r="AI63" s="153">
        <f t="shared" si="77"/>
        <v>33.678116883116886</v>
      </c>
      <c r="AJ63" s="79" t="s">
        <v>146</v>
      </c>
      <c r="AK63" s="150"/>
      <c r="AL63" s="156"/>
      <c r="AM63" s="150"/>
      <c r="AN63" s="150">
        <f t="shared" si="78"/>
        <v>10741.875</v>
      </c>
      <c r="AO63" s="156">
        <f t="shared" si="78"/>
        <v>1.6E-2</v>
      </c>
      <c r="AP63" s="150">
        <f t="shared" ref="AP63:AP65" si="85">AN63*AO63*2.5</f>
        <v>429.67500000000001</v>
      </c>
      <c r="AQ63" s="150">
        <f t="shared" si="8"/>
        <v>10741.875</v>
      </c>
      <c r="AR63" s="150">
        <f t="shared" ref="AR63" si="86">AM63+AP63</f>
        <v>429.67500000000001</v>
      </c>
      <c r="AS63" s="150">
        <f t="shared" si="81"/>
        <v>67.356233766233771</v>
      </c>
      <c r="AT63" s="150">
        <f t="shared" si="81"/>
        <v>33.678116883116886</v>
      </c>
      <c r="AU63" s="81"/>
      <c r="AV63" s="158"/>
      <c r="AW63" s="158"/>
      <c r="AX63" s="158"/>
      <c r="AY63" s="158"/>
      <c r="AZ63" s="158"/>
      <c r="BA63" s="158"/>
      <c r="BC63" s="180" t="str">
        <f t="shared" si="51"/>
        <v/>
      </c>
      <c r="BD63" s="180">
        <f>IF(AND(AA63=0, 2022-C63&gt;0, AU63=0),2022-C63,"")</f>
        <v>32</v>
      </c>
      <c r="BE63" s="181" t="str">
        <f t="shared" si="52"/>
        <v/>
      </c>
      <c r="BF63" s="90" t="s">
        <v>73</v>
      </c>
    </row>
    <row r="64" spans="1:61" ht="18.75" customHeight="1" x14ac:dyDescent="0.25">
      <c r="A64" s="44" t="s">
        <v>76</v>
      </c>
      <c r="B64" s="31" t="s">
        <v>124</v>
      </c>
      <c r="C64" s="33">
        <v>1992</v>
      </c>
      <c r="D64" s="52">
        <v>70</v>
      </c>
      <c r="E64" s="52">
        <v>19</v>
      </c>
      <c r="F64" s="32">
        <v>43000</v>
      </c>
      <c r="G64" s="32"/>
      <c r="H64" s="38" t="s">
        <v>168</v>
      </c>
      <c r="I64" s="148"/>
      <c r="J64" s="148"/>
      <c r="K64" s="152"/>
      <c r="L64" s="148">
        <f>(5000+3200+10000)*0.9</f>
        <v>16380</v>
      </c>
      <c r="M64" s="152">
        <v>0.01</v>
      </c>
      <c r="N64" s="148">
        <f t="shared" si="0"/>
        <v>16380</v>
      </c>
      <c r="O64" s="149">
        <f t="shared" si="27"/>
        <v>409.5</v>
      </c>
      <c r="P64" s="148">
        <f>(5000+3200+10000)*0.6*0.85</f>
        <v>9282</v>
      </c>
      <c r="Q64" s="152">
        <f t="shared" si="73"/>
        <v>1.6E-2</v>
      </c>
      <c r="R64" s="149">
        <f t="shared" si="29"/>
        <v>371.28</v>
      </c>
      <c r="S64" s="148"/>
      <c r="T64" s="148"/>
      <c r="U64" s="148"/>
      <c r="V64" s="149">
        <f t="shared" si="84"/>
        <v>40.884999999999991</v>
      </c>
      <c r="W64" s="149">
        <f>(5000+3200+10000)*0.6/(2.1*1.6)*(2.1+1.6)*2*0.85/1000</f>
        <v>20.442499999999995</v>
      </c>
      <c r="X64" s="148">
        <f t="shared" si="11"/>
        <v>34944</v>
      </c>
      <c r="Y64" s="149">
        <f t="shared" si="12"/>
        <v>780.78</v>
      </c>
      <c r="Z64" s="152">
        <f t="shared" si="4"/>
        <v>2.6000000000000002E-2</v>
      </c>
      <c r="AA64" s="79">
        <v>2022</v>
      </c>
      <c r="AB64" s="73">
        <f>IF(AU64=0, IF(AND((C64+AA64)&gt;0,MAX(C64,AA64)&gt;(2022-Hypotheses!$D$3)), MAX(C64,AA64)+Hypotheses!$D$3, 2027), "")</f>
        <v>2062</v>
      </c>
      <c r="AC64" s="62"/>
      <c r="AD64" s="153">
        <f t="shared" si="74"/>
        <v>34944</v>
      </c>
      <c r="AE64" s="153">
        <f t="shared" si="74"/>
        <v>780.78</v>
      </c>
      <c r="AF64" s="153">
        <f t="shared" si="75"/>
        <v>409.5</v>
      </c>
      <c r="AG64" s="153">
        <f t="shared" si="76"/>
        <v>371.28</v>
      </c>
      <c r="AH64" s="153">
        <f t="shared" si="77"/>
        <v>40.884999999999991</v>
      </c>
      <c r="AI64" s="153">
        <f t="shared" si="77"/>
        <v>20.442499999999995</v>
      </c>
      <c r="AJ64" s="64" t="s">
        <v>168</v>
      </c>
      <c r="AK64" s="150">
        <f t="shared" ref="AK64:AL66" si="87">L64</f>
        <v>16380</v>
      </c>
      <c r="AL64" s="156">
        <f t="shared" si="87"/>
        <v>0.01</v>
      </c>
      <c r="AM64" s="150">
        <f t="shared" ref="AM64:AM65" si="88">AK64*AL64*2.5</f>
        <v>409.5</v>
      </c>
      <c r="AN64" s="155">
        <f t="shared" si="78"/>
        <v>9282</v>
      </c>
      <c r="AO64" s="156">
        <f t="shared" si="78"/>
        <v>1.6E-2</v>
      </c>
      <c r="AP64" s="150">
        <f t="shared" si="85"/>
        <v>371.28</v>
      </c>
      <c r="AQ64" s="150">
        <f t="shared" si="8"/>
        <v>25662</v>
      </c>
      <c r="AR64" s="150">
        <f t="shared" ref="AR64:AR65" si="89">AM64+AP64</f>
        <v>780.78</v>
      </c>
      <c r="AS64" s="150">
        <f t="shared" si="81"/>
        <v>40.884999999999991</v>
      </c>
      <c r="AT64" s="150">
        <f t="shared" si="81"/>
        <v>20.442499999999995</v>
      </c>
      <c r="AU64" s="81"/>
      <c r="AV64" s="158"/>
      <c r="AW64" s="158"/>
      <c r="AX64" s="158"/>
      <c r="AY64" s="158"/>
      <c r="AZ64" s="158"/>
      <c r="BA64" s="158"/>
      <c r="BC64" s="180">
        <f t="shared" si="51"/>
        <v>30</v>
      </c>
      <c r="BD64" s="180">
        <f>2022-AA64</f>
        <v>0</v>
      </c>
      <c r="BE64" s="181" t="str">
        <f t="shared" si="52"/>
        <v/>
      </c>
      <c r="BF64" s="88" t="s">
        <v>77</v>
      </c>
    </row>
    <row r="65" spans="1:61" ht="18.75" customHeight="1" x14ac:dyDescent="0.25">
      <c r="A65" s="44" t="s">
        <v>75</v>
      </c>
      <c r="B65" s="31" t="s">
        <v>124</v>
      </c>
      <c r="C65" s="33">
        <v>1992</v>
      </c>
      <c r="D65" s="52">
        <v>37</v>
      </c>
      <c r="E65" s="52">
        <v>11</v>
      </c>
      <c r="F65" s="32">
        <v>12000</v>
      </c>
      <c r="G65" s="32"/>
      <c r="H65" s="38" t="s">
        <v>168</v>
      </c>
      <c r="I65" s="148"/>
      <c r="J65" s="148"/>
      <c r="K65" s="152"/>
      <c r="L65" s="148">
        <f>(5600*2/3)*0.9</f>
        <v>3360</v>
      </c>
      <c r="M65" s="152">
        <v>0.01</v>
      </c>
      <c r="N65" s="148">
        <f t="shared" si="0"/>
        <v>3360</v>
      </c>
      <c r="O65" s="149">
        <f t="shared" si="27"/>
        <v>84</v>
      </c>
      <c r="P65" s="148">
        <f>(5600*2/3)*0.6*0.85</f>
        <v>1904</v>
      </c>
      <c r="Q65" s="152">
        <f t="shared" si="73"/>
        <v>1.6E-2</v>
      </c>
      <c r="R65" s="149">
        <f t="shared" si="29"/>
        <v>76.160000000000011</v>
      </c>
      <c r="S65" s="148"/>
      <c r="T65" s="148"/>
      <c r="U65" s="148"/>
      <c r="V65" s="149">
        <f t="shared" si="84"/>
        <v>8.3866666666666667</v>
      </c>
      <c r="W65" s="149">
        <f>(5600*2/3)*0.6/(2.1*1.6)*(2.1+1.6)*2*0.85/1000</f>
        <v>4.1933333333333334</v>
      </c>
      <c r="X65" s="148">
        <f t="shared" si="11"/>
        <v>7168</v>
      </c>
      <c r="Y65" s="149">
        <f t="shared" si="12"/>
        <v>160.16000000000003</v>
      </c>
      <c r="Z65" s="152">
        <f t="shared" si="4"/>
        <v>2.6000000000000002E-2</v>
      </c>
      <c r="AA65" s="79">
        <v>2021</v>
      </c>
      <c r="AB65" s="73">
        <f>IF(AU65=0, IF(AND((C65+AA65)&gt;0,MAX(C65,AA65)&gt;(2022-Hypotheses!$D$3)), MAX(C65,AA65)+Hypotheses!$D$3, 2027), "")</f>
        <v>2061</v>
      </c>
      <c r="AC65" s="62"/>
      <c r="AD65" s="153">
        <f t="shared" si="74"/>
        <v>7168</v>
      </c>
      <c r="AE65" s="153">
        <f t="shared" si="74"/>
        <v>160.16000000000003</v>
      </c>
      <c r="AF65" s="153">
        <f t="shared" si="75"/>
        <v>84</v>
      </c>
      <c r="AG65" s="153">
        <f t="shared" si="76"/>
        <v>76.160000000000011</v>
      </c>
      <c r="AH65" s="153">
        <f t="shared" si="77"/>
        <v>8.3866666666666667</v>
      </c>
      <c r="AI65" s="153">
        <f t="shared" si="77"/>
        <v>4.1933333333333334</v>
      </c>
      <c r="AJ65" s="64" t="s">
        <v>168</v>
      </c>
      <c r="AK65" s="150">
        <f t="shared" si="87"/>
        <v>3360</v>
      </c>
      <c r="AL65" s="156">
        <f t="shared" si="87"/>
        <v>0.01</v>
      </c>
      <c r="AM65" s="150">
        <f t="shared" si="88"/>
        <v>84</v>
      </c>
      <c r="AN65" s="155">
        <f t="shared" si="78"/>
        <v>1904</v>
      </c>
      <c r="AO65" s="156">
        <f t="shared" si="78"/>
        <v>1.6E-2</v>
      </c>
      <c r="AP65" s="150">
        <f t="shared" si="85"/>
        <v>76.160000000000011</v>
      </c>
      <c r="AQ65" s="150">
        <f t="shared" si="8"/>
        <v>5264</v>
      </c>
      <c r="AR65" s="150">
        <f t="shared" si="89"/>
        <v>160.16000000000003</v>
      </c>
      <c r="AS65" s="150">
        <f t="shared" si="81"/>
        <v>8.3866666666666667</v>
      </c>
      <c r="AT65" s="150">
        <f t="shared" si="81"/>
        <v>4.1933333333333334</v>
      </c>
      <c r="AU65" s="81"/>
      <c r="AV65" s="158"/>
      <c r="AW65" s="158"/>
      <c r="AX65" s="158"/>
      <c r="AY65" s="158"/>
      <c r="AZ65" s="158"/>
      <c r="BA65" s="158"/>
      <c r="BC65" s="180">
        <f t="shared" si="51"/>
        <v>29</v>
      </c>
      <c r="BD65" s="180">
        <f>2022-AA65</f>
        <v>1</v>
      </c>
      <c r="BE65" s="181" t="str">
        <f t="shared" si="52"/>
        <v/>
      </c>
      <c r="BF65" s="88" t="s">
        <v>74</v>
      </c>
    </row>
    <row r="66" spans="1:61" ht="18.75" customHeight="1" x14ac:dyDescent="0.25">
      <c r="A66" s="44" t="s">
        <v>48</v>
      </c>
      <c r="B66" s="31" t="s">
        <v>124</v>
      </c>
      <c r="C66" s="33">
        <v>1992</v>
      </c>
      <c r="D66" s="52">
        <v>84</v>
      </c>
      <c r="E66" s="52">
        <v>26</v>
      </c>
      <c r="F66" s="32">
        <v>55800</v>
      </c>
      <c r="G66" s="32"/>
      <c r="H66" s="38" t="s">
        <v>168</v>
      </c>
      <c r="I66" s="148">
        <f>(7*2*26+20*6)*(2*2)+(14*2*28+5*6+14*18*2)</f>
        <v>3254</v>
      </c>
      <c r="J66" s="148"/>
      <c r="K66" s="152"/>
      <c r="L66" s="148">
        <f>(8900+(14*2*28+5*6+14*18*2)*1.2*1.2)*0.9</f>
        <v>9718.1280000000006</v>
      </c>
      <c r="M66" s="152">
        <v>0.01</v>
      </c>
      <c r="N66" s="148">
        <f t="shared" si="0"/>
        <v>9718.1280000000006</v>
      </c>
      <c r="O66" s="149">
        <f t="shared" si="27"/>
        <v>242.95320000000004</v>
      </c>
      <c r="P66" s="148">
        <f>(I66*(1.2*1.2))*0.9</f>
        <v>4217.1840000000002</v>
      </c>
      <c r="Q66" s="152">
        <f t="shared" si="73"/>
        <v>1.6E-2</v>
      </c>
      <c r="R66" s="149">
        <f t="shared" si="29"/>
        <v>168.68736000000001</v>
      </c>
      <c r="S66" s="148"/>
      <c r="T66" s="148"/>
      <c r="U66" s="148"/>
      <c r="V66" s="149">
        <f t="shared" si="84"/>
        <v>18.357119999999998</v>
      </c>
      <c r="W66" s="149">
        <f>((7*2*26+20*6)*(2+2)*2+(14*2*28+5*6+14*18*2)*(1.2+1.2)*2)*0.9/1000</f>
        <v>9.1785599999999992</v>
      </c>
      <c r="X66" s="148">
        <f t="shared" si="11"/>
        <v>18152.495999999999</v>
      </c>
      <c r="Y66" s="149">
        <f t="shared" si="12"/>
        <v>411.64056000000005</v>
      </c>
      <c r="Z66" s="152">
        <f t="shared" si="4"/>
        <v>2.6000000000000002E-2</v>
      </c>
      <c r="AA66" s="79"/>
      <c r="AB66" s="73">
        <f>IF(AU66=0, IF(AND((C66+AA66)&gt;0,MAX(C66,AA66)&gt;(2022-Hypotheses!$D$3)), MAX(C66,AA66)+Hypotheses!$D$3, 2027), "")</f>
        <v>2032</v>
      </c>
      <c r="AC66" s="62"/>
      <c r="AD66" s="153">
        <f t="shared" si="74"/>
        <v>18152.495999999999</v>
      </c>
      <c r="AE66" s="153">
        <f t="shared" si="74"/>
        <v>411.64056000000005</v>
      </c>
      <c r="AF66" s="153">
        <f t="shared" si="75"/>
        <v>242.95320000000004</v>
      </c>
      <c r="AG66" s="153">
        <f t="shared" si="76"/>
        <v>168.68736000000001</v>
      </c>
      <c r="AH66" s="153">
        <f t="shared" si="77"/>
        <v>18.357119999999998</v>
      </c>
      <c r="AI66" s="153">
        <f t="shared" si="77"/>
        <v>9.1785599999999992</v>
      </c>
      <c r="AJ66" s="64" t="s">
        <v>168</v>
      </c>
      <c r="AK66" s="150">
        <f t="shared" si="87"/>
        <v>9718.1280000000006</v>
      </c>
      <c r="AL66" s="156">
        <f t="shared" si="87"/>
        <v>0.01</v>
      </c>
      <c r="AM66" s="150">
        <f t="shared" ref="AM66" si="90">AK66*AL66*2.5</f>
        <v>242.95320000000004</v>
      </c>
      <c r="AN66" s="155">
        <f t="shared" si="78"/>
        <v>4217.1840000000002</v>
      </c>
      <c r="AO66" s="156">
        <f t="shared" si="78"/>
        <v>1.6E-2</v>
      </c>
      <c r="AP66" s="150">
        <f t="shared" ref="AP66" si="91">AN66*AO66*2.5</f>
        <v>168.68736000000001</v>
      </c>
      <c r="AQ66" s="150">
        <f t="shared" si="8"/>
        <v>13935.312000000002</v>
      </c>
      <c r="AR66" s="150">
        <f t="shared" ref="AR66" si="92">AM66+AP66</f>
        <v>411.64056000000005</v>
      </c>
      <c r="AS66" s="150">
        <f t="shared" si="81"/>
        <v>18.357119999999998</v>
      </c>
      <c r="AT66" s="150">
        <f t="shared" si="81"/>
        <v>9.1785599999999992</v>
      </c>
      <c r="AU66" s="81"/>
      <c r="AV66" s="158"/>
      <c r="AW66" s="158"/>
      <c r="AX66" s="158"/>
      <c r="AY66" s="158"/>
      <c r="AZ66" s="158"/>
      <c r="BA66" s="158"/>
      <c r="BC66" s="180" t="str">
        <f t="shared" si="51"/>
        <v/>
      </c>
      <c r="BD66" s="180">
        <f>IF(AND(AA66=0, 2022-C66&gt;0, AU66=0),2022-C66,"")</f>
        <v>30</v>
      </c>
      <c r="BE66" s="181" t="str">
        <f t="shared" si="52"/>
        <v/>
      </c>
    </row>
    <row r="67" spans="1:61" ht="18.75" customHeight="1" x14ac:dyDescent="0.25">
      <c r="A67" s="44" t="s">
        <v>102</v>
      </c>
      <c r="B67" s="31" t="s">
        <v>124</v>
      </c>
      <c r="C67" s="33">
        <v>1993</v>
      </c>
      <c r="D67" s="52">
        <v>50</v>
      </c>
      <c r="E67" s="52">
        <v>14</v>
      </c>
      <c r="F67" s="32">
        <v>7128</v>
      </c>
      <c r="G67" s="32"/>
      <c r="H67" s="38" t="s">
        <v>146</v>
      </c>
      <c r="I67" s="148"/>
      <c r="J67" s="148">
        <v>570</v>
      </c>
      <c r="K67" s="152">
        <v>0.01</v>
      </c>
      <c r="L67" s="148"/>
      <c r="M67" s="152"/>
      <c r="N67" s="148">
        <f>L67+J67</f>
        <v>570</v>
      </c>
      <c r="O67" s="149">
        <f>(J67*K67+L67*M67)*2.5</f>
        <v>14.25</v>
      </c>
      <c r="P67" s="148">
        <v>1070</v>
      </c>
      <c r="Q67" s="152">
        <v>1.7999999999999999E-2</v>
      </c>
      <c r="R67" s="149">
        <f t="shared" si="29"/>
        <v>48.149999999999991</v>
      </c>
      <c r="S67" s="148"/>
      <c r="T67" s="148"/>
      <c r="U67" s="148"/>
      <c r="V67" s="149">
        <f t="shared" si="84"/>
        <v>4.9933333333333341</v>
      </c>
      <c r="W67" s="149">
        <f>P67/(1.5*2)*(1.5+2)*2/1000</f>
        <v>2.496666666666667</v>
      </c>
      <c r="X67" s="148">
        <f t="shared" si="11"/>
        <v>2710</v>
      </c>
      <c r="Y67" s="149">
        <f t="shared" si="12"/>
        <v>62.399999999999991</v>
      </c>
      <c r="Z67" s="152">
        <f t="shared" si="4"/>
        <v>1.7999999999999999E-2</v>
      </c>
      <c r="AA67" s="79"/>
      <c r="AB67" s="73" t="str">
        <f>IF(AU67=0, IF(AND((C67+AA67)&gt;0,MAX(C67,AA67)&gt;(2022-Hypotheses!$D$3)), MAX(C67,AA67)+Hypotheses!$D$3, 2027), "")</f>
        <v/>
      </c>
      <c r="AC67" s="62"/>
      <c r="AD67" s="153"/>
      <c r="AE67" s="153"/>
      <c r="AF67" s="153"/>
      <c r="AG67" s="153"/>
      <c r="AH67" s="153"/>
      <c r="AI67" s="153"/>
      <c r="AJ67" s="64"/>
      <c r="AK67" s="150"/>
      <c r="AL67" s="156"/>
      <c r="AM67" s="150"/>
      <c r="AN67" s="150"/>
      <c r="AO67" s="156"/>
      <c r="AP67" s="150"/>
      <c r="AQ67" s="150"/>
      <c r="AR67" s="150"/>
      <c r="AS67" s="150"/>
      <c r="AT67" s="150"/>
      <c r="AU67" s="81">
        <v>2016</v>
      </c>
      <c r="AV67" s="158">
        <f>O67</f>
        <v>14.25</v>
      </c>
      <c r="AW67" s="158">
        <f>R67</f>
        <v>48.149999999999991</v>
      </c>
      <c r="AX67" s="158">
        <f>X67</f>
        <v>2710</v>
      </c>
      <c r="AY67" s="158">
        <f>Y67</f>
        <v>62.399999999999991</v>
      </c>
      <c r="AZ67" s="158">
        <f>V67</f>
        <v>4.9933333333333341</v>
      </c>
      <c r="BA67" s="158">
        <f>W67</f>
        <v>2.496666666666667</v>
      </c>
      <c r="BC67" s="180" t="str">
        <f t="shared" si="51"/>
        <v/>
      </c>
      <c r="BD67" s="180" t="str">
        <f>IF(AND(AA67=0, 2022-C67&gt;0, AU67=0),2022-C67,"")</f>
        <v/>
      </c>
      <c r="BE67" s="181">
        <f t="shared" si="52"/>
        <v>23</v>
      </c>
      <c r="BF67" s="90" t="s">
        <v>103</v>
      </c>
    </row>
    <row r="68" spans="1:61" ht="18.75" customHeight="1" x14ac:dyDescent="0.25">
      <c r="A68" s="44" t="s">
        <v>111</v>
      </c>
      <c r="B68" s="31" t="s">
        <v>124</v>
      </c>
      <c r="C68" s="33">
        <v>1995</v>
      </c>
      <c r="D68" s="52">
        <v>167</v>
      </c>
      <c r="E68" s="52">
        <v>38</v>
      </c>
      <c r="F68" s="32">
        <v>126000</v>
      </c>
      <c r="G68" s="32"/>
      <c r="H68" s="38" t="s">
        <v>168</v>
      </c>
      <c r="I68" s="148"/>
      <c r="J68" s="148">
        <v>2040</v>
      </c>
      <c r="K68" s="152">
        <v>0.01</v>
      </c>
      <c r="L68" s="148">
        <f>51000*0.8*0.9</f>
        <v>36720</v>
      </c>
      <c r="M68" s="152">
        <v>0.01</v>
      </c>
      <c r="N68" s="148">
        <f t="shared" ref="N68:N103" si="93">L68+J68</f>
        <v>38760</v>
      </c>
      <c r="O68" s="149">
        <f t="shared" si="27"/>
        <v>968.99999999999989</v>
      </c>
      <c r="P68" s="148">
        <f>51000*0.8*0.9</f>
        <v>36720</v>
      </c>
      <c r="Q68" s="152">
        <f t="shared" si="73"/>
        <v>1.6E-2</v>
      </c>
      <c r="R68" s="149">
        <f t="shared" si="29"/>
        <v>1468.8</v>
      </c>
      <c r="S68" s="148"/>
      <c r="T68" s="148"/>
      <c r="U68" s="148"/>
      <c r="V68" s="149">
        <f t="shared" si="84"/>
        <v>97.92</v>
      </c>
      <c r="W68" s="149">
        <f>51000*0.8*0.9/(3*3)*(3+3)*2/1000</f>
        <v>48.96</v>
      </c>
      <c r="X68" s="148">
        <f t="shared" si="11"/>
        <v>112200</v>
      </c>
      <c r="Y68" s="149">
        <f t="shared" si="12"/>
        <v>2437.7999999999997</v>
      </c>
      <c r="Z68" s="152">
        <f t="shared" si="4"/>
        <v>2.6000000000000002E-2</v>
      </c>
      <c r="AA68" s="79"/>
      <c r="AB68" s="73">
        <f>IF(AU68=0, IF(AND((C68+AA68)&gt;0,MAX(C68,AA68)&gt;(2022-Hypotheses!$D$3)), MAX(C68,AA68)+Hypotheses!$D$3, 2027), "")</f>
        <v>2035</v>
      </c>
      <c r="AC68" s="62"/>
      <c r="AD68" s="153">
        <f t="shared" ref="AD68:AD103" si="94">X68</f>
        <v>112200</v>
      </c>
      <c r="AE68" s="153">
        <f t="shared" ref="AE68:AE103" si="95">Y68</f>
        <v>2437.7999999999997</v>
      </c>
      <c r="AF68" s="153">
        <f t="shared" ref="AF68:AF103" si="96">O68</f>
        <v>968.99999999999989</v>
      </c>
      <c r="AG68" s="153">
        <f t="shared" ref="AG68:AG103" si="97">R68</f>
        <v>1468.8</v>
      </c>
      <c r="AH68" s="153">
        <f t="shared" ref="AH68:AH103" si="98">V68</f>
        <v>97.92</v>
      </c>
      <c r="AI68" s="153">
        <f t="shared" ref="AI68:AI103" si="99">W68</f>
        <v>48.96</v>
      </c>
      <c r="AJ68" s="64" t="s">
        <v>168</v>
      </c>
      <c r="AK68" s="150">
        <f>L68</f>
        <v>36720</v>
      </c>
      <c r="AL68" s="156">
        <f>M68</f>
        <v>0.01</v>
      </c>
      <c r="AM68" s="150">
        <f t="shared" ref="AM68:AM69" si="100">AK68*AL68*2.5</f>
        <v>918</v>
      </c>
      <c r="AN68" s="155">
        <f>P68</f>
        <v>36720</v>
      </c>
      <c r="AO68" s="156">
        <f>Q68</f>
        <v>1.6E-2</v>
      </c>
      <c r="AP68" s="150">
        <f t="shared" ref="AP68:AP69" si="101">AN68*AO68*2.5</f>
        <v>1468.8</v>
      </c>
      <c r="AQ68" s="150">
        <f t="shared" si="8"/>
        <v>73440</v>
      </c>
      <c r="AR68" s="150">
        <f t="shared" ref="AR68:AR69" si="102">AM68+AP68</f>
        <v>2386.8000000000002</v>
      </c>
      <c r="AS68" s="150">
        <f t="shared" ref="AS68:AS103" si="103">V68</f>
        <v>97.92</v>
      </c>
      <c r="AT68" s="150">
        <f t="shared" ref="AT68:AT103" si="104">W68</f>
        <v>48.96</v>
      </c>
      <c r="AU68" s="81"/>
      <c r="AV68" s="158"/>
      <c r="AW68" s="158"/>
      <c r="AX68" s="158"/>
      <c r="AY68" s="158"/>
      <c r="AZ68" s="158"/>
      <c r="BA68" s="158"/>
      <c r="BC68" s="180" t="str">
        <f t="shared" ref="BC68:BC103" si="105">IF(AA68&gt;0,AA68-C68,"")</f>
        <v/>
      </c>
      <c r="BD68" s="180">
        <f>IF(AND(AA68=0, 2022-C68&gt;0, AU68=0),2022-C68,"")</f>
        <v>27</v>
      </c>
      <c r="BE68" s="181" t="str">
        <f t="shared" ref="BE68:BE103" si="106">IF(AU68&gt;0,AU68-C68,"")</f>
        <v/>
      </c>
    </row>
    <row r="69" spans="1:61" ht="18.75" customHeight="1" x14ac:dyDescent="0.25">
      <c r="A69" s="44" t="s">
        <v>213</v>
      </c>
      <c r="B69" s="31" t="s">
        <v>124</v>
      </c>
      <c r="C69" s="33">
        <v>1998</v>
      </c>
      <c r="D69" s="52">
        <v>97</v>
      </c>
      <c r="E69" s="52">
        <v>24</v>
      </c>
      <c r="F69" s="32">
        <v>27700</v>
      </c>
      <c r="G69" s="32"/>
      <c r="H69" s="38" t="s">
        <v>168</v>
      </c>
      <c r="I69" s="148"/>
      <c r="J69" s="148"/>
      <c r="K69" s="152"/>
      <c r="L69" s="148">
        <f>(15500-1000)*0.5*0.9</f>
        <v>6525</v>
      </c>
      <c r="M69" s="152">
        <v>0.01</v>
      </c>
      <c r="N69" s="148">
        <f t="shared" si="93"/>
        <v>6525</v>
      </c>
      <c r="O69" s="149">
        <f t="shared" si="27"/>
        <v>163.125</v>
      </c>
      <c r="P69" s="148">
        <f>(15500-1000)*0.5*0.9</f>
        <v>6525</v>
      </c>
      <c r="Q69" s="152">
        <f t="shared" si="73"/>
        <v>1.6E-2</v>
      </c>
      <c r="R69" s="149">
        <f t="shared" si="29"/>
        <v>261</v>
      </c>
      <c r="S69" s="148"/>
      <c r="T69" s="148"/>
      <c r="U69" s="148"/>
      <c r="V69" s="149">
        <f t="shared" si="84"/>
        <v>26.1</v>
      </c>
      <c r="W69" s="149">
        <f>(15500-1000)*0.5*0.9/(2*2)*(2+2)*2/1000</f>
        <v>13.05</v>
      </c>
      <c r="X69" s="148">
        <f t="shared" si="11"/>
        <v>19575</v>
      </c>
      <c r="Y69" s="149">
        <f t="shared" si="12"/>
        <v>424.125</v>
      </c>
      <c r="Z69" s="152">
        <f t="shared" ref="Z69:Z103" si="107">M69+Q69</f>
        <v>2.6000000000000002E-2</v>
      </c>
      <c r="AA69" s="79"/>
      <c r="AB69" s="73">
        <f>IF(AU69=0, IF(AND((C69+AA69)&gt;0,MAX(C69,AA69)&gt;(2022-Hypotheses!$D$3)), MAX(C69,AA69)+Hypotheses!$D$3, 2027), "")</f>
        <v>2038</v>
      </c>
      <c r="AC69" s="62"/>
      <c r="AD69" s="153">
        <f t="shared" si="94"/>
        <v>19575</v>
      </c>
      <c r="AE69" s="153">
        <f t="shared" si="95"/>
        <v>424.125</v>
      </c>
      <c r="AF69" s="153">
        <f t="shared" si="96"/>
        <v>163.125</v>
      </c>
      <c r="AG69" s="153">
        <f t="shared" si="97"/>
        <v>261</v>
      </c>
      <c r="AH69" s="153">
        <f t="shared" si="98"/>
        <v>26.1</v>
      </c>
      <c r="AI69" s="153">
        <f t="shared" si="99"/>
        <v>13.05</v>
      </c>
      <c r="AJ69" s="64" t="s">
        <v>168</v>
      </c>
      <c r="AK69" s="150">
        <f>L69</f>
        <v>6525</v>
      </c>
      <c r="AL69" s="156">
        <f>M69</f>
        <v>0.01</v>
      </c>
      <c r="AM69" s="150">
        <f t="shared" si="100"/>
        <v>163.125</v>
      </c>
      <c r="AN69" s="155">
        <f>P69</f>
        <v>6525</v>
      </c>
      <c r="AO69" s="156">
        <f>Q69</f>
        <v>1.6E-2</v>
      </c>
      <c r="AP69" s="150">
        <f t="shared" si="101"/>
        <v>261</v>
      </c>
      <c r="AQ69" s="150">
        <f t="shared" ref="AQ69:AQ103" si="108">AN69+AK69</f>
        <v>13050</v>
      </c>
      <c r="AR69" s="150">
        <f t="shared" si="102"/>
        <v>424.125</v>
      </c>
      <c r="AS69" s="150">
        <f t="shared" si="103"/>
        <v>26.1</v>
      </c>
      <c r="AT69" s="150">
        <f t="shared" si="104"/>
        <v>13.05</v>
      </c>
      <c r="AU69" s="81"/>
      <c r="AV69" s="158"/>
      <c r="AW69" s="158"/>
      <c r="AX69" s="158"/>
      <c r="AY69" s="158"/>
      <c r="AZ69" s="158"/>
      <c r="BA69" s="158"/>
      <c r="BC69" s="180" t="str">
        <f t="shared" si="105"/>
        <v/>
      </c>
      <c r="BD69" s="180">
        <f>IF(AND(AA69=0, 2022-C69&gt;0, AU69=0),2022-C69,"")</f>
        <v>24</v>
      </c>
      <c r="BE69" s="181" t="str">
        <f t="shared" si="106"/>
        <v/>
      </c>
    </row>
    <row r="70" spans="1:61" ht="18.75" customHeight="1" x14ac:dyDescent="0.25">
      <c r="A70" s="44" t="s">
        <v>214</v>
      </c>
      <c r="B70" s="31" t="s">
        <v>124</v>
      </c>
      <c r="C70" s="33">
        <v>1998</v>
      </c>
      <c r="D70" s="52">
        <v>103</v>
      </c>
      <c r="E70" s="52">
        <v>25</v>
      </c>
      <c r="F70" s="32">
        <v>30187</v>
      </c>
      <c r="G70" s="32"/>
      <c r="H70" s="38" t="s">
        <v>146</v>
      </c>
      <c r="I70" s="148">
        <f>(49*26)</f>
        <v>1274</v>
      </c>
      <c r="J70" s="148"/>
      <c r="K70" s="152"/>
      <c r="L70" s="148"/>
      <c r="M70" s="152"/>
      <c r="N70" s="148"/>
      <c r="O70" s="149"/>
      <c r="P70" s="148">
        <f>(1.9*1.9)*I70</f>
        <v>4599.1399999999994</v>
      </c>
      <c r="Q70" s="152">
        <v>1.7999999999999999E-2</v>
      </c>
      <c r="R70" s="149">
        <f t="shared" si="29"/>
        <v>206.96129999999997</v>
      </c>
      <c r="S70" s="148"/>
      <c r="T70" s="148"/>
      <c r="U70" s="148"/>
      <c r="V70" s="149">
        <f t="shared" si="84"/>
        <v>19.364799999999999</v>
      </c>
      <c r="W70" s="149">
        <f>(1.9+1.9)*2*(49*26)/1000</f>
        <v>9.6823999999999995</v>
      </c>
      <c r="X70" s="148">
        <f t="shared" si="11"/>
        <v>9198.2799999999988</v>
      </c>
      <c r="Y70" s="149">
        <f t="shared" si="12"/>
        <v>206.96129999999997</v>
      </c>
      <c r="Z70" s="152">
        <f t="shared" si="107"/>
        <v>1.7999999999999999E-2</v>
      </c>
      <c r="AA70" s="79">
        <v>2021</v>
      </c>
      <c r="AB70" s="73">
        <f>IF(AU70=0, IF(AND((C70+AA70)&gt;0,MAX(C70,AA70)&gt;(2022-Hypotheses!$D$3)), MAX(C70,AA70)+Hypotheses!$D$3, 2027), "")</f>
        <v>2061</v>
      </c>
      <c r="AC70" s="62"/>
      <c r="AD70" s="153">
        <f t="shared" si="94"/>
        <v>9198.2799999999988</v>
      </c>
      <c r="AE70" s="153">
        <f t="shared" si="95"/>
        <v>206.96129999999997</v>
      </c>
      <c r="AF70" s="153">
        <f t="shared" si="96"/>
        <v>0</v>
      </c>
      <c r="AG70" s="153">
        <f t="shared" si="97"/>
        <v>206.96129999999997</v>
      </c>
      <c r="AH70" s="153">
        <f t="shared" si="98"/>
        <v>19.364799999999999</v>
      </c>
      <c r="AI70" s="153">
        <f t="shared" si="99"/>
        <v>9.6823999999999995</v>
      </c>
      <c r="AJ70" s="64" t="s">
        <v>168</v>
      </c>
      <c r="AK70" s="150">
        <f>I70*1.9*1.9</f>
        <v>4599.1399999999994</v>
      </c>
      <c r="AL70" s="156">
        <v>0.02</v>
      </c>
      <c r="AM70" s="150">
        <f t="shared" ref="AM70:AM73" si="109">AK70*AL70*2.5</f>
        <v>229.95699999999997</v>
      </c>
      <c r="AN70" s="150">
        <f>I70*1.9*1.9</f>
        <v>4599.1399999999994</v>
      </c>
      <c r="AO70" s="156">
        <f t="shared" ref="AO70:AO88" si="110">Q70</f>
        <v>1.7999999999999999E-2</v>
      </c>
      <c r="AP70" s="150">
        <f t="shared" ref="AP70:AP73" si="111">AN70*AO70*2.5</f>
        <v>206.96129999999997</v>
      </c>
      <c r="AQ70" s="150">
        <f t="shared" si="108"/>
        <v>9198.2799999999988</v>
      </c>
      <c r="AR70" s="150">
        <f>AM70+AP70</f>
        <v>436.91829999999993</v>
      </c>
      <c r="AS70" s="150">
        <f t="shared" si="103"/>
        <v>19.364799999999999</v>
      </c>
      <c r="AT70" s="150">
        <f t="shared" si="104"/>
        <v>9.6823999999999995</v>
      </c>
      <c r="AU70" s="81"/>
      <c r="AV70" s="158"/>
      <c r="AW70" s="158"/>
      <c r="AX70" s="158"/>
      <c r="AY70" s="158"/>
      <c r="AZ70" s="158"/>
      <c r="BA70" s="158"/>
      <c r="BC70" s="180">
        <f t="shared" si="105"/>
        <v>23</v>
      </c>
      <c r="BD70" s="180">
        <f>2022-AA70</f>
        <v>1</v>
      </c>
      <c r="BE70" s="181" t="str">
        <f t="shared" si="106"/>
        <v/>
      </c>
    </row>
    <row r="71" spans="1:61" ht="18.75" customHeight="1" x14ac:dyDescent="0.25">
      <c r="A71" s="44" t="s">
        <v>78</v>
      </c>
      <c r="B71" s="31" t="s">
        <v>124</v>
      </c>
      <c r="C71" s="33">
        <v>1998</v>
      </c>
      <c r="D71" s="52">
        <v>35</v>
      </c>
      <c r="E71" s="52">
        <v>9</v>
      </c>
      <c r="F71" s="32">
        <v>27527</v>
      </c>
      <c r="G71" s="32"/>
      <c r="H71" s="38" t="s">
        <v>146</v>
      </c>
      <c r="I71" s="148">
        <f>120*11</f>
        <v>1320</v>
      </c>
      <c r="J71" s="148"/>
      <c r="K71" s="152"/>
      <c r="L71" s="148"/>
      <c r="M71" s="152"/>
      <c r="N71" s="148"/>
      <c r="O71" s="149"/>
      <c r="P71" s="148">
        <f>I71*(2*1.9)</f>
        <v>5016</v>
      </c>
      <c r="Q71" s="152">
        <v>1.7999999999999999E-2</v>
      </c>
      <c r="R71" s="149">
        <f t="shared" si="29"/>
        <v>225.72</v>
      </c>
      <c r="S71" s="148"/>
      <c r="T71" s="148"/>
      <c r="U71" s="148"/>
      <c r="V71" s="149">
        <f>W71</f>
        <v>10.295999999999999</v>
      </c>
      <c r="W71" s="149">
        <f>I71*(2+1.9)*2/1000</f>
        <v>10.295999999999999</v>
      </c>
      <c r="X71" s="148">
        <f t="shared" si="11"/>
        <v>10032</v>
      </c>
      <c r="Y71" s="149">
        <f t="shared" si="12"/>
        <v>225.72</v>
      </c>
      <c r="Z71" s="152">
        <f t="shared" si="107"/>
        <v>1.7999999999999999E-2</v>
      </c>
      <c r="AA71" s="79"/>
      <c r="AB71" s="73">
        <f>IF(AU71=0, IF(AND((C71+AA71)&gt;0,MAX(C71,AA71)&gt;(2022-Hypotheses!$D$3)), MAX(C71,AA71)+Hypotheses!$D$3, 2027), "")</f>
        <v>2038</v>
      </c>
      <c r="AC71" s="62"/>
      <c r="AD71" s="153">
        <f t="shared" si="94"/>
        <v>10032</v>
      </c>
      <c r="AE71" s="153">
        <f t="shared" si="95"/>
        <v>225.72</v>
      </c>
      <c r="AF71" s="153">
        <f t="shared" si="96"/>
        <v>0</v>
      </c>
      <c r="AG71" s="153">
        <f t="shared" si="97"/>
        <v>225.72</v>
      </c>
      <c r="AH71" s="153">
        <f t="shared" si="98"/>
        <v>10.295999999999999</v>
      </c>
      <c r="AI71" s="153">
        <f t="shared" si="99"/>
        <v>10.295999999999999</v>
      </c>
      <c r="AJ71" s="64" t="s">
        <v>146</v>
      </c>
      <c r="AK71" s="150"/>
      <c r="AL71" s="156"/>
      <c r="AM71" s="150"/>
      <c r="AN71" s="155">
        <f t="shared" ref="AN71:AN88" si="112">P71</f>
        <v>5016</v>
      </c>
      <c r="AO71" s="156">
        <f t="shared" si="110"/>
        <v>1.7999999999999999E-2</v>
      </c>
      <c r="AP71" s="150">
        <f t="shared" si="111"/>
        <v>225.72</v>
      </c>
      <c r="AQ71" s="150">
        <f t="shared" si="108"/>
        <v>5016</v>
      </c>
      <c r="AR71" s="150">
        <f t="shared" ref="AR71:AR73" si="113">AM71+AP71</f>
        <v>225.72</v>
      </c>
      <c r="AS71" s="150">
        <f t="shared" si="103"/>
        <v>10.295999999999999</v>
      </c>
      <c r="AT71" s="150">
        <f t="shared" si="104"/>
        <v>10.295999999999999</v>
      </c>
      <c r="AU71" s="81"/>
      <c r="AV71" s="158"/>
      <c r="AW71" s="158"/>
      <c r="AX71" s="158"/>
      <c r="AY71" s="158"/>
      <c r="AZ71" s="158"/>
      <c r="BA71" s="158"/>
      <c r="BC71" s="180" t="str">
        <f t="shared" si="105"/>
        <v/>
      </c>
      <c r="BD71" s="180">
        <f>IF(AND(AA71=0, 2022-C71&gt;0, AU71=0),2022-C71,"")</f>
        <v>24</v>
      </c>
      <c r="BE71" s="181" t="str">
        <f t="shared" si="106"/>
        <v/>
      </c>
    </row>
    <row r="72" spans="1:61" ht="18.75" customHeight="1" x14ac:dyDescent="0.25">
      <c r="A72" s="44" t="s">
        <v>49</v>
      </c>
      <c r="B72" s="31" t="s">
        <v>124</v>
      </c>
      <c r="C72" s="33">
        <v>1998</v>
      </c>
      <c r="D72" s="52">
        <v>32</v>
      </c>
      <c r="E72" s="52">
        <v>8</v>
      </c>
      <c r="F72" s="32">
        <v>9990</v>
      </c>
      <c r="G72" s="32"/>
      <c r="H72" s="38" t="s">
        <v>146</v>
      </c>
      <c r="I72" s="148">
        <f>36*E72*2</f>
        <v>576</v>
      </c>
      <c r="J72" s="148">
        <f>I72*(0.8*1)*0.9</f>
        <v>414.72</v>
      </c>
      <c r="K72" s="152">
        <v>0.01</v>
      </c>
      <c r="L72" s="148"/>
      <c r="M72" s="152"/>
      <c r="N72" s="148">
        <f t="shared" si="93"/>
        <v>414.72</v>
      </c>
      <c r="O72" s="149">
        <f t="shared" si="27"/>
        <v>10.368000000000002</v>
      </c>
      <c r="P72" s="148">
        <f>I72*(1*1)*0.9*1.5</f>
        <v>777.59999999999991</v>
      </c>
      <c r="Q72" s="152">
        <v>1.7999999999999999E-2</v>
      </c>
      <c r="R72" s="149">
        <f t="shared" si="29"/>
        <v>34.99199999999999</v>
      </c>
      <c r="S72" s="148"/>
      <c r="T72" s="148"/>
      <c r="U72" s="148"/>
      <c r="V72" s="149">
        <f>W72*1.6</f>
        <v>3.3177599999999998</v>
      </c>
      <c r="W72" s="149">
        <f>36*8*2*(1+1)*2*0.9/1000</f>
        <v>2.0735999999999999</v>
      </c>
      <c r="X72" s="148">
        <f t="shared" si="11"/>
        <v>1969.9199999999998</v>
      </c>
      <c r="Y72" s="149">
        <f t="shared" si="12"/>
        <v>45.359999999999992</v>
      </c>
      <c r="Z72" s="152">
        <f t="shared" si="107"/>
        <v>1.7999999999999999E-2</v>
      </c>
      <c r="AA72" s="79"/>
      <c r="AB72" s="73">
        <f>IF(AU72=0, IF(AND((C72+AA72)&gt;0,MAX(C72,AA72)&gt;(2022-Hypotheses!$D$3)), MAX(C72,AA72)+Hypotheses!$D$3, 2027), "")</f>
        <v>2038</v>
      </c>
      <c r="AC72" s="62"/>
      <c r="AD72" s="153">
        <f t="shared" si="94"/>
        <v>1969.9199999999998</v>
      </c>
      <c r="AE72" s="153">
        <f t="shared" si="95"/>
        <v>45.359999999999992</v>
      </c>
      <c r="AF72" s="153">
        <f t="shared" si="96"/>
        <v>10.368000000000002</v>
      </c>
      <c r="AG72" s="153">
        <f t="shared" si="97"/>
        <v>34.99199999999999</v>
      </c>
      <c r="AH72" s="153">
        <f t="shared" si="98"/>
        <v>3.3177599999999998</v>
      </c>
      <c r="AI72" s="153">
        <f t="shared" si="99"/>
        <v>2.0735999999999999</v>
      </c>
      <c r="AJ72" s="64" t="s">
        <v>146</v>
      </c>
      <c r="AK72" s="150"/>
      <c r="AL72" s="156"/>
      <c r="AM72" s="150"/>
      <c r="AN72" s="155">
        <f t="shared" si="112"/>
        <v>777.59999999999991</v>
      </c>
      <c r="AO72" s="156">
        <f t="shared" si="110"/>
        <v>1.7999999999999999E-2</v>
      </c>
      <c r="AP72" s="150">
        <f t="shared" si="111"/>
        <v>34.99199999999999</v>
      </c>
      <c r="AQ72" s="150">
        <f t="shared" si="108"/>
        <v>777.59999999999991</v>
      </c>
      <c r="AR72" s="150">
        <f t="shared" si="113"/>
        <v>34.99199999999999</v>
      </c>
      <c r="AS72" s="150">
        <f t="shared" si="103"/>
        <v>3.3177599999999998</v>
      </c>
      <c r="AT72" s="150">
        <f t="shared" si="104"/>
        <v>2.0735999999999999</v>
      </c>
      <c r="AU72" s="81"/>
      <c r="AV72" s="158"/>
      <c r="AW72" s="158"/>
      <c r="AX72" s="158"/>
      <c r="AY72" s="158"/>
      <c r="AZ72" s="158"/>
      <c r="BA72" s="158"/>
      <c r="BC72" s="180" t="str">
        <f t="shared" si="105"/>
        <v/>
      </c>
      <c r="BD72" s="180">
        <f>IF(AND(AA72=0, 2022-C72&gt;0, AU72=0),2022-C72,"")</f>
        <v>24</v>
      </c>
      <c r="BE72" s="181" t="str">
        <f t="shared" si="106"/>
        <v/>
      </c>
    </row>
    <row r="73" spans="1:61" ht="18.75" customHeight="1" x14ac:dyDescent="0.25">
      <c r="A73" s="44" t="s">
        <v>215</v>
      </c>
      <c r="B73" s="31" t="s">
        <v>124</v>
      </c>
      <c r="C73" s="33">
        <v>1999</v>
      </c>
      <c r="D73" s="52">
        <v>155</v>
      </c>
      <c r="E73" s="52">
        <v>40</v>
      </c>
      <c r="F73" s="32">
        <v>54000</v>
      </c>
      <c r="G73" s="32"/>
      <c r="H73" s="38" t="s">
        <v>168</v>
      </c>
      <c r="I73" s="148">
        <f>(22+14+8+14)*E73</f>
        <v>2320</v>
      </c>
      <c r="J73" s="148">
        <f>I73*(1.5*1.7)*0.9</f>
        <v>5324.4000000000005</v>
      </c>
      <c r="K73" s="152">
        <v>0.01</v>
      </c>
      <c r="L73" s="148">
        <f>I73*(1.5*1.9)*0.9</f>
        <v>5950.7999999999993</v>
      </c>
      <c r="M73" s="152">
        <v>0.01</v>
      </c>
      <c r="N73" s="148">
        <f t="shared" si="93"/>
        <v>11275.2</v>
      </c>
      <c r="O73" s="149">
        <f t="shared" si="27"/>
        <v>281.88</v>
      </c>
      <c r="P73" s="148">
        <f>I73*(1.5*1.9)*0.9</f>
        <v>5950.7999999999993</v>
      </c>
      <c r="Q73" s="152">
        <f t="shared" si="73"/>
        <v>1.6E-2</v>
      </c>
      <c r="R73" s="149">
        <f t="shared" si="29"/>
        <v>238.03199999999998</v>
      </c>
      <c r="S73" s="148"/>
      <c r="T73" s="148"/>
      <c r="U73" s="148"/>
      <c r="V73" s="149">
        <f>W73*2.6</f>
        <v>36.915840000000003</v>
      </c>
      <c r="W73" s="149">
        <f>(22+14+8+14)*40*(1.5+1.9)*2*0.9/1000</f>
        <v>14.198399999999999</v>
      </c>
      <c r="X73" s="148">
        <f t="shared" ref="X73:X103" si="114">N73+P73*2+S73*3</f>
        <v>23176.799999999999</v>
      </c>
      <c r="Y73" s="149">
        <f t="shared" ref="Y73:Y103" si="115">O73+R73+U73</f>
        <v>519.91200000000003</v>
      </c>
      <c r="Z73" s="152">
        <f t="shared" si="107"/>
        <v>2.6000000000000002E-2</v>
      </c>
      <c r="AA73" s="79"/>
      <c r="AB73" s="73">
        <f>IF(AU73=0, IF(AND((C73+AA73)&gt;0,MAX(C73,AA73)&gt;(2022-Hypotheses!$D$3)), MAX(C73,AA73)+Hypotheses!$D$3, 2027), "")</f>
        <v>2039</v>
      </c>
      <c r="AC73" s="62"/>
      <c r="AD73" s="153">
        <f t="shared" si="94"/>
        <v>23176.799999999999</v>
      </c>
      <c r="AE73" s="153">
        <f t="shared" si="95"/>
        <v>519.91200000000003</v>
      </c>
      <c r="AF73" s="153">
        <f t="shared" si="96"/>
        <v>281.88</v>
      </c>
      <c r="AG73" s="153">
        <f t="shared" si="97"/>
        <v>238.03199999999998</v>
      </c>
      <c r="AH73" s="153">
        <f t="shared" si="98"/>
        <v>36.915840000000003</v>
      </c>
      <c r="AI73" s="153">
        <f t="shared" si="99"/>
        <v>14.198399999999999</v>
      </c>
      <c r="AJ73" s="64" t="s">
        <v>168</v>
      </c>
      <c r="AK73" s="150">
        <f>L73</f>
        <v>5950.7999999999993</v>
      </c>
      <c r="AL73" s="156">
        <f>M73</f>
        <v>0.01</v>
      </c>
      <c r="AM73" s="150">
        <f t="shared" si="109"/>
        <v>148.76999999999998</v>
      </c>
      <c r="AN73" s="155">
        <f t="shared" si="112"/>
        <v>5950.7999999999993</v>
      </c>
      <c r="AO73" s="156">
        <f t="shared" si="110"/>
        <v>1.6E-2</v>
      </c>
      <c r="AP73" s="150">
        <f t="shared" si="111"/>
        <v>238.03199999999998</v>
      </c>
      <c r="AQ73" s="150">
        <f t="shared" si="108"/>
        <v>11901.599999999999</v>
      </c>
      <c r="AR73" s="150">
        <f t="shared" si="113"/>
        <v>386.80199999999996</v>
      </c>
      <c r="AS73" s="150">
        <f t="shared" si="103"/>
        <v>36.915840000000003</v>
      </c>
      <c r="AT73" s="150">
        <f t="shared" si="104"/>
        <v>14.198399999999999</v>
      </c>
      <c r="AU73" s="81"/>
      <c r="AV73" s="158"/>
      <c r="AW73" s="158"/>
      <c r="AX73" s="158"/>
      <c r="AY73" s="158"/>
      <c r="AZ73" s="158"/>
      <c r="BA73" s="158"/>
      <c r="BC73" s="180" t="str">
        <f t="shared" si="105"/>
        <v/>
      </c>
      <c r="BD73" s="180">
        <f>IF(AND(AA73=0, 2022-C73&gt;0, AU73=0),2022-C73,"")</f>
        <v>23</v>
      </c>
      <c r="BE73" s="181" t="str">
        <f t="shared" si="106"/>
        <v/>
      </c>
    </row>
    <row r="74" spans="1:61" s="49" customFormat="1" ht="18.75" customHeight="1" x14ac:dyDescent="0.25">
      <c r="A74" s="44" t="s">
        <v>50</v>
      </c>
      <c r="B74" s="31" t="s">
        <v>124</v>
      </c>
      <c r="C74" s="33">
        <v>2001</v>
      </c>
      <c r="D74" s="52">
        <v>180</v>
      </c>
      <c r="E74" s="52">
        <v>40</v>
      </c>
      <c r="F74" s="32">
        <v>214700</v>
      </c>
      <c r="G74" s="32"/>
      <c r="H74" s="38" t="s">
        <v>168</v>
      </c>
      <c r="I74" s="148"/>
      <c r="J74" s="148"/>
      <c r="K74" s="152"/>
      <c r="L74" s="148">
        <f>(54000+18225)*0.9</f>
        <v>65002.5</v>
      </c>
      <c r="M74" s="152">
        <v>8.0000000000000002E-3</v>
      </c>
      <c r="N74" s="148">
        <f t="shared" si="93"/>
        <v>65002.5</v>
      </c>
      <c r="O74" s="149">
        <f t="shared" si="27"/>
        <v>1300.05</v>
      </c>
      <c r="P74" s="148">
        <f>(54000+18225)*0.65*0.9</f>
        <v>42251.625</v>
      </c>
      <c r="Q74" s="152">
        <f t="shared" si="73"/>
        <v>1.6E-2</v>
      </c>
      <c r="R74" s="149">
        <f t="shared" si="29"/>
        <v>1690.0650000000001</v>
      </c>
      <c r="S74" s="148"/>
      <c r="T74" s="148"/>
      <c r="U74" s="148"/>
      <c r="V74" s="149">
        <f>W74*2</f>
        <v>175.26599999999996</v>
      </c>
      <c r="W74" s="149">
        <f>(54000+18225)*0.65/(2.7*1.5)*(2.7+1.5)*2*0.9/1000</f>
        <v>87.632999999999981</v>
      </c>
      <c r="X74" s="148">
        <f t="shared" si="114"/>
        <v>149505.75</v>
      </c>
      <c r="Y74" s="149">
        <f t="shared" si="115"/>
        <v>2990.1149999999998</v>
      </c>
      <c r="Z74" s="152">
        <f t="shared" si="107"/>
        <v>2.4E-2</v>
      </c>
      <c r="AA74" s="79"/>
      <c r="AB74" s="73">
        <f>IF(AU74=0, IF(AND((C74+AA74)&gt;0,MAX(C74,AA74)&gt;(2022-Hypotheses!$D$3)), MAX(C74,AA74)+Hypotheses!$D$3, 2027), "")</f>
        <v>2041</v>
      </c>
      <c r="AC74" s="62"/>
      <c r="AD74" s="153">
        <f t="shared" si="94"/>
        <v>149505.75</v>
      </c>
      <c r="AE74" s="153">
        <f t="shared" si="95"/>
        <v>2990.1149999999998</v>
      </c>
      <c r="AF74" s="153">
        <f t="shared" si="96"/>
        <v>1300.05</v>
      </c>
      <c r="AG74" s="153">
        <f t="shared" si="97"/>
        <v>1690.0650000000001</v>
      </c>
      <c r="AH74" s="153">
        <f t="shared" si="98"/>
        <v>175.26599999999996</v>
      </c>
      <c r="AI74" s="153">
        <f t="shared" si="99"/>
        <v>87.632999999999981</v>
      </c>
      <c r="AJ74" s="64" t="s">
        <v>168</v>
      </c>
      <c r="AK74" s="150">
        <f>L74</f>
        <v>65002.5</v>
      </c>
      <c r="AL74" s="156">
        <f>M74</f>
        <v>8.0000000000000002E-3</v>
      </c>
      <c r="AM74" s="150">
        <f t="shared" ref="AM74" si="116">AK74*AL74*2.5</f>
        <v>1300.05</v>
      </c>
      <c r="AN74" s="155">
        <f t="shared" si="112"/>
        <v>42251.625</v>
      </c>
      <c r="AO74" s="156">
        <f t="shared" si="110"/>
        <v>1.6E-2</v>
      </c>
      <c r="AP74" s="150">
        <f t="shared" ref="AP74" si="117">AN74*AO74*2.5</f>
        <v>1690.0650000000001</v>
      </c>
      <c r="AQ74" s="150">
        <f t="shared" si="108"/>
        <v>107254.125</v>
      </c>
      <c r="AR74" s="150">
        <f t="shared" ref="AR74" si="118">AM74+AP74</f>
        <v>2990.1149999999998</v>
      </c>
      <c r="AS74" s="150">
        <f t="shared" si="103"/>
        <v>175.26599999999996</v>
      </c>
      <c r="AT74" s="150">
        <f t="shared" si="104"/>
        <v>87.632999999999981</v>
      </c>
      <c r="AU74" s="81"/>
      <c r="AV74" s="158"/>
      <c r="AW74" s="158"/>
      <c r="AX74" s="158"/>
      <c r="AY74" s="158"/>
      <c r="AZ74" s="158"/>
      <c r="BA74" s="158"/>
      <c r="BB74" s="98"/>
      <c r="BC74" s="180" t="str">
        <f t="shared" si="105"/>
        <v/>
      </c>
      <c r="BD74" s="180">
        <f>IF(AND(AA74=0, 2022-C74&gt;0, AU74=0),2022-C74,"")</f>
        <v>21</v>
      </c>
      <c r="BE74" s="181" t="str">
        <f t="shared" si="106"/>
        <v/>
      </c>
      <c r="BF74" s="90" t="s">
        <v>80</v>
      </c>
      <c r="BG74" s="50"/>
      <c r="BH74" s="47"/>
      <c r="BI74" s="47"/>
    </row>
    <row r="75" spans="1:61" ht="18.75" customHeight="1" x14ac:dyDescent="0.25">
      <c r="A75" s="44" t="s">
        <v>216</v>
      </c>
      <c r="B75" s="31" t="s">
        <v>124</v>
      </c>
      <c r="C75" s="33">
        <v>2001</v>
      </c>
      <c r="D75" s="52">
        <v>165</v>
      </c>
      <c r="E75" s="52">
        <v>41</v>
      </c>
      <c r="F75" s="32">
        <v>64300</v>
      </c>
      <c r="G75" s="32"/>
      <c r="H75" s="38" t="s">
        <v>146</v>
      </c>
      <c r="I75" s="148"/>
      <c r="J75" s="148"/>
      <c r="K75" s="152"/>
      <c r="L75" s="148"/>
      <c r="M75" s="152"/>
      <c r="N75" s="148"/>
      <c r="O75" s="149"/>
      <c r="P75" s="148">
        <f>27300*0.7*0.9</f>
        <v>17199</v>
      </c>
      <c r="Q75" s="152">
        <v>1.7999999999999999E-2</v>
      </c>
      <c r="R75" s="149">
        <f t="shared" si="29"/>
        <v>773.95499999999993</v>
      </c>
      <c r="S75" s="148"/>
      <c r="T75" s="148"/>
      <c r="U75" s="148"/>
      <c r="V75" s="149">
        <f>W75</f>
        <v>38.902500000000003</v>
      </c>
      <c r="W75" s="149">
        <f>27300*0.7/(2.4*1.4)*(2.4+1.4)*2*0.9/1000</f>
        <v>38.902500000000003</v>
      </c>
      <c r="X75" s="148">
        <f t="shared" si="114"/>
        <v>34398</v>
      </c>
      <c r="Y75" s="149">
        <f t="shared" si="115"/>
        <v>773.95499999999993</v>
      </c>
      <c r="Z75" s="152">
        <f t="shared" si="107"/>
        <v>1.7999999999999999E-2</v>
      </c>
      <c r="AA75" s="79"/>
      <c r="AB75" s="73">
        <f>IF(AU75=0, IF(AND((C75+AA75)&gt;0,MAX(C75,AA75)&gt;(2022-Hypotheses!$D$3)), MAX(C75,AA75)+Hypotheses!$D$3, 2027), "")</f>
        <v>2041</v>
      </c>
      <c r="AC75" s="62"/>
      <c r="AD75" s="153">
        <f t="shared" si="94"/>
        <v>34398</v>
      </c>
      <c r="AE75" s="153">
        <f t="shared" si="95"/>
        <v>773.95499999999993</v>
      </c>
      <c r="AF75" s="153">
        <f t="shared" si="96"/>
        <v>0</v>
      </c>
      <c r="AG75" s="153">
        <f t="shared" si="97"/>
        <v>773.95499999999993</v>
      </c>
      <c r="AH75" s="153">
        <f t="shared" si="98"/>
        <v>38.902500000000003</v>
      </c>
      <c r="AI75" s="153">
        <f t="shared" si="99"/>
        <v>38.902500000000003</v>
      </c>
      <c r="AJ75" s="64" t="s">
        <v>146</v>
      </c>
      <c r="AK75" s="150"/>
      <c r="AL75" s="156"/>
      <c r="AM75" s="150"/>
      <c r="AN75" s="155">
        <f t="shared" si="112"/>
        <v>17199</v>
      </c>
      <c r="AO75" s="156">
        <f t="shared" si="110"/>
        <v>1.7999999999999999E-2</v>
      </c>
      <c r="AP75" s="150">
        <f t="shared" ref="AP75:AP103" si="119">AN75*AO75*2.5</f>
        <v>773.95499999999993</v>
      </c>
      <c r="AQ75" s="150">
        <f t="shared" si="108"/>
        <v>17199</v>
      </c>
      <c r="AR75" s="150">
        <f t="shared" ref="AR75:AR103" si="120">AM75+AP75</f>
        <v>773.95499999999993</v>
      </c>
      <c r="AS75" s="150">
        <f t="shared" si="103"/>
        <v>38.902500000000003</v>
      </c>
      <c r="AT75" s="150">
        <f t="shared" si="104"/>
        <v>38.902500000000003</v>
      </c>
      <c r="AU75" s="81"/>
      <c r="AV75" s="158"/>
      <c r="AW75" s="158"/>
      <c r="AX75" s="158"/>
      <c r="AY75" s="158"/>
      <c r="AZ75" s="158"/>
      <c r="BA75" s="158"/>
      <c r="BC75" s="180" t="str">
        <f t="shared" si="105"/>
        <v/>
      </c>
      <c r="BD75" s="180">
        <f>IF(AND(AA75=0, 2022-C75&gt;0, AU75=0),2022-C75,"")</f>
        <v>21</v>
      </c>
      <c r="BE75" s="181" t="str">
        <f t="shared" si="106"/>
        <v/>
      </c>
    </row>
    <row r="76" spans="1:61" ht="18.75" customHeight="1" x14ac:dyDescent="0.25">
      <c r="A76" s="44" t="s">
        <v>217</v>
      </c>
      <c r="B76" s="31" t="s">
        <v>124</v>
      </c>
      <c r="C76" s="33">
        <v>2002</v>
      </c>
      <c r="D76" s="52">
        <v>155</v>
      </c>
      <c r="E76" s="52">
        <v>40</v>
      </c>
      <c r="F76" s="32">
        <v>54000</v>
      </c>
      <c r="G76" s="32"/>
      <c r="H76" s="38" t="s">
        <v>168</v>
      </c>
      <c r="I76" s="148">
        <f>(22+14+8+14)*E76</f>
        <v>2320</v>
      </c>
      <c r="J76" s="148"/>
      <c r="K76" s="152"/>
      <c r="L76" s="148">
        <f>I76*(1.5*1.7)*0.9+I76*(1.5*1.9)*0.9</f>
        <v>11275.2</v>
      </c>
      <c r="M76" s="152">
        <v>0.01</v>
      </c>
      <c r="N76" s="148">
        <f t="shared" si="93"/>
        <v>11275.2</v>
      </c>
      <c r="O76" s="149">
        <f t="shared" si="27"/>
        <v>281.88</v>
      </c>
      <c r="P76" s="148">
        <f>I76*(1.5*1.9)*0.9</f>
        <v>5950.7999999999993</v>
      </c>
      <c r="Q76" s="152">
        <f t="shared" si="73"/>
        <v>1.6E-2</v>
      </c>
      <c r="R76" s="149">
        <f t="shared" si="29"/>
        <v>238.03199999999998</v>
      </c>
      <c r="S76" s="148"/>
      <c r="T76" s="148"/>
      <c r="U76" s="148"/>
      <c r="V76" s="149">
        <f>W76*2</f>
        <v>28.396799999999999</v>
      </c>
      <c r="W76" s="149">
        <f>I76*(1.5+1.9)*2*0.9/1000</f>
        <v>14.198399999999999</v>
      </c>
      <c r="X76" s="148">
        <f t="shared" si="114"/>
        <v>23176.799999999999</v>
      </c>
      <c r="Y76" s="149">
        <f t="shared" si="115"/>
        <v>519.91200000000003</v>
      </c>
      <c r="Z76" s="152">
        <f t="shared" si="107"/>
        <v>2.6000000000000002E-2</v>
      </c>
      <c r="AA76" s="79">
        <v>2024</v>
      </c>
      <c r="AB76" s="73">
        <f>IF(AU76=0, IF(AND((C76+AA76)&gt;0,MAX(C76,AA76)&gt;(2022-Hypotheses!$D$3)), MAX(C76,AA76)+Hypotheses!$D$3, 2027), "")</f>
        <v>2064</v>
      </c>
      <c r="AC76" s="62"/>
      <c r="AD76" s="153">
        <f t="shared" si="94"/>
        <v>23176.799999999999</v>
      </c>
      <c r="AE76" s="153">
        <f t="shared" si="95"/>
        <v>519.91200000000003</v>
      </c>
      <c r="AF76" s="153">
        <f t="shared" si="96"/>
        <v>281.88</v>
      </c>
      <c r="AG76" s="153">
        <f t="shared" si="97"/>
        <v>238.03199999999998</v>
      </c>
      <c r="AH76" s="153">
        <f t="shared" si="98"/>
        <v>28.396799999999999</v>
      </c>
      <c r="AI76" s="153">
        <f t="shared" si="99"/>
        <v>14.198399999999999</v>
      </c>
      <c r="AJ76" s="64" t="s">
        <v>168</v>
      </c>
      <c r="AK76" s="150">
        <f>L76</f>
        <v>11275.2</v>
      </c>
      <c r="AL76" s="156">
        <f>M76</f>
        <v>0.01</v>
      </c>
      <c r="AM76" s="150">
        <f t="shared" ref="AM76:AM103" si="121">AK76*AL76*2.5</f>
        <v>281.88</v>
      </c>
      <c r="AN76" s="155">
        <f t="shared" si="112"/>
        <v>5950.7999999999993</v>
      </c>
      <c r="AO76" s="156">
        <f t="shared" si="110"/>
        <v>1.6E-2</v>
      </c>
      <c r="AP76" s="150">
        <f t="shared" si="119"/>
        <v>238.03199999999998</v>
      </c>
      <c r="AQ76" s="150">
        <f t="shared" si="108"/>
        <v>17226</v>
      </c>
      <c r="AR76" s="150">
        <f t="shared" si="120"/>
        <v>519.91200000000003</v>
      </c>
      <c r="AS76" s="150">
        <f t="shared" si="103"/>
        <v>28.396799999999999</v>
      </c>
      <c r="AT76" s="150">
        <f t="shared" si="104"/>
        <v>14.198399999999999</v>
      </c>
      <c r="AU76" s="81"/>
      <c r="AV76" s="158"/>
      <c r="AW76" s="158"/>
      <c r="AX76" s="158"/>
      <c r="AY76" s="158"/>
      <c r="AZ76" s="158"/>
      <c r="BA76" s="158"/>
      <c r="BC76" s="180">
        <f t="shared" si="105"/>
        <v>22</v>
      </c>
      <c r="BD76" s="180"/>
      <c r="BE76" s="181" t="str">
        <f t="shared" si="106"/>
        <v/>
      </c>
    </row>
    <row r="77" spans="1:61" ht="18.75" customHeight="1" x14ac:dyDescent="0.25">
      <c r="A77" s="44" t="s">
        <v>81</v>
      </c>
      <c r="B77" s="31" t="s">
        <v>124</v>
      </c>
      <c r="C77" s="33">
        <v>2002</v>
      </c>
      <c r="D77" s="52">
        <v>46</v>
      </c>
      <c r="E77" s="52">
        <v>8</v>
      </c>
      <c r="F77" s="32">
        <v>12800</v>
      </c>
      <c r="G77" s="32"/>
      <c r="H77" s="38" t="s">
        <v>146</v>
      </c>
      <c r="I77" s="148"/>
      <c r="J77" s="148"/>
      <c r="K77" s="152"/>
      <c r="L77" s="148"/>
      <c r="M77" s="152"/>
      <c r="N77" s="148"/>
      <c r="O77" s="149"/>
      <c r="P77" s="148">
        <f>120*8*1.5*1.85*0.9</f>
        <v>2397.6</v>
      </c>
      <c r="Q77" s="152">
        <v>1.7999999999999999E-2</v>
      </c>
      <c r="R77" s="149">
        <f t="shared" si="29"/>
        <v>107.892</v>
      </c>
      <c r="S77" s="148"/>
      <c r="T77" s="148"/>
      <c r="U77" s="148"/>
      <c r="V77" s="149">
        <f>W77</f>
        <v>5.7888000000000002</v>
      </c>
      <c r="W77" s="149">
        <f>120*8*(1.5+1.85)*2*0.9/1000</f>
        <v>5.7888000000000002</v>
      </c>
      <c r="X77" s="148">
        <f t="shared" si="114"/>
        <v>4795.2</v>
      </c>
      <c r="Y77" s="149">
        <f t="shared" si="115"/>
        <v>107.892</v>
      </c>
      <c r="Z77" s="152">
        <f t="shared" si="107"/>
        <v>1.7999999999999999E-2</v>
      </c>
      <c r="AA77" s="79"/>
      <c r="AB77" s="73">
        <f>IF(AU77=0, IF(AND((C77+AA77)&gt;0,MAX(C77,AA77)&gt;(2022-Hypotheses!$D$3)), MAX(C77,AA77)+Hypotheses!$D$3, 2027), "")</f>
        <v>2042</v>
      </c>
      <c r="AC77" s="62"/>
      <c r="AD77" s="153">
        <f t="shared" si="94"/>
        <v>4795.2</v>
      </c>
      <c r="AE77" s="153">
        <f t="shared" si="95"/>
        <v>107.892</v>
      </c>
      <c r="AF77" s="153">
        <f t="shared" si="96"/>
        <v>0</v>
      </c>
      <c r="AG77" s="153">
        <f t="shared" si="97"/>
        <v>107.892</v>
      </c>
      <c r="AH77" s="153">
        <f t="shared" si="98"/>
        <v>5.7888000000000002</v>
      </c>
      <c r="AI77" s="153">
        <f t="shared" si="99"/>
        <v>5.7888000000000002</v>
      </c>
      <c r="AJ77" s="61" t="s">
        <v>146</v>
      </c>
      <c r="AK77" s="150"/>
      <c r="AL77" s="156"/>
      <c r="AM77" s="150"/>
      <c r="AN77" s="155">
        <f t="shared" si="112"/>
        <v>2397.6</v>
      </c>
      <c r="AO77" s="156">
        <f t="shared" si="110"/>
        <v>1.7999999999999999E-2</v>
      </c>
      <c r="AP77" s="150">
        <f t="shared" si="119"/>
        <v>107.892</v>
      </c>
      <c r="AQ77" s="150">
        <f t="shared" si="108"/>
        <v>2397.6</v>
      </c>
      <c r="AR77" s="150">
        <f t="shared" si="120"/>
        <v>107.892</v>
      </c>
      <c r="AS77" s="150">
        <f t="shared" si="103"/>
        <v>5.7888000000000002</v>
      </c>
      <c r="AT77" s="150">
        <f t="shared" si="104"/>
        <v>5.7888000000000002</v>
      </c>
      <c r="AU77" s="81"/>
      <c r="AV77" s="158"/>
      <c r="AW77" s="158"/>
      <c r="AX77" s="158"/>
      <c r="AY77" s="158"/>
      <c r="AZ77" s="158"/>
      <c r="BA77" s="158"/>
      <c r="BC77" s="180" t="str">
        <f t="shared" si="105"/>
        <v/>
      </c>
      <c r="BD77" s="180">
        <f t="shared" ref="BD77:BD103" si="122">IF(AND(AA77=0, 2022-C77&gt;0, AU77=0),2022-C77,"")</f>
        <v>20</v>
      </c>
      <c r="BE77" s="181" t="str">
        <f t="shared" si="106"/>
        <v/>
      </c>
    </row>
    <row r="78" spans="1:61" ht="18.75" customHeight="1" x14ac:dyDescent="0.25">
      <c r="A78" s="44" t="s">
        <v>51</v>
      </c>
      <c r="B78" s="31" t="s">
        <v>124</v>
      </c>
      <c r="C78" s="33">
        <v>2004</v>
      </c>
      <c r="D78" s="52">
        <v>54</v>
      </c>
      <c r="E78" s="52">
        <v>13</v>
      </c>
      <c r="F78" s="32">
        <v>31100</v>
      </c>
      <c r="G78" s="32"/>
      <c r="H78" s="38" t="s">
        <v>146</v>
      </c>
      <c r="I78" s="148"/>
      <c r="J78" s="148"/>
      <c r="K78" s="152"/>
      <c r="L78" s="148"/>
      <c r="M78" s="152"/>
      <c r="N78" s="148"/>
      <c r="O78" s="149"/>
      <c r="P78" s="148">
        <f>250*2.4*13</f>
        <v>7800</v>
      </c>
      <c r="Q78" s="152">
        <v>1.7999999999999999E-2</v>
      </c>
      <c r="R78" s="149">
        <f t="shared" si="29"/>
        <v>350.99999999999994</v>
      </c>
      <c r="S78" s="148"/>
      <c r="T78" s="148"/>
      <c r="U78" s="148"/>
      <c r="V78" s="149">
        <f t="shared" ref="V78:V80" si="123">W78</f>
        <v>16.900000000000002</v>
      </c>
      <c r="W78" s="149">
        <f>250*2.4*13/(2.4*1.5)*(2.4+1.5)*2/1000</f>
        <v>16.900000000000002</v>
      </c>
      <c r="X78" s="148">
        <f t="shared" si="114"/>
        <v>15600</v>
      </c>
      <c r="Y78" s="149">
        <f t="shared" si="115"/>
        <v>350.99999999999994</v>
      </c>
      <c r="Z78" s="152">
        <f t="shared" si="107"/>
        <v>1.7999999999999999E-2</v>
      </c>
      <c r="AA78" s="79"/>
      <c r="AB78" s="73">
        <f>IF(AU78=0, IF(AND((C78+AA78)&gt;0,MAX(C78,AA78)&gt;(2022-Hypotheses!$D$3)), MAX(C78,AA78)+Hypotheses!$D$3, 2027), "")</f>
        <v>2044</v>
      </c>
      <c r="AC78" s="62"/>
      <c r="AD78" s="153">
        <f t="shared" si="94"/>
        <v>15600</v>
      </c>
      <c r="AE78" s="153">
        <f t="shared" si="95"/>
        <v>350.99999999999994</v>
      </c>
      <c r="AF78" s="153">
        <f t="shared" si="96"/>
        <v>0</v>
      </c>
      <c r="AG78" s="153">
        <f t="shared" si="97"/>
        <v>350.99999999999994</v>
      </c>
      <c r="AH78" s="153">
        <f t="shared" si="98"/>
        <v>16.900000000000002</v>
      </c>
      <c r="AI78" s="153">
        <f t="shared" si="99"/>
        <v>16.900000000000002</v>
      </c>
      <c r="AJ78" s="64" t="s">
        <v>146</v>
      </c>
      <c r="AK78" s="150"/>
      <c r="AL78" s="156"/>
      <c r="AM78" s="150"/>
      <c r="AN78" s="155">
        <f t="shared" si="112"/>
        <v>7800</v>
      </c>
      <c r="AO78" s="156">
        <f t="shared" si="110"/>
        <v>1.7999999999999999E-2</v>
      </c>
      <c r="AP78" s="150">
        <f t="shared" si="119"/>
        <v>350.99999999999994</v>
      </c>
      <c r="AQ78" s="150">
        <f t="shared" si="108"/>
        <v>7800</v>
      </c>
      <c r="AR78" s="150">
        <f t="shared" si="120"/>
        <v>350.99999999999994</v>
      </c>
      <c r="AS78" s="150">
        <f t="shared" si="103"/>
        <v>16.900000000000002</v>
      </c>
      <c r="AT78" s="150">
        <f t="shared" si="104"/>
        <v>16.900000000000002</v>
      </c>
      <c r="AU78" s="81"/>
      <c r="AV78" s="158"/>
      <c r="AW78" s="158"/>
      <c r="AX78" s="158"/>
      <c r="AY78" s="158"/>
      <c r="AZ78" s="158"/>
      <c r="BA78" s="158"/>
      <c r="BC78" s="180" t="str">
        <f t="shared" si="105"/>
        <v/>
      </c>
      <c r="BD78" s="180">
        <f t="shared" si="122"/>
        <v>18</v>
      </c>
      <c r="BE78" s="181" t="str">
        <f t="shared" si="106"/>
        <v/>
      </c>
      <c r="BF78" s="88" t="s">
        <v>93</v>
      </c>
    </row>
    <row r="79" spans="1:61" s="23" customFormat="1" ht="18.75" customHeight="1" x14ac:dyDescent="0.25">
      <c r="A79" s="44" t="s">
        <v>106</v>
      </c>
      <c r="B79" s="31" t="s">
        <v>124</v>
      </c>
      <c r="C79" s="33">
        <v>2004</v>
      </c>
      <c r="D79" s="52">
        <v>49</v>
      </c>
      <c r="E79" s="52">
        <v>8</v>
      </c>
      <c r="F79" s="32">
        <f>5250+8000+18900</f>
        <v>32150</v>
      </c>
      <c r="G79" s="32"/>
      <c r="H79" s="38" t="s">
        <v>146</v>
      </c>
      <c r="I79" s="148"/>
      <c r="J79" s="148"/>
      <c r="K79" s="152"/>
      <c r="L79" s="148"/>
      <c r="M79" s="152"/>
      <c r="N79" s="148"/>
      <c r="O79" s="149"/>
      <c r="P79" s="148">
        <f>11540*1.1</f>
        <v>12694.000000000002</v>
      </c>
      <c r="Q79" s="152">
        <v>1.7999999999999999E-2</v>
      </c>
      <c r="R79" s="149">
        <f t="shared" si="29"/>
        <v>571.23</v>
      </c>
      <c r="S79" s="148"/>
      <c r="T79" s="148"/>
      <c r="U79" s="148"/>
      <c r="V79" s="149">
        <f t="shared" si="123"/>
        <v>16.900000000000002</v>
      </c>
      <c r="W79" s="149">
        <f>250*2.4*13/(2.4*1.5)*(2.4+1.5)*2/1000</f>
        <v>16.900000000000002</v>
      </c>
      <c r="X79" s="148">
        <f t="shared" si="114"/>
        <v>25388.000000000004</v>
      </c>
      <c r="Y79" s="149">
        <f t="shared" si="115"/>
        <v>571.23</v>
      </c>
      <c r="Z79" s="152">
        <f t="shared" si="107"/>
        <v>1.7999999999999999E-2</v>
      </c>
      <c r="AA79" s="80"/>
      <c r="AB79" s="73">
        <f>IF(AU79=0, IF(AND((C79+AA79)&gt;0,MAX(C79,AA79)&gt;(2022-Hypotheses!$D$3)), MAX(C79,AA79)+Hypotheses!$D$3, 2027), "")</f>
        <v>2044</v>
      </c>
      <c r="AC79" s="63"/>
      <c r="AD79" s="153">
        <f t="shared" si="94"/>
        <v>25388.000000000004</v>
      </c>
      <c r="AE79" s="153">
        <f t="shared" si="95"/>
        <v>571.23</v>
      </c>
      <c r="AF79" s="153">
        <f t="shared" si="96"/>
        <v>0</v>
      </c>
      <c r="AG79" s="153">
        <f t="shared" si="97"/>
        <v>571.23</v>
      </c>
      <c r="AH79" s="153">
        <f t="shared" si="98"/>
        <v>16.900000000000002</v>
      </c>
      <c r="AI79" s="153">
        <f t="shared" si="99"/>
        <v>16.900000000000002</v>
      </c>
      <c r="AJ79" s="72" t="s">
        <v>146</v>
      </c>
      <c r="AK79" s="150"/>
      <c r="AL79" s="156"/>
      <c r="AM79" s="150"/>
      <c r="AN79" s="155">
        <f t="shared" si="112"/>
        <v>12694.000000000002</v>
      </c>
      <c r="AO79" s="156">
        <f t="shared" si="110"/>
        <v>1.7999999999999999E-2</v>
      </c>
      <c r="AP79" s="150">
        <f t="shared" si="119"/>
        <v>571.23</v>
      </c>
      <c r="AQ79" s="150">
        <f t="shared" si="108"/>
        <v>12694.000000000002</v>
      </c>
      <c r="AR79" s="150">
        <f t="shared" si="120"/>
        <v>571.23</v>
      </c>
      <c r="AS79" s="150">
        <f t="shared" si="103"/>
        <v>16.900000000000002</v>
      </c>
      <c r="AT79" s="150">
        <f t="shared" si="104"/>
        <v>16.900000000000002</v>
      </c>
      <c r="AU79" s="82"/>
      <c r="AV79" s="159"/>
      <c r="AW79" s="159"/>
      <c r="AX79" s="159"/>
      <c r="AY79" s="159"/>
      <c r="AZ79" s="159"/>
      <c r="BA79" s="159"/>
      <c r="BB79" s="99"/>
      <c r="BC79" s="180" t="str">
        <f t="shared" si="105"/>
        <v/>
      </c>
      <c r="BD79" s="180">
        <f t="shared" si="122"/>
        <v>18</v>
      </c>
      <c r="BE79" s="181" t="str">
        <f t="shared" si="106"/>
        <v/>
      </c>
      <c r="BF79" s="93" t="s">
        <v>107</v>
      </c>
      <c r="BG79" s="25"/>
      <c r="BH79" s="19"/>
      <c r="BI79" s="19"/>
    </row>
    <row r="80" spans="1:61" ht="18.75" customHeight="1" x14ac:dyDescent="0.25">
      <c r="A80" s="44" t="s">
        <v>218</v>
      </c>
      <c r="B80" s="31" t="s">
        <v>124</v>
      </c>
      <c r="C80" s="33">
        <v>2005</v>
      </c>
      <c r="D80" s="52">
        <v>142</v>
      </c>
      <c r="E80" s="52">
        <v>34</v>
      </c>
      <c r="F80" s="32">
        <v>43000</v>
      </c>
      <c r="G80" s="32"/>
      <c r="H80" s="38" t="s">
        <v>146</v>
      </c>
      <c r="I80" s="148"/>
      <c r="J80" s="148"/>
      <c r="K80" s="152"/>
      <c r="L80" s="148"/>
      <c r="M80" s="152"/>
      <c r="N80" s="148"/>
      <c r="O80" s="149"/>
      <c r="P80" s="148">
        <f>20000*0.9</f>
        <v>18000</v>
      </c>
      <c r="Q80" s="152">
        <v>2.1999999999999999E-2</v>
      </c>
      <c r="R80" s="149">
        <f t="shared" si="29"/>
        <v>990</v>
      </c>
      <c r="S80" s="148"/>
      <c r="T80" s="148"/>
      <c r="U80" s="148"/>
      <c r="V80" s="149">
        <f t="shared" si="123"/>
        <v>17.625</v>
      </c>
      <c r="W80" s="149">
        <f>20000/(1.5*3.2)*(1.5+3.2)*0.9/1000</f>
        <v>17.625</v>
      </c>
      <c r="X80" s="148">
        <f t="shared" si="114"/>
        <v>36000</v>
      </c>
      <c r="Y80" s="149">
        <f t="shared" si="115"/>
        <v>990</v>
      </c>
      <c r="Z80" s="152">
        <f t="shared" si="107"/>
        <v>2.1999999999999999E-2</v>
      </c>
      <c r="AA80" s="79"/>
      <c r="AB80" s="73">
        <f>IF(AU80=0, IF(AND((C80+AA80)&gt;0,MAX(C80,AA80)&gt;(2022-Hypotheses!$D$3)), MAX(C80,AA80)+Hypotheses!$D$3, 2027), "")</f>
        <v>2045</v>
      </c>
      <c r="AC80" s="62"/>
      <c r="AD80" s="153">
        <f t="shared" si="94"/>
        <v>36000</v>
      </c>
      <c r="AE80" s="153">
        <f t="shared" si="95"/>
        <v>990</v>
      </c>
      <c r="AF80" s="153">
        <f t="shared" si="96"/>
        <v>0</v>
      </c>
      <c r="AG80" s="153">
        <f t="shared" si="97"/>
        <v>990</v>
      </c>
      <c r="AH80" s="153">
        <f t="shared" si="98"/>
        <v>17.625</v>
      </c>
      <c r="AI80" s="153">
        <f t="shared" si="99"/>
        <v>17.625</v>
      </c>
      <c r="AJ80" s="64" t="s">
        <v>146</v>
      </c>
      <c r="AK80" s="150"/>
      <c r="AL80" s="156"/>
      <c r="AM80" s="150"/>
      <c r="AN80" s="155">
        <f t="shared" si="112"/>
        <v>18000</v>
      </c>
      <c r="AO80" s="156">
        <f t="shared" si="110"/>
        <v>2.1999999999999999E-2</v>
      </c>
      <c r="AP80" s="150">
        <f t="shared" si="119"/>
        <v>990</v>
      </c>
      <c r="AQ80" s="150">
        <f t="shared" si="108"/>
        <v>18000</v>
      </c>
      <c r="AR80" s="150">
        <f t="shared" si="120"/>
        <v>990</v>
      </c>
      <c r="AS80" s="150">
        <f t="shared" si="103"/>
        <v>17.625</v>
      </c>
      <c r="AT80" s="150">
        <f t="shared" si="104"/>
        <v>17.625</v>
      </c>
      <c r="AU80" s="81"/>
      <c r="AV80" s="158"/>
      <c r="AW80" s="158"/>
      <c r="AX80" s="158"/>
      <c r="AY80" s="158"/>
      <c r="AZ80" s="158"/>
      <c r="BA80" s="158"/>
      <c r="BC80" s="180" t="str">
        <f t="shared" si="105"/>
        <v/>
      </c>
      <c r="BD80" s="180">
        <f t="shared" si="122"/>
        <v>17</v>
      </c>
      <c r="BE80" s="181" t="str">
        <f t="shared" si="106"/>
        <v/>
      </c>
      <c r="BF80" s="90" t="s">
        <v>83</v>
      </c>
    </row>
    <row r="81" spans="1:61" ht="18.75" customHeight="1" x14ac:dyDescent="0.25">
      <c r="A81" s="44" t="s">
        <v>219</v>
      </c>
      <c r="B81" s="31" t="s">
        <v>124</v>
      </c>
      <c r="C81" s="33">
        <v>2006</v>
      </c>
      <c r="D81" s="52">
        <v>72</v>
      </c>
      <c r="E81" s="52">
        <v>16</v>
      </c>
      <c r="F81" s="32">
        <v>23000</v>
      </c>
      <c r="G81" s="32"/>
      <c r="H81" s="38" t="s">
        <v>146</v>
      </c>
      <c r="I81" s="148"/>
      <c r="J81" s="148">
        <f>16*(49+17)*2*(1.3*1.4)*0.9</f>
        <v>3459.4559999999997</v>
      </c>
      <c r="K81" s="152">
        <v>8.0000000000000002E-3</v>
      </c>
      <c r="L81" s="148"/>
      <c r="M81" s="152"/>
      <c r="N81" s="148">
        <f t="shared" si="93"/>
        <v>3459.4559999999997</v>
      </c>
      <c r="O81" s="149">
        <f t="shared" si="27"/>
        <v>69.189120000000003</v>
      </c>
      <c r="P81" s="148">
        <f>16*(49+17)*2*(2.3*1.4+0.9*1.4)*0.9+(4.5*1.4)*(49+17)*2</f>
        <v>9347.1839999999993</v>
      </c>
      <c r="Q81" s="152">
        <f t="shared" ref="Q81:Q83" si="124">0.008*2</f>
        <v>1.6E-2</v>
      </c>
      <c r="R81" s="149">
        <f t="shared" si="29"/>
        <v>373.88735999999994</v>
      </c>
      <c r="S81" s="148"/>
      <c r="T81" s="148"/>
      <c r="U81" s="148"/>
      <c r="V81" s="149">
        <f>W81*1.5</f>
        <v>37.105200000000004</v>
      </c>
      <c r="W81" s="149">
        <f>(16*(49+17)*2*(2.3+1.4+0.9+1.4)*2*0.9+(4.5*2+1.4*4)*(49+17)*2)/1000</f>
        <v>24.736800000000002</v>
      </c>
      <c r="X81" s="148">
        <f t="shared" si="114"/>
        <v>22153.823999999997</v>
      </c>
      <c r="Y81" s="149">
        <f t="shared" si="115"/>
        <v>443.07647999999995</v>
      </c>
      <c r="Z81" s="152">
        <f t="shared" si="107"/>
        <v>1.6E-2</v>
      </c>
      <c r="AA81" s="79"/>
      <c r="AB81" s="73">
        <f>IF(AU81=0, IF(AND((C81+AA81)&gt;0,MAX(C81,AA81)&gt;(2022-Hypotheses!$D$3)), MAX(C81,AA81)+Hypotheses!$D$3, 2027), "")</f>
        <v>2046</v>
      </c>
      <c r="AC81" s="62"/>
      <c r="AD81" s="153">
        <f t="shared" si="94"/>
        <v>22153.823999999997</v>
      </c>
      <c r="AE81" s="153">
        <f t="shared" si="95"/>
        <v>443.07647999999995</v>
      </c>
      <c r="AF81" s="153">
        <f t="shared" si="96"/>
        <v>69.189120000000003</v>
      </c>
      <c r="AG81" s="153">
        <f t="shared" si="97"/>
        <v>373.88735999999994</v>
      </c>
      <c r="AH81" s="153">
        <f t="shared" si="98"/>
        <v>37.105200000000004</v>
      </c>
      <c r="AI81" s="153">
        <f t="shared" si="99"/>
        <v>24.736800000000002</v>
      </c>
      <c r="AJ81" s="64" t="s">
        <v>146</v>
      </c>
      <c r="AK81" s="150"/>
      <c r="AL81" s="156"/>
      <c r="AM81" s="150"/>
      <c r="AN81" s="155">
        <f t="shared" si="112"/>
        <v>9347.1839999999993</v>
      </c>
      <c r="AO81" s="156">
        <f t="shared" si="110"/>
        <v>1.6E-2</v>
      </c>
      <c r="AP81" s="150">
        <f t="shared" si="119"/>
        <v>373.88735999999994</v>
      </c>
      <c r="AQ81" s="150">
        <f t="shared" si="108"/>
        <v>9347.1839999999993</v>
      </c>
      <c r="AR81" s="150">
        <f t="shared" si="120"/>
        <v>373.88735999999994</v>
      </c>
      <c r="AS81" s="150">
        <f t="shared" si="103"/>
        <v>37.105200000000004</v>
      </c>
      <c r="AT81" s="150">
        <f t="shared" si="104"/>
        <v>24.736800000000002</v>
      </c>
      <c r="AU81" s="81"/>
      <c r="AV81" s="158"/>
      <c r="AW81" s="158"/>
      <c r="AX81" s="158"/>
      <c r="AY81" s="158"/>
      <c r="AZ81" s="158"/>
      <c r="BA81" s="158"/>
      <c r="BC81" s="180" t="str">
        <f t="shared" si="105"/>
        <v/>
      </c>
      <c r="BD81" s="180">
        <f t="shared" si="122"/>
        <v>16</v>
      </c>
      <c r="BE81" s="181" t="str">
        <f t="shared" si="106"/>
        <v/>
      </c>
    </row>
    <row r="82" spans="1:61" ht="18.75" customHeight="1" x14ac:dyDescent="0.25">
      <c r="A82" s="44" t="s">
        <v>220</v>
      </c>
      <c r="B82" s="31" t="s">
        <v>124</v>
      </c>
      <c r="C82" s="33">
        <v>2008</v>
      </c>
      <c r="D82" s="52">
        <v>185</v>
      </c>
      <c r="E82" s="52">
        <v>37</v>
      </c>
      <c r="F82" s="32">
        <v>70000</v>
      </c>
      <c r="G82" s="32"/>
      <c r="H82" s="38" t="s">
        <v>146</v>
      </c>
      <c r="I82" s="148"/>
      <c r="J82" s="148">
        <f>32000*(1.5/4)*0.9</f>
        <v>10800</v>
      </c>
      <c r="K82" s="152">
        <v>8.0000000000000002E-3</v>
      </c>
      <c r="L82" s="148"/>
      <c r="M82" s="152"/>
      <c r="N82" s="148">
        <f t="shared" si="93"/>
        <v>10800</v>
      </c>
      <c r="O82" s="149">
        <f t="shared" ref="O82:O103" si="125">(J82*K82+L82*M82)*2.5</f>
        <v>216</v>
      </c>
      <c r="P82" s="148">
        <f>32000*(2.5/4)*0.9</f>
        <v>18000</v>
      </c>
      <c r="Q82" s="152">
        <v>1.7999999999999999E-2</v>
      </c>
      <c r="R82" s="149">
        <f t="shared" ref="R82:R90" si="126">P82*Q82*2.5</f>
        <v>810</v>
      </c>
      <c r="S82" s="148"/>
      <c r="T82" s="148"/>
      <c r="U82" s="148"/>
      <c r="V82" s="149">
        <f>W82*1.5</f>
        <v>60.171428571428571</v>
      </c>
      <c r="W82" s="149">
        <f>32000*(2.5/4)/(2.5*1.4)*(2.5+1.4)*2*0.9/1000</f>
        <v>40.114285714285714</v>
      </c>
      <c r="X82" s="148">
        <f t="shared" si="114"/>
        <v>46800</v>
      </c>
      <c r="Y82" s="149">
        <f t="shared" si="115"/>
        <v>1026</v>
      </c>
      <c r="Z82" s="152">
        <f t="shared" si="107"/>
        <v>1.7999999999999999E-2</v>
      </c>
      <c r="AA82" s="80"/>
      <c r="AB82" s="73">
        <f>IF(AU82=0, IF(AND((C82+AA82)&gt;0,MAX(C82,AA82)&gt;(2022-Hypotheses!$D$3)), MAX(C82,AA82)+Hypotheses!$D$3, 2027), "")</f>
        <v>2048</v>
      </c>
      <c r="AC82" s="63"/>
      <c r="AD82" s="153">
        <f t="shared" si="94"/>
        <v>46800</v>
      </c>
      <c r="AE82" s="153">
        <f t="shared" si="95"/>
        <v>1026</v>
      </c>
      <c r="AF82" s="153">
        <f t="shared" si="96"/>
        <v>216</v>
      </c>
      <c r="AG82" s="153">
        <f t="shared" si="97"/>
        <v>810</v>
      </c>
      <c r="AH82" s="153">
        <f t="shared" si="98"/>
        <v>60.171428571428571</v>
      </c>
      <c r="AI82" s="153">
        <f t="shared" si="99"/>
        <v>40.114285714285714</v>
      </c>
      <c r="AJ82" s="72" t="s">
        <v>146</v>
      </c>
      <c r="AK82" s="150"/>
      <c r="AL82" s="156"/>
      <c r="AM82" s="150"/>
      <c r="AN82" s="155">
        <f t="shared" si="112"/>
        <v>18000</v>
      </c>
      <c r="AO82" s="156">
        <f t="shared" si="110"/>
        <v>1.7999999999999999E-2</v>
      </c>
      <c r="AP82" s="150">
        <f t="shared" si="119"/>
        <v>810</v>
      </c>
      <c r="AQ82" s="150">
        <f t="shared" si="108"/>
        <v>18000</v>
      </c>
      <c r="AR82" s="150">
        <f t="shared" si="120"/>
        <v>810</v>
      </c>
      <c r="AS82" s="150">
        <f t="shared" si="103"/>
        <v>60.171428571428571</v>
      </c>
      <c r="AT82" s="150">
        <f t="shared" si="104"/>
        <v>40.114285714285714</v>
      </c>
      <c r="AU82" s="82"/>
      <c r="AV82" s="159"/>
      <c r="AW82" s="159"/>
      <c r="AX82" s="159"/>
      <c r="AY82" s="159"/>
      <c r="AZ82" s="159"/>
      <c r="BA82" s="159"/>
      <c r="BC82" s="180" t="str">
        <f t="shared" si="105"/>
        <v/>
      </c>
      <c r="BD82" s="180">
        <f t="shared" si="122"/>
        <v>14</v>
      </c>
      <c r="BE82" s="181" t="str">
        <f t="shared" si="106"/>
        <v/>
      </c>
      <c r="BF82" s="89" t="s">
        <v>84</v>
      </c>
      <c r="BG82" s="25"/>
      <c r="BH82" s="19"/>
      <c r="BI82" s="19"/>
    </row>
    <row r="83" spans="1:61" s="49" customFormat="1" ht="18.75" customHeight="1" x14ac:dyDescent="0.25">
      <c r="A83" s="44" t="s">
        <v>221</v>
      </c>
      <c r="B83" s="31" t="s">
        <v>124</v>
      </c>
      <c r="C83" s="33">
        <v>2008</v>
      </c>
      <c r="D83" s="52">
        <v>184</v>
      </c>
      <c r="E83" s="52">
        <v>36</v>
      </c>
      <c r="F83" s="32">
        <v>67740</v>
      </c>
      <c r="G83" s="32"/>
      <c r="H83" s="38" t="s">
        <v>168</v>
      </c>
      <c r="I83" s="148"/>
      <c r="J83" s="148"/>
      <c r="K83" s="152"/>
      <c r="L83" s="148">
        <f>25000*0.3*0.9</f>
        <v>6750</v>
      </c>
      <c r="M83" s="152">
        <v>8.0000000000000002E-3</v>
      </c>
      <c r="N83" s="148">
        <f t="shared" si="93"/>
        <v>6750</v>
      </c>
      <c r="O83" s="149">
        <f t="shared" si="125"/>
        <v>135</v>
      </c>
      <c r="P83" s="148">
        <f>25000*0.8*0.9</f>
        <v>18000</v>
      </c>
      <c r="Q83" s="152">
        <f t="shared" si="124"/>
        <v>1.6E-2</v>
      </c>
      <c r="R83" s="149">
        <f t="shared" si="126"/>
        <v>720</v>
      </c>
      <c r="S83" s="148"/>
      <c r="T83" s="148"/>
      <c r="U83" s="148"/>
      <c r="V83" s="149">
        <f>W83*2</f>
        <v>65.333333333333329</v>
      </c>
      <c r="W83" s="149">
        <f>25000*0.7*0.9/(1.5*2.7)*(1.5+2.7)*2/1000</f>
        <v>32.666666666666664</v>
      </c>
      <c r="X83" s="148">
        <f t="shared" si="114"/>
        <v>42750</v>
      </c>
      <c r="Y83" s="149">
        <f t="shared" si="115"/>
        <v>855</v>
      </c>
      <c r="Z83" s="152">
        <f t="shared" si="107"/>
        <v>2.4E-2</v>
      </c>
      <c r="AA83" s="80"/>
      <c r="AB83" s="73">
        <f>IF(AU83=0, IF(AND((C83+AA83)&gt;0,MAX(C83,AA83)&gt;(2022-Hypotheses!$D$3)), MAX(C83,AA83)+Hypotheses!$D$3, 2027), "")</f>
        <v>2048</v>
      </c>
      <c r="AC83" s="63"/>
      <c r="AD83" s="153">
        <f t="shared" si="94"/>
        <v>42750</v>
      </c>
      <c r="AE83" s="153">
        <f t="shared" si="95"/>
        <v>855</v>
      </c>
      <c r="AF83" s="153">
        <f t="shared" si="96"/>
        <v>135</v>
      </c>
      <c r="AG83" s="153">
        <f t="shared" si="97"/>
        <v>720</v>
      </c>
      <c r="AH83" s="153">
        <f t="shared" si="98"/>
        <v>65.333333333333329</v>
      </c>
      <c r="AI83" s="153">
        <f t="shared" si="99"/>
        <v>32.666666666666664</v>
      </c>
      <c r="AJ83" s="72" t="s">
        <v>168</v>
      </c>
      <c r="AK83" s="150">
        <f>L83</f>
        <v>6750</v>
      </c>
      <c r="AL83" s="156">
        <f>M83</f>
        <v>8.0000000000000002E-3</v>
      </c>
      <c r="AM83" s="150">
        <f t="shared" si="121"/>
        <v>135</v>
      </c>
      <c r="AN83" s="155">
        <f t="shared" si="112"/>
        <v>18000</v>
      </c>
      <c r="AO83" s="156">
        <f t="shared" si="110"/>
        <v>1.6E-2</v>
      </c>
      <c r="AP83" s="150">
        <f t="shared" si="119"/>
        <v>720</v>
      </c>
      <c r="AQ83" s="150">
        <f t="shared" si="108"/>
        <v>24750</v>
      </c>
      <c r="AR83" s="150">
        <f t="shared" si="120"/>
        <v>855</v>
      </c>
      <c r="AS83" s="150">
        <f t="shared" si="103"/>
        <v>65.333333333333329</v>
      </c>
      <c r="AT83" s="150">
        <f t="shared" si="104"/>
        <v>32.666666666666664</v>
      </c>
      <c r="AU83" s="82"/>
      <c r="AV83" s="159"/>
      <c r="AW83" s="159"/>
      <c r="AX83" s="159"/>
      <c r="AY83" s="159"/>
      <c r="AZ83" s="159"/>
      <c r="BA83" s="159"/>
      <c r="BB83" s="98"/>
      <c r="BC83" s="180" t="str">
        <f t="shared" si="105"/>
        <v/>
      </c>
      <c r="BD83" s="180">
        <f t="shared" si="122"/>
        <v>14</v>
      </c>
      <c r="BE83" s="181" t="str">
        <f t="shared" si="106"/>
        <v/>
      </c>
      <c r="BF83" s="88" t="s">
        <v>94</v>
      </c>
      <c r="BG83" s="25"/>
      <c r="BH83" s="19"/>
      <c r="BI83" s="19"/>
    </row>
    <row r="84" spans="1:61" ht="18.75" customHeight="1" x14ac:dyDescent="0.25">
      <c r="A84" s="44" t="s">
        <v>52</v>
      </c>
      <c r="B84" s="31" t="s">
        <v>124</v>
      </c>
      <c r="C84" s="33">
        <v>2008</v>
      </c>
      <c r="D84" s="52">
        <v>50</v>
      </c>
      <c r="E84" s="52">
        <v>14</v>
      </c>
      <c r="F84" s="32">
        <v>22000</v>
      </c>
      <c r="G84" s="32"/>
      <c r="H84" s="38" t="s">
        <v>146</v>
      </c>
      <c r="I84" s="148"/>
      <c r="J84" s="148"/>
      <c r="K84" s="152"/>
      <c r="L84" s="148"/>
      <c r="M84" s="152"/>
      <c r="N84" s="148"/>
      <c r="O84" s="149"/>
      <c r="P84" s="148">
        <f>(43+8+28+8)*12*(2.7*1.5)+(2.3*1)*2*19*12</f>
        <v>5277.0000000000009</v>
      </c>
      <c r="Q84" s="152">
        <v>1.7999999999999999E-2</v>
      </c>
      <c r="R84" s="149">
        <f t="shared" si="126"/>
        <v>237.465</v>
      </c>
      <c r="S84" s="148"/>
      <c r="T84" s="148"/>
      <c r="U84" s="148"/>
      <c r="V84" s="149">
        <f>W84</f>
        <v>11.779200000000001</v>
      </c>
      <c r="W84" s="149">
        <f>((43+8+28+8)*12*(2.7+1.5)*2+(2.3+1)*2*2*19*12)/1000</f>
        <v>11.779200000000001</v>
      </c>
      <c r="X84" s="148">
        <f t="shared" si="114"/>
        <v>10554.000000000002</v>
      </c>
      <c r="Y84" s="149">
        <f t="shared" si="115"/>
        <v>237.465</v>
      </c>
      <c r="Z84" s="152">
        <f t="shared" si="107"/>
        <v>1.7999999999999999E-2</v>
      </c>
      <c r="AA84" s="80"/>
      <c r="AB84" s="73">
        <f>IF(AU84=0, IF(AND((C84+AA84)&gt;0,MAX(C84,AA84)&gt;(2022-Hypotheses!$D$3)), MAX(C84,AA84)+Hypotheses!$D$3, 2027), "")</f>
        <v>2048</v>
      </c>
      <c r="AC84" s="63"/>
      <c r="AD84" s="153">
        <f t="shared" si="94"/>
        <v>10554.000000000002</v>
      </c>
      <c r="AE84" s="153">
        <f t="shared" si="95"/>
        <v>237.465</v>
      </c>
      <c r="AF84" s="153">
        <f t="shared" si="96"/>
        <v>0</v>
      </c>
      <c r="AG84" s="153">
        <f t="shared" si="97"/>
        <v>237.465</v>
      </c>
      <c r="AH84" s="153">
        <f t="shared" si="98"/>
        <v>11.779200000000001</v>
      </c>
      <c r="AI84" s="153">
        <f t="shared" si="99"/>
        <v>11.779200000000001</v>
      </c>
      <c r="AJ84" s="72" t="s">
        <v>146</v>
      </c>
      <c r="AK84" s="150"/>
      <c r="AL84" s="156"/>
      <c r="AM84" s="150"/>
      <c r="AN84" s="155">
        <f t="shared" si="112"/>
        <v>5277.0000000000009</v>
      </c>
      <c r="AO84" s="156">
        <f t="shared" si="110"/>
        <v>1.7999999999999999E-2</v>
      </c>
      <c r="AP84" s="150">
        <f t="shared" si="119"/>
        <v>237.465</v>
      </c>
      <c r="AQ84" s="150">
        <f t="shared" si="108"/>
        <v>5277.0000000000009</v>
      </c>
      <c r="AR84" s="150">
        <f t="shared" si="120"/>
        <v>237.465</v>
      </c>
      <c r="AS84" s="150">
        <f t="shared" si="103"/>
        <v>11.779200000000001</v>
      </c>
      <c r="AT84" s="150">
        <f t="shared" si="104"/>
        <v>11.779200000000001</v>
      </c>
      <c r="AU84" s="82"/>
      <c r="AV84" s="159"/>
      <c r="AW84" s="159"/>
      <c r="AX84" s="159"/>
      <c r="AY84" s="159"/>
      <c r="AZ84" s="159"/>
      <c r="BA84" s="159"/>
      <c r="BC84" s="180" t="str">
        <f t="shared" si="105"/>
        <v/>
      </c>
      <c r="BD84" s="180">
        <f t="shared" si="122"/>
        <v>14</v>
      </c>
      <c r="BE84" s="181" t="str">
        <f t="shared" si="106"/>
        <v/>
      </c>
      <c r="BF84" s="89" t="s">
        <v>85</v>
      </c>
      <c r="BG84" s="25"/>
      <c r="BH84" s="19"/>
      <c r="BI84" s="19"/>
    </row>
    <row r="85" spans="1:61" ht="18.75" customHeight="1" x14ac:dyDescent="0.25">
      <c r="A85" s="44" t="s">
        <v>53</v>
      </c>
      <c r="B85" s="31" t="s">
        <v>124</v>
      </c>
      <c r="C85" s="33">
        <v>2009</v>
      </c>
      <c r="D85" s="52">
        <v>35</v>
      </c>
      <c r="E85" s="52">
        <v>8</v>
      </c>
      <c r="F85" s="32">
        <v>10000</v>
      </c>
      <c r="G85" s="32"/>
      <c r="H85" s="38" t="s">
        <v>146</v>
      </c>
      <c r="I85" s="148"/>
      <c r="J85" s="148"/>
      <c r="K85" s="152"/>
      <c r="L85" s="148"/>
      <c r="M85" s="152"/>
      <c r="N85" s="148"/>
      <c r="O85" s="149"/>
      <c r="P85" s="148">
        <f>5480*0.9</f>
        <v>4932</v>
      </c>
      <c r="Q85" s="152">
        <v>1.7999999999999999E-2</v>
      </c>
      <c r="R85" s="149">
        <f t="shared" si="126"/>
        <v>221.94</v>
      </c>
      <c r="S85" s="148"/>
      <c r="T85" s="148"/>
      <c r="U85" s="148"/>
      <c r="V85" s="149">
        <f t="shared" ref="V85:V86" si="127">W85</f>
        <v>10.521600000000001</v>
      </c>
      <c r="W85" s="149">
        <f>5480/(1.5*2.5)*(1.5+2.5)*2*0.9/1000</f>
        <v>10.521600000000001</v>
      </c>
      <c r="X85" s="148">
        <f t="shared" si="114"/>
        <v>9864</v>
      </c>
      <c r="Y85" s="149">
        <f t="shared" si="115"/>
        <v>221.94</v>
      </c>
      <c r="Z85" s="152">
        <f t="shared" si="107"/>
        <v>1.7999999999999999E-2</v>
      </c>
      <c r="AA85" s="80"/>
      <c r="AB85" s="73">
        <f>IF(AU85=0, IF(AND((C85+AA85)&gt;0,MAX(C85,AA85)&gt;(2022-Hypotheses!$D$3)), MAX(C85,AA85)+Hypotheses!$D$3, 2027), "")</f>
        <v>2049</v>
      </c>
      <c r="AC85" s="63"/>
      <c r="AD85" s="153">
        <f t="shared" si="94"/>
        <v>9864</v>
      </c>
      <c r="AE85" s="153">
        <f t="shared" si="95"/>
        <v>221.94</v>
      </c>
      <c r="AF85" s="153">
        <f t="shared" si="96"/>
        <v>0</v>
      </c>
      <c r="AG85" s="153">
        <f t="shared" si="97"/>
        <v>221.94</v>
      </c>
      <c r="AH85" s="153">
        <f t="shared" si="98"/>
        <v>10.521600000000001</v>
      </c>
      <c r="AI85" s="153">
        <f t="shared" si="99"/>
        <v>10.521600000000001</v>
      </c>
      <c r="AJ85" s="72" t="s">
        <v>146</v>
      </c>
      <c r="AK85" s="150"/>
      <c r="AL85" s="156"/>
      <c r="AM85" s="150"/>
      <c r="AN85" s="155">
        <f t="shared" si="112"/>
        <v>4932</v>
      </c>
      <c r="AO85" s="156">
        <f t="shared" si="110"/>
        <v>1.7999999999999999E-2</v>
      </c>
      <c r="AP85" s="150">
        <f t="shared" si="119"/>
        <v>221.94</v>
      </c>
      <c r="AQ85" s="150">
        <f t="shared" si="108"/>
        <v>4932</v>
      </c>
      <c r="AR85" s="150">
        <f t="shared" si="120"/>
        <v>221.94</v>
      </c>
      <c r="AS85" s="150">
        <f t="shared" si="103"/>
        <v>10.521600000000001</v>
      </c>
      <c r="AT85" s="150">
        <f t="shared" si="104"/>
        <v>10.521600000000001</v>
      </c>
      <c r="AU85" s="82"/>
      <c r="AV85" s="159"/>
      <c r="AW85" s="159"/>
      <c r="AX85" s="159"/>
      <c r="AY85" s="159"/>
      <c r="AZ85" s="159"/>
      <c r="BA85" s="159"/>
      <c r="BC85" s="180" t="str">
        <f t="shared" si="105"/>
        <v/>
      </c>
      <c r="BD85" s="180">
        <f t="shared" si="122"/>
        <v>13</v>
      </c>
      <c r="BE85" s="181" t="str">
        <f t="shared" si="106"/>
        <v/>
      </c>
      <c r="BF85" s="89" t="s">
        <v>87</v>
      </c>
      <c r="BG85" s="25"/>
      <c r="BH85" s="19"/>
      <c r="BI85" s="19"/>
    </row>
    <row r="86" spans="1:61" ht="18.75" customHeight="1" x14ac:dyDescent="0.25">
      <c r="A86" s="44" t="s">
        <v>108</v>
      </c>
      <c r="B86" s="31" t="s">
        <v>124</v>
      </c>
      <c r="C86" s="33">
        <v>2007</v>
      </c>
      <c r="D86" s="52">
        <v>33</v>
      </c>
      <c r="E86" s="52">
        <v>8</v>
      </c>
      <c r="F86" s="32">
        <v>9400</v>
      </c>
      <c r="G86" s="32"/>
      <c r="H86" s="38" t="s">
        <v>146</v>
      </c>
      <c r="I86" s="148"/>
      <c r="J86" s="148"/>
      <c r="K86" s="152"/>
      <c r="L86" s="148"/>
      <c r="M86" s="152"/>
      <c r="N86" s="148"/>
      <c r="O86" s="149"/>
      <c r="P86" s="148">
        <f>16*8*(2+0.8)*1.25+(67+55)*8*(2+0.8)</f>
        <v>3180.7999999999997</v>
      </c>
      <c r="Q86" s="152">
        <v>1.7999999999999999E-2</v>
      </c>
      <c r="R86" s="149">
        <f t="shared" si="126"/>
        <v>143.13599999999997</v>
      </c>
      <c r="S86" s="148"/>
      <c r="T86" s="148"/>
      <c r="U86" s="148"/>
      <c r="V86" s="149">
        <f t="shared" si="127"/>
        <v>8.9045333333333332</v>
      </c>
      <c r="W86" s="149">
        <f>(16*8*((2+1.25)*2+(0.8+1.25)*2)+(67+55)*8*(2+0.8)/(1.5*2.8)*(2*2+0.8*2+1.5*4))/1000</f>
        <v>8.9045333333333332</v>
      </c>
      <c r="X86" s="148">
        <f t="shared" si="114"/>
        <v>6361.5999999999995</v>
      </c>
      <c r="Y86" s="149">
        <f t="shared" si="115"/>
        <v>143.13599999999997</v>
      </c>
      <c r="Z86" s="152">
        <f t="shared" si="107"/>
        <v>1.7999999999999999E-2</v>
      </c>
      <c r="AA86" s="80"/>
      <c r="AB86" s="73">
        <f>IF(AU86=0, IF(AND((C86+AA86)&gt;0,MAX(C86,AA86)&gt;(2022-Hypotheses!$D$3)), MAX(C86,AA86)+Hypotheses!$D$3, 2027), "")</f>
        <v>2047</v>
      </c>
      <c r="AC86" s="63"/>
      <c r="AD86" s="153">
        <f t="shared" si="94"/>
        <v>6361.5999999999995</v>
      </c>
      <c r="AE86" s="153">
        <f t="shared" si="95"/>
        <v>143.13599999999997</v>
      </c>
      <c r="AF86" s="153">
        <f t="shared" si="96"/>
        <v>0</v>
      </c>
      <c r="AG86" s="153">
        <f t="shared" si="97"/>
        <v>143.13599999999997</v>
      </c>
      <c r="AH86" s="153">
        <f t="shared" si="98"/>
        <v>8.9045333333333332</v>
      </c>
      <c r="AI86" s="153">
        <f t="shared" si="99"/>
        <v>8.9045333333333332</v>
      </c>
      <c r="AJ86" s="72" t="s">
        <v>146</v>
      </c>
      <c r="AK86" s="150"/>
      <c r="AL86" s="156"/>
      <c r="AM86" s="150"/>
      <c r="AN86" s="155">
        <f t="shared" si="112"/>
        <v>3180.7999999999997</v>
      </c>
      <c r="AO86" s="156">
        <f t="shared" si="110"/>
        <v>1.7999999999999999E-2</v>
      </c>
      <c r="AP86" s="150">
        <f t="shared" si="119"/>
        <v>143.13599999999997</v>
      </c>
      <c r="AQ86" s="150">
        <f t="shared" si="108"/>
        <v>3180.7999999999997</v>
      </c>
      <c r="AR86" s="150">
        <f t="shared" si="120"/>
        <v>143.13599999999997</v>
      </c>
      <c r="AS86" s="150">
        <f t="shared" si="103"/>
        <v>8.9045333333333332</v>
      </c>
      <c r="AT86" s="150">
        <f t="shared" si="104"/>
        <v>8.9045333333333332</v>
      </c>
      <c r="AU86" s="82"/>
      <c r="AV86" s="159"/>
      <c r="AW86" s="159"/>
      <c r="AX86" s="159"/>
      <c r="AY86" s="159"/>
      <c r="AZ86" s="159"/>
      <c r="BA86" s="159"/>
      <c r="BC86" s="180" t="str">
        <f t="shared" si="105"/>
        <v/>
      </c>
      <c r="BD86" s="180">
        <f t="shared" si="122"/>
        <v>15</v>
      </c>
      <c r="BE86" s="181" t="str">
        <f t="shared" si="106"/>
        <v/>
      </c>
      <c r="BF86" s="89" t="s">
        <v>109</v>
      </c>
      <c r="BG86" s="25"/>
      <c r="BH86" s="19"/>
      <c r="BI86" s="19"/>
    </row>
    <row r="87" spans="1:61" ht="18.75" customHeight="1" x14ac:dyDescent="0.25">
      <c r="A87" s="44" t="s">
        <v>222</v>
      </c>
      <c r="B87" s="31" t="s">
        <v>124</v>
      </c>
      <c r="C87" s="33">
        <v>2011</v>
      </c>
      <c r="D87" s="33">
        <v>231</v>
      </c>
      <c r="E87" s="33">
        <v>53</v>
      </c>
      <c r="F87" s="32">
        <v>86000</v>
      </c>
      <c r="G87" s="32"/>
      <c r="H87" s="37" t="s">
        <v>168</v>
      </c>
      <c r="I87" s="148">
        <v>30000</v>
      </c>
      <c r="J87" s="148"/>
      <c r="K87" s="152"/>
      <c r="L87" s="148">
        <f>I87*0.9</f>
        <v>27000</v>
      </c>
      <c r="M87" s="152">
        <v>0.01</v>
      </c>
      <c r="N87" s="148">
        <f t="shared" si="93"/>
        <v>27000</v>
      </c>
      <c r="O87" s="149">
        <f t="shared" si="125"/>
        <v>675</v>
      </c>
      <c r="P87" s="148">
        <f>I87*0.7+11000*0.7</f>
        <v>28700</v>
      </c>
      <c r="Q87" s="152">
        <v>1.7999999999999999E-2</v>
      </c>
      <c r="R87" s="149">
        <f t="shared" si="126"/>
        <v>1291.4999999999998</v>
      </c>
      <c r="S87" s="148"/>
      <c r="T87" s="148"/>
      <c r="U87" s="148"/>
      <c r="V87" s="149">
        <f>W87*2</f>
        <v>119.05185185185184</v>
      </c>
      <c r="W87" s="149">
        <f>(30000*0.7+11000*0.7)/(1.5*2.7)*(1.5+2.7)*2/1000</f>
        <v>59.525925925925918</v>
      </c>
      <c r="X87" s="148">
        <f t="shared" si="114"/>
        <v>84400</v>
      </c>
      <c r="Y87" s="149">
        <f t="shared" si="115"/>
        <v>1966.4999999999998</v>
      </c>
      <c r="Z87" s="152">
        <f t="shared" si="107"/>
        <v>2.7999999999999997E-2</v>
      </c>
      <c r="AA87" s="79"/>
      <c r="AB87" s="73">
        <f>IF(AU87=0, IF(AND((C87+AA87)&gt;0,MAX(C87,AA87)&gt;(2022-Hypotheses!$D$3)), MAX(C87,AA87)+Hypotheses!$D$3, 2027), "")</f>
        <v>2051</v>
      </c>
      <c r="AC87" s="62"/>
      <c r="AD87" s="153">
        <f t="shared" si="94"/>
        <v>84400</v>
      </c>
      <c r="AE87" s="153">
        <f t="shared" si="95"/>
        <v>1966.4999999999998</v>
      </c>
      <c r="AF87" s="153">
        <f t="shared" si="96"/>
        <v>675</v>
      </c>
      <c r="AG87" s="153">
        <f t="shared" si="97"/>
        <v>1291.4999999999998</v>
      </c>
      <c r="AH87" s="153">
        <f t="shared" si="98"/>
        <v>119.05185185185184</v>
      </c>
      <c r="AI87" s="153">
        <f t="shared" si="99"/>
        <v>59.525925925925918</v>
      </c>
      <c r="AJ87" s="61" t="s">
        <v>168</v>
      </c>
      <c r="AK87" s="150">
        <f>L87</f>
        <v>27000</v>
      </c>
      <c r="AL87" s="156">
        <f>M87</f>
        <v>0.01</v>
      </c>
      <c r="AM87" s="150">
        <f t="shared" si="121"/>
        <v>675</v>
      </c>
      <c r="AN87" s="155">
        <f t="shared" si="112"/>
        <v>28700</v>
      </c>
      <c r="AO87" s="156">
        <f t="shared" si="110"/>
        <v>1.7999999999999999E-2</v>
      </c>
      <c r="AP87" s="150">
        <f t="shared" si="119"/>
        <v>1291.4999999999998</v>
      </c>
      <c r="AQ87" s="150">
        <f t="shared" si="108"/>
        <v>55700</v>
      </c>
      <c r="AR87" s="150">
        <f t="shared" si="120"/>
        <v>1966.4999999999998</v>
      </c>
      <c r="AS87" s="150">
        <f t="shared" si="103"/>
        <v>119.05185185185184</v>
      </c>
      <c r="AT87" s="150">
        <f t="shared" si="104"/>
        <v>59.525925925925918</v>
      </c>
      <c r="AU87" s="81"/>
      <c r="AV87" s="158"/>
      <c r="AW87" s="158"/>
      <c r="AX87" s="158"/>
      <c r="AY87" s="158"/>
      <c r="AZ87" s="158"/>
      <c r="BA87" s="158"/>
      <c r="BC87" s="180" t="str">
        <f t="shared" si="105"/>
        <v/>
      </c>
      <c r="BD87" s="180">
        <f t="shared" si="122"/>
        <v>11</v>
      </c>
      <c r="BE87" s="181" t="str">
        <f t="shared" si="106"/>
        <v/>
      </c>
      <c r="BF87" s="89" t="s">
        <v>98</v>
      </c>
    </row>
    <row r="88" spans="1:61" ht="18.75" customHeight="1" x14ac:dyDescent="0.25">
      <c r="A88" s="44" t="s">
        <v>99</v>
      </c>
      <c r="B88" s="31" t="s">
        <v>124</v>
      </c>
      <c r="C88" s="33">
        <v>2010</v>
      </c>
      <c r="D88" s="52">
        <v>33</v>
      </c>
      <c r="E88" s="52">
        <v>8</v>
      </c>
      <c r="F88" s="32">
        <v>9400</v>
      </c>
      <c r="G88" s="32"/>
      <c r="H88" s="38" t="s">
        <v>146</v>
      </c>
      <c r="I88" s="148"/>
      <c r="J88" s="148"/>
      <c r="K88" s="152"/>
      <c r="L88" s="148"/>
      <c r="M88" s="152"/>
      <c r="N88" s="148"/>
      <c r="O88" s="149"/>
      <c r="P88" s="148">
        <f>35*8*(2+0.8)*1.25+63*8*(2+0.8)</f>
        <v>2391.1999999999998</v>
      </c>
      <c r="Q88" s="152">
        <v>1.7999999999999999E-2</v>
      </c>
      <c r="R88" s="149">
        <f t="shared" si="126"/>
        <v>107.60399999999998</v>
      </c>
      <c r="S88" s="148"/>
      <c r="T88" s="148"/>
      <c r="U88" s="148"/>
      <c r="V88" s="149">
        <f>W88</f>
        <v>6.8656000000000006</v>
      </c>
      <c r="W88" s="149">
        <f>(35*8*((2+1.25)*2+(0.8+1.25)*2)+63*8*(2+0.8)/(1.5*2.8)*(2*2+0.8*2+1.5*4))/1000</f>
        <v>6.8656000000000006</v>
      </c>
      <c r="X88" s="148">
        <f t="shared" si="114"/>
        <v>4782.3999999999996</v>
      </c>
      <c r="Y88" s="149">
        <f t="shared" si="115"/>
        <v>107.60399999999998</v>
      </c>
      <c r="Z88" s="152">
        <f t="shared" si="107"/>
        <v>1.7999999999999999E-2</v>
      </c>
      <c r="AA88" s="80"/>
      <c r="AB88" s="73">
        <f>IF(AU88=0, IF(AND((C88+AA88)&gt;0,MAX(C88,AA88)&gt;(2022-Hypotheses!$D$3)), MAX(C88,AA88)+Hypotheses!$D$3, 2027), "")</f>
        <v>2050</v>
      </c>
      <c r="AC88" s="63"/>
      <c r="AD88" s="153">
        <f t="shared" si="94"/>
        <v>4782.3999999999996</v>
      </c>
      <c r="AE88" s="153">
        <f t="shared" si="95"/>
        <v>107.60399999999998</v>
      </c>
      <c r="AF88" s="153">
        <f t="shared" si="96"/>
        <v>0</v>
      </c>
      <c r="AG88" s="153">
        <f t="shared" si="97"/>
        <v>107.60399999999998</v>
      </c>
      <c r="AH88" s="153">
        <f t="shared" si="98"/>
        <v>6.8656000000000006</v>
      </c>
      <c r="AI88" s="153">
        <f t="shared" si="99"/>
        <v>6.8656000000000006</v>
      </c>
      <c r="AJ88" s="72" t="s">
        <v>146</v>
      </c>
      <c r="AK88" s="150"/>
      <c r="AL88" s="156"/>
      <c r="AM88" s="150"/>
      <c r="AN88" s="155">
        <f t="shared" si="112"/>
        <v>2391.1999999999998</v>
      </c>
      <c r="AO88" s="156">
        <f t="shared" si="110"/>
        <v>1.7999999999999999E-2</v>
      </c>
      <c r="AP88" s="150">
        <f t="shared" si="119"/>
        <v>107.60399999999998</v>
      </c>
      <c r="AQ88" s="150">
        <f t="shared" si="108"/>
        <v>2391.1999999999998</v>
      </c>
      <c r="AR88" s="150">
        <f t="shared" si="120"/>
        <v>107.60399999999998</v>
      </c>
      <c r="AS88" s="150">
        <f t="shared" si="103"/>
        <v>6.8656000000000006</v>
      </c>
      <c r="AT88" s="150">
        <f t="shared" si="104"/>
        <v>6.8656000000000006</v>
      </c>
      <c r="AU88" s="82"/>
      <c r="AV88" s="159"/>
      <c r="AW88" s="159"/>
      <c r="AX88" s="159"/>
      <c r="AY88" s="159"/>
      <c r="AZ88" s="159"/>
      <c r="BA88" s="159"/>
      <c r="BC88" s="180" t="str">
        <f t="shared" si="105"/>
        <v/>
      </c>
      <c r="BD88" s="180">
        <f t="shared" si="122"/>
        <v>12</v>
      </c>
      <c r="BE88" s="181" t="str">
        <f t="shared" si="106"/>
        <v/>
      </c>
      <c r="BF88" s="89" t="s">
        <v>110</v>
      </c>
      <c r="BG88" s="25"/>
      <c r="BH88" s="19"/>
      <c r="BI88" s="19"/>
    </row>
    <row r="89" spans="1:61" ht="18.75" customHeight="1" x14ac:dyDescent="0.25">
      <c r="A89" s="44" t="s">
        <v>223</v>
      </c>
      <c r="B89" s="31" t="s">
        <v>124</v>
      </c>
      <c r="C89" s="33">
        <v>2013</v>
      </c>
      <c r="D89" s="52">
        <v>162</v>
      </c>
      <c r="E89" s="52">
        <v>38</v>
      </c>
      <c r="F89" s="32">
        <v>44000</v>
      </c>
      <c r="G89" s="32"/>
      <c r="H89" s="38" t="s">
        <v>156</v>
      </c>
      <c r="I89" s="148"/>
      <c r="J89" s="148">
        <f>4000+28000*0.9*0.3</f>
        <v>11560</v>
      </c>
      <c r="K89" s="152">
        <v>8.0000000000000002E-3</v>
      </c>
      <c r="L89" s="148"/>
      <c r="M89" s="152"/>
      <c r="N89" s="148">
        <f t="shared" si="93"/>
        <v>11560</v>
      </c>
      <c r="O89" s="149">
        <f t="shared" si="125"/>
        <v>231.20000000000002</v>
      </c>
      <c r="P89" s="148"/>
      <c r="Q89" s="152"/>
      <c r="R89" s="149"/>
      <c r="S89" s="148">
        <f>28000*0.9*0.7</f>
        <v>17640</v>
      </c>
      <c r="T89" s="152">
        <f>0.008+0.006+0.01</f>
        <v>2.4E-2</v>
      </c>
      <c r="U89" s="148">
        <f>T89*S89*2.5</f>
        <v>1058.4000000000001</v>
      </c>
      <c r="V89" s="149">
        <f>W89*2/3</f>
        <v>22.819555555555553</v>
      </c>
      <c r="W89" s="149">
        <f>(S89/(2.5*1.5)*(2.5+1.5)+J89/(1.5*1.5)*(1.5+1.5))/1000</f>
        <v>34.229333333333329</v>
      </c>
      <c r="X89" s="148">
        <f t="shared" si="114"/>
        <v>64480</v>
      </c>
      <c r="Y89" s="149">
        <f t="shared" si="115"/>
        <v>1289.6000000000001</v>
      </c>
      <c r="Z89" s="152">
        <f>M89+T89</f>
        <v>2.4E-2</v>
      </c>
      <c r="AA89" s="80"/>
      <c r="AB89" s="73">
        <f>IF(AU89=0, IF(AND((C89+AA89)&gt;0,MAX(C89,AA89)&gt;(2022-Hypotheses!$D$3)), MAX(C89,AA89)+Hypotheses!$D$3, 2027), "")</f>
        <v>2053</v>
      </c>
      <c r="AC89" s="63"/>
      <c r="AD89" s="153">
        <f t="shared" si="94"/>
        <v>64480</v>
      </c>
      <c r="AE89" s="153">
        <f t="shared" si="95"/>
        <v>1289.6000000000001</v>
      </c>
      <c r="AF89" s="153">
        <f t="shared" si="96"/>
        <v>231.20000000000002</v>
      </c>
      <c r="AG89" s="153">
        <f t="shared" si="97"/>
        <v>0</v>
      </c>
      <c r="AH89" s="153">
        <f t="shared" si="98"/>
        <v>22.819555555555553</v>
      </c>
      <c r="AI89" s="153">
        <f t="shared" si="99"/>
        <v>34.229333333333329</v>
      </c>
      <c r="AJ89" s="72" t="s">
        <v>156</v>
      </c>
      <c r="AK89" s="150"/>
      <c r="AL89" s="156"/>
      <c r="AM89" s="150"/>
      <c r="AN89" s="155">
        <f>S89</f>
        <v>17640</v>
      </c>
      <c r="AO89" s="156">
        <f>T89</f>
        <v>2.4E-2</v>
      </c>
      <c r="AP89" s="150">
        <f t="shared" si="119"/>
        <v>1058.4000000000001</v>
      </c>
      <c r="AQ89" s="150">
        <f t="shared" si="108"/>
        <v>17640</v>
      </c>
      <c r="AR89" s="150">
        <f t="shared" si="120"/>
        <v>1058.4000000000001</v>
      </c>
      <c r="AS89" s="150">
        <f t="shared" si="103"/>
        <v>22.819555555555553</v>
      </c>
      <c r="AT89" s="150">
        <f t="shared" si="104"/>
        <v>34.229333333333329</v>
      </c>
      <c r="AU89" s="82"/>
      <c r="AV89" s="159"/>
      <c r="AW89" s="159"/>
      <c r="AX89" s="159"/>
      <c r="AY89" s="159"/>
      <c r="AZ89" s="159"/>
      <c r="BA89" s="159"/>
      <c r="BC89" s="180" t="str">
        <f t="shared" si="105"/>
        <v/>
      </c>
      <c r="BD89" s="180">
        <f t="shared" si="122"/>
        <v>9</v>
      </c>
      <c r="BE89" s="181" t="str">
        <f t="shared" si="106"/>
        <v/>
      </c>
      <c r="BF89" s="89" t="s">
        <v>104</v>
      </c>
      <c r="BH89" s="19"/>
      <c r="BI89" s="19"/>
    </row>
    <row r="90" spans="1:61" ht="18.75" customHeight="1" x14ac:dyDescent="0.25">
      <c r="A90" s="44" t="s">
        <v>224</v>
      </c>
      <c r="B90" s="31" t="s">
        <v>124</v>
      </c>
      <c r="C90" s="33">
        <v>2014</v>
      </c>
      <c r="D90" s="52">
        <v>194</v>
      </c>
      <c r="E90" s="52">
        <v>47</v>
      </c>
      <c r="F90" s="32">
        <v>69500</v>
      </c>
      <c r="G90" s="32"/>
      <c r="H90" s="38" t="s">
        <v>238</v>
      </c>
      <c r="I90" s="148"/>
      <c r="J90" s="148"/>
      <c r="K90" s="152"/>
      <c r="L90" s="148">
        <f>35000 *0.8*0.5</f>
        <v>14000</v>
      </c>
      <c r="M90" s="152">
        <v>0.02</v>
      </c>
      <c r="N90" s="148">
        <f t="shared" si="93"/>
        <v>14000</v>
      </c>
      <c r="O90" s="149">
        <f t="shared" si="125"/>
        <v>700</v>
      </c>
      <c r="P90" s="148">
        <f>35000 *0.8</f>
        <v>28000</v>
      </c>
      <c r="Q90" s="152">
        <v>1.4E-2</v>
      </c>
      <c r="R90" s="149">
        <f t="shared" si="126"/>
        <v>980</v>
      </c>
      <c r="S90" s="148"/>
      <c r="T90" s="148"/>
      <c r="U90" s="148"/>
      <c r="V90" s="149">
        <f>W90*2/3</f>
        <v>24.888888888888889</v>
      </c>
      <c r="W90" s="149">
        <f>P90/(1.5*1.5)*(1.5+1.5)/1000</f>
        <v>37.333333333333336</v>
      </c>
      <c r="X90" s="148">
        <f t="shared" si="114"/>
        <v>70000</v>
      </c>
      <c r="Y90" s="149">
        <f t="shared" si="115"/>
        <v>1680</v>
      </c>
      <c r="Z90" s="152">
        <f>M90+Q90</f>
        <v>3.4000000000000002E-2</v>
      </c>
      <c r="AA90" s="80"/>
      <c r="AB90" s="73">
        <f>IF(AU90=0, IF(AND((C90+AA90)&gt;0,MAX(C90,AA90)&gt;(2022-Hypotheses!$D$3)), MAX(C90,AA90)+Hypotheses!$D$3, 2027), "")</f>
        <v>2054</v>
      </c>
      <c r="AC90" s="63"/>
      <c r="AD90" s="153">
        <f t="shared" si="94"/>
        <v>70000</v>
      </c>
      <c r="AE90" s="153">
        <f t="shared" si="95"/>
        <v>1680</v>
      </c>
      <c r="AF90" s="153">
        <f t="shared" si="96"/>
        <v>700</v>
      </c>
      <c r="AG90" s="153">
        <f t="shared" si="97"/>
        <v>980</v>
      </c>
      <c r="AH90" s="153">
        <f t="shared" si="98"/>
        <v>24.888888888888889</v>
      </c>
      <c r="AI90" s="153">
        <f t="shared" si="99"/>
        <v>37.333333333333336</v>
      </c>
      <c r="AJ90" s="72" t="s">
        <v>236</v>
      </c>
      <c r="AK90" s="150">
        <f>L90</f>
        <v>14000</v>
      </c>
      <c r="AL90" s="156">
        <f>M90</f>
        <v>0.02</v>
      </c>
      <c r="AM90" s="150">
        <f t="shared" si="121"/>
        <v>700</v>
      </c>
      <c r="AN90" s="155">
        <f t="shared" ref="AN90:AN103" si="128">P90</f>
        <v>28000</v>
      </c>
      <c r="AO90" s="156">
        <f t="shared" ref="AO90:AO103" si="129">Q90</f>
        <v>1.4E-2</v>
      </c>
      <c r="AP90" s="150">
        <f t="shared" si="119"/>
        <v>980</v>
      </c>
      <c r="AQ90" s="150">
        <f t="shared" si="108"/>
        <v>42000</v>
      </c>
      <c r="AR90" s="150">
        <f t="shared" si="120"/>
        <v>1680</v>
      </c>
      <c r="AS90" s="150">
        <f t="shared" si="103"/>
        <v>24.888888888888889</v>
      </c>
      <c r="AT90" s="150">
        <f t="shared" si="104"/>
        <v>37.333333333333336</v>
      </c>
      <c r="AU90" s="82"/>
      <c r="AV90" s="159"/>
      <c r="AW90" s="159"/>
      <c r="AX90" s="159"/>
      <c r="AY90" s="159"/>
      <c r="AZ90" s="159"/>
      <c r="BA90" s="159"/>
      <c r="BC90" s="180" t="str">
        <f t="shared" si="105"/>
        <v/>
      </c>
      <c r="BD90" s="180">
        <f t="shared" si="122"/>
        <v>8</v>
      </c>
      <c r="BE90" s="181" t="str">
        <f t="shared" si="106"/>
        <v/>
      </c>
      <c r="BF90" s="89" t="s">
        <v>95</v>
      </c>
      <c r="BG90" s="25"/>
      <c r="BH90" s="19"/>
      <c r="BI90" s="19"/>
    </row>
    <row r="91" spans="1:61" s="49" customFormat="1" ht="18.75" customHeight="1" x14ac:dyDescent="0.25">
      <c r="A91" s="44" t="s">
        <v>225</v>
      </c>
      <c r="B91" s="31" t="s">
        <v>124</v>
      </c>
      <c r="C91" s="33">
        <v>2014</v>
      </c>
      <c r="D91" s="52">
        <v>175</v>
      </c>
      <c r="E91" s="52">
        <v>37</v>
      </c>
      <c r="F91" s="32">
        <v>54000</v>
      </c>
      <c r="G91" s="32"/>
      <c r="H91" s="37" t="s">
        <v>146</v>
      </c>
      <c r="I91" s="148"/>
      <c r="J91" s="148">
        <f>25.3*12*18</f>
        <v>5464.8</v>
      </c>
      <c r="K91" s="152">
        <v>8.0000000000000002E-3</v>
      </c>
      <c r="L91" s="148"/>
      <c r="M91" s="152"/>
      <c r="N91" s="148">
        <f t="shared" si="93"/>
        <v>5464.8</v>
      </c>
      <c r="O91" s="149">
        <f t="shared" si="125"/>
        <v>109.29600000000001</v>
      </c>
      <c r="P91" s="148">
        <f>41*12*18</f>
        <v>8856</v>
      </c>
      <c r="Q91" s="152">
        <v>1.7999999999999999E-2</v>
      </c>
      <c r="R91" s="149">
        <f t="shared" ref="R91:R103" si="130">P91*Q91*2.5</f>
        <v>398.52</v>
      </c>
      <c r="S91" s="148"/>
      <c r="T91" s="148"/>
      <c r="U91" s="148"/>
      <c r="V91" s="149">
        <f>W91*2</f>
        <v>47.527200000000001</v>
      </c>
      <c r="W91" s="149">
        <f>P91/(1.5*2)*(1.5+2)*2*1.15/1000</f>
        <v>23.7636</v>
      </c>
      <c r="X91" s="148">
        <f t="shared" si="114"/>
        <v>23176.799999999999</v>
      </c>
      <c r="Y91" s="149">
        <f t="shared" si="115"/>
        <v>507.81599999999997</v>
      </c>
      <c r="Z91" s="152">
        <f t="shared" si="107"/>
        <v>1.7999999999999999E-2</v>
      </c>
      <c r="AA91" s="80"/>
      <c r="AB91" s="73">
        <f>IF(AU91=0, IF(AND((C91+AA91)&gt;0,MAX(C91,AA91)&gt;(2022-Hypotheses!$D$3)), MAX(C91,AA91)+Hypotheses!$D$3, 2027), "")</f>
        <v>2054</v>
      </c>
      <c r="AC91" s="63"/>
      <c r="AD91" s="153">
        <f t="shared" si="94"/>
        <v>23176.799999999999</v>
      </c>
      <c r="AE91" s="153">
        <f t="shared" si="95"/>
        <v>507.81599999999997</v>
      </c>
      <c r="AF91" s="153">
        <f t="shared" si="96"/>
        <v>109.29600000000001</v>
      </c>
      <c r="AG91" s="153">
        <f t="shared" si="97"/>
        <v>398.52</v>
      </c>
      <c r="AH91" s="153">
        <f t="shared" si="98"/>
        <v>47.527200000000001</v>
      </c>
      <c r="AI91" s="153">
        <f t="shared" si="99"/>
        <v>23.7636</v>
      </c>
      <c r="AJ91" s="72" t="s">
        <v>146</v>
      </c>
      <c r="AK91" s="150"/>
      <c r="AL91" s="156"/>
      <c r="AM91" s="150"/>
      <c r="AN91" s="155">
        <f t="shared" si="128"/>
        <v>8856</v>
      </c>
      <c r="AO91" s="156">
        <f t="shared" si="129"/>
        <v>1.7999999999999999E-2</v>
      </c>
      <c r="AP91" s="150">
        <f t="shared" si="119"/>
        <v>398.52</v>
      </c>
      <c r="AQ91" s="150">
        <f t="shared" si="108"/>
        <v>8856</v>
      </c>
      <c r="AR91" s="150">
        <f t="shared" si="120"/>
        <v>398.52</v>
      </c>
      <c r="AS91" s="150">
        <f t="shared" si="103"/>
        <v>47.527200000000001</v>
      </c>
      <c r="AT91" s="150">
        <f t="shared" si="104"/>
        <v>23.7636</v>
      </c>
      <c r="AU91" s="82"/>
      <c r="AV91" s="159"/>
      <c r="AW91" s="159"/>
      <c r="AX91" s="159"/>
      <c r="AY91" s="159"/>
      <c r="AZ91" s="159"/>
      <c r="BA91" s="159"/>
      <c r="BB91" s="98"/>
      <c r="BC91" s="180" t="str">
        <f t="shared" si="105"/>
        <v/>
      </c>
      <c r="BD91" s="180">
        <f t="shared" si="122"/>
        <v>8</v>
      </c>
      <c r="BE91" s="181" t="str">
        <f t="shared" si="106"/>
        <v/>
      </c>
      <c r="BF91" s="89" t="s">
        <v>120</v>
      </c>
      <c r="BG91" s="25"/>
      <c r="BH91" s="19"/>
      <c r="BI91" s="19"/>
    </row>
    <row r="92" spans="1:61" ht="18.75" customHeight="1" x14ac:dyDescent="0.25">
      <c r="A92" s="44" t="s">
        <v>57</v>
      </c>
      <c r="B92" s="34" t="s">
        <v>125</v>
      </c>
      <c r="C92" s="33">
        <v>2018</v>
      </c>
      <c r="D92" s="52">
        <v>75</v>
      </c>
      <c r="E92" s="52">
        <v>20</v>
      </c>
      <c r="F92" s="32"/>
      <c r="G92" s="32">
        <v>10500</v>
      </c>
      <c r="H92" s="38" t="s">
        <v>146</v>
      </c>
      <c r="I92" s="148"/>
      <c r="J92" s="148">
        <f>18*(1.5*(30+30+25*0.8)*0.95)</f>
        <v>2052</v>
      </c>
      <c r="K92" s="152">
        <v>8.0000000000000002E-3</v>
      </c>
      <c r="L92" s="148"/>
      <c r="M92" s="152"/>
      <c r="N92" s="148">
        <f t="shared" si="93"/>
        <v>2052</v>
      </c>
      <c r="O92" s="149">
        <f t="shared" si="125"/>
        <v>41.04</v>
      </c>
      <c r="P92" s="148">
        <f>18*((1.5*30)+24+(2*0.8)*11+1.5*30*0.9)+4*(30+22)</f>
        <v>2495.7999999999997</v>
      </c>
      <c r="Q92" s="152">
        <v>1.7999999999999999E-2</v>
      </c>
      <c r="R92" s="149">
        <f t="shared" si="130"/>
        <v>112.31099999999998</v>
      </c>
      <c r="S92" s="148"/>
      <c r="T92" s="148"/>
      <c r="U92" s="148"/>
      <c r="V92" s="149">
        <f>W92*1.4</f>
        <v>10.525872</v>
      </c>
      <c r="W92" s="149">
        <f>(18*(20*(1.5+1.5)*2+13*(1.5+1.5)*2+11*(2+0.8)*2+20*(1.5+1.5)*2*0.9)*1.1+20*(4+2)*2)/1000</f>
        <v>7.5184800000000003</v>
      </c>
      <c r="X92" s="148">
        <f t="shared" si="114"/>
        <v>7043.5999999999995</v>
      </c>
      <c r="Y92" s="149">
        <f t="shared" si="115"/>
        <v>153.35099999999997</v>
      </c>
      <c r="Z92" s="152"/>
      <c r="AA92" s="80"/>
      <c r="AB92" s="73">
        <f>IF(AU92=0, IF(AND((C92+AA92)&gt;0,MAX(C92,AA92)&gt;(2022-Hypotheses!$D$3)), MAX(C92,AA92)+Hypotheses!$D$3, 2027), "")</f>
        <v>2058</v>
      </c>
      <c r="AC92" s="63"/>
      <c r="AD92" s="153">
        <f t="shared" si="94"/>
        <v>7043.5999999999995</v>
      </c>
      <c r="AE92" s="153">
        <f t="shared" si="95"/>
        <v>153.35099999999997</v>
      </c>
      <c r="AF92" s="153">
        <f t="shared" si="96"/>
        <v>41.04</v>
      </c>
      <c r="AG92" s="153">
        <f t="shared" si="97"/>
        <v>112.31099999999998</v>
      </c>
      <c r="AH92" s="153">
        <f t="shared" si="98"/>
        <v>10.525872</v>
      </c>
      <c r="AI92" s="153">
        <f t="shared" si="99"/>
        <v>7.5184800000000003</v>
      </c>
      <c r="AJ92" s="72" t="s">
        <v>146</v>
      </c>
      <c r="AK92" s="150"/>
      <c r="AL92" s="156"/>
      <c r="AM92" s="150"/>
      <c r="AN92" s="155">
        <f t="shared" si="128"/>
        <v>2495.7999999999997</v>
      </c>
      <c r="AO92" s="156">
        <f t="shared" si="129"/>
        <v>1.7999999999999999E-2</v>
      </c>
      <c r="AP92" s="150">
        <f t="shared" si="119"/>
        <v>112.31099999999998</v>
      </c>
      <c r="AQ92" s="150">
        <f t="shared" si="108"/>
        <v>2495.7999999999997</v>
      </c>
      <c r="AR92" s="150">
        <f t="shared" si="120"/>
        <v>112.31099999999998</v>
      </c>
      <c r="AS92" s="150">
        <f t="shared" si="103"/>
        <v>10.525872</v>
      </c>
      <c r="AT92" s="150">
        <f t="shared" si="104"/>
        <v>7.5184800000000003</v>
      </c>
      <c r="AU92" s="82"/>
      <c r="AV92" s="159"/>
      <c r="AW92" s="159"/>
      <c r="AX92" s="159"/>
      <c r="AY92" s="159"/>
      <c r="AZ92" s="159"/>
      <c r="BA92" s="159"/>
      <c r="BC92" s="180" t="str">
        <f t="shared" si="105"/>
        <v/>
      </c>
      <c r="BD92" s="180">
        <f t="shared" si="122"/>
        <v>4</v>
      </c>
      <c r="BE92" s="181" t="str">
        <f t="shared" si="106"/>
        <v/>
      </c>
      <c r="BF92" s="89" t="s">
        <v>118</v>
      </c>
      <c r="BH92" s="19"/>
      <c r="BI92" s="19"/>
    </row>
    <row r="93" spans="1:61" ht="18.75" customHeight="1" x14ac:dyDescent="0.25">
      <c r="A93" s="44" t="s">
        <v>54</v>
      </c>
      <c r="B93" s="31" t="s">
        <v>124</v>
      </c>
      <c r="C93" s="33">
        <v>2018</v>
      </c>
      <c r="D93" s="52">
        <v>47</v>
      </c>
      <c r="E93" s="52">
        <v>7</v>
      </c>
      <c r="F93" s="32">
        <v>45000</v>
      </c>
      <c r="G93" s="32"/>
      <c r="H93" s="37" t="s">
        <v>146</v>
      </c>
      <c r="I93" s="148"/>
      <c r="J93" s="148">
        <f>16000*0.4</f>
        <v>6400</v>
      </c>
      <c r="K93" s="152">
        <v>8.0000000000000002E-3</v>
      </c>
      <c r="L93" s="148"/>
      <c r="M93" s="152"/>
      <c r="N93" s="148">
        <f t="shared" si="93"/>
        <v>6400</v>
      </c>
      <c r="O93" s="149">
        <f t="shared" si="125"/>
        <v>128</v>
      </c>
      <c r="P93" s="148">
        <f>16000*0.6</f>
        <v>9600</v>
      </c>
      <c r="Q93" s="152">
        <f t="shared" ref="Q93:Q95" si="131">0.008*2</f>
        <v>1.6E-2</v>
      </c>
      <c r="R93" s="149">
        <f t="shared" si="130"/>
        <v>384</v>
      </c>
      <c r="S93" s="148"/>
      <c r="T93" s="148"/>
      <c r="U93" s="148"/>
      <c r="V93" s="149">
        <f>W93*1.4</f>
        <v>59.733333333333334</v>
      </c>
      <c r="W93" s="149">
        <f>16000/(1.5*1.5)*(1.5+1.5)*2/1000</f>
        <v>42.666666666666671</v>
      </c>
      <c r="X93" s="148">
        <f t="shared" si="114"/>
        <v>25600</v>
      </c>
      <c r="Y93" s="149">
        <f t="shared" si="115"/>
        <v>512</v>
      </c>
      <c r="Z93" s="152">
        <f t="shared" si="107"/>
        <v>1.6E-2</v>
      </c>
      <c r="AA93" s="80"/>
      <c r="AB93" s="73">
        <f>IF(AU93=0, IF(AND((C93+AA93)&gt;0,MAX(C93,AA93)&gt;(2022-Hypotheses!$D$3)), MAX(C93,AA93)+Hypotheses!$D$3, 2027), "")</f>
        <v>2058</v>
      </c>
      <c r="AC93" s="63"/>
      <c r="AD93" s="153">
        <f t="shared" si="94"/>
        <v>25600</v>
      </c>
      <c r="AE93" s="153">
        <f t="shared" si="95"/>
        <v>512</v>
      </c>
      <c r="AF93" s="153">
        <f t="shared" si="96"/>
        <v>128</v>
      </c>
      <c r="AG93" s="153">
        <f t="shared" si="97"/>
        <v>384</v>
      </c>
      <c r="AH93" s="153">
        <f t="shared" si="98"/>
        <v>59.733333333333334</v>
      </c>
      <c r="AI93" s="153">
        <f t="shared" si="99"/>
        <v>42.666666666666671</v>
      </c>
      <c r="AJ93" s="72" t="s">
        <v>146</v>
      </c>
      <c r="AK93" s="150"/>
      <c r="AL93" s="156"/>
      <c r="AM93" s="150"/>
      <c r="AN93" s="155">
        <f t="shared" si="128"/>
        <v>9600</v>
      </c>
      <c r="AO93" s="156">
        <f t="shared" si="129"/>
        <v>1.6E-2</v>
      </c>
      <c r="AP93" s="150">
        <f t="shared" si="119"/>
        <v>384</v>
      </c>
      <c r="AQ93" s="150">
        <f t="shared" si="108"/>
        <v>9600</v>
      </c>
      <c r="AR93" s="150">
        <f t="shared" si="120"/>
        <v>384</v>
      </c>
      <c r="AS93" s="150">
        <f t="shared" si="103"/>
        <v>59.733333333333334</v>
      </c>
      <c r="AT93" s="150">
        <f t="shared" si="104"/>
        <v>42.666666666666671</v>
      </c>
      <c r="AU93" s="82"/>
      <c r="AV93" s="159"/>
      <c r="AW93" s="159"/>
      <c r="AX93" s="159"/>
      <c r="AY93" s="159"/>
      <c r="AZ93" s="159"/>
      <c r="BA93" s="159"/>
      <c r="BC93" s="180" t="str">
        <f t="shared" si="105"/>
        <v/>
      </c>
      <c r="BD93" s="180">
        <f t="shared" si="122"/>
        <v>4</v>
      </c>
      <c r="BE93" s="181" t="str">
        <f t="shared" si="106"/>
        <v/>
      </c>
      <c r="BF93" s="89" t="s">
        <v>91</v>
      </c>
      <c r="BG93" s="25"/>
      <c r="BH93" s="19"/>
      <c r="BI93" s="19"/>
    </row>
    <row r="94" spans="1:61" ht="18.75" customHeight="1" x14ac:dyDescent="0.25">
      <c r="A94" s="44" t="s">
        <v>55</v>
      </c>
      <c r="B94" s="31" t="s">
        <v>124</v>
      </c>
      <c r="C94" s="33">
        <v>2019</v>
      </c>
      <c r="D94" s="52">
        <v>53</v>
      </c>
      <c r="E94" s="52">
        <v>15</v>
      </c>
      <c r="F94" s="32">
        <v>37000</v>
      </c>
      <c r="G94" s="32"/>
      <c r="H94" s="37" t="s">
        <v>146</v>
      </c>
      <c r="I94" s="148"/>
      <c r="J94" s="148"/>
      <c r="K94" s="152"/>
      <c r="L94" s="148"/>
      <c r="M94" s="152"/>
      <c r="N94" s="148"/>
      <c r="O94" s="149"/>
      <c r="P94" s="148">
        <f>16640*0.8</f>
        <v>13312</v>
      </c>
      <c r="Q94" s="152">
        <f t="shared" si="131"/>
        <v>1.6E-2</v>
      </c>
      <c r="R94" s="149">
        <f t="shared" si="130"/>
        <v>532.48</v>
      </c>
      <c r="S94" s="148"/>
      <c r="T94" s="148"/>
      <c r="U94" s="148"/>
      <c r="V94" s="149">
        <f>W94*1.4</f>
        <v>43.485866666666666</v>
      </c>
      <c r="W94" s="149">
        <f>P94/(1.5*2)*(1.5+2)*2/1000</f>
        <v>31.061333333333334</v>
      </c>
      <c r="X94" s="148">
        <f t="shared" si="114"/>
        <v>26624</v>
      </c>
      <c r="Y94" s="149">
        <f t="shared" si="115"/>
        <v>532.48</v>
      </c>
      <c r="Z94" s="152">
        <f t="shared" si="107"/>
        <v>1.6E-2</v>
      </c>
      <c r="AA94" s="80"/>
      <c r="AB94" s="73">
        <f>IF(AU94=0, IF(AND((C94+AA94)&gt;0,MAX(C94,AA94)&gt;(2022-Hypotheses!$D$3)), MAX(C94,AA94)+Hypotheses!$D$3, 2027), "")</f>
        <v>2059</v>
      </c>
      <c r="AC94" s="63"/>
      <c r="AD94" s="153">
        <f t="shared" si="94"/>
        <v>26624</v>
      </c>
      <c r="AE94" s="153">
        <f t="shared" si="95"/>
        <v>532.48</v>
      </c>
      <c r="AF94" s="153">
        <f t="shared" si="96"/>
        <v>0</v>
      </c>
      <c r="AG94" s="153">
        <f t="shared" si="97"/>
        <v>532.48</v>
      </c>
      <c r="AH94" s="153">
        <f t="shared" si="98"/>
        <v>43.485866666666666</v>
      </c>
      <c r="AI94" s="153">
        <f t="shared" si="99"/>
        <v>31.061333333333334</v>
      </c>
      <c r="AJ94" s="72" t="s">
        <v>146</v>
      </c>
      <c r="AK94" s="150"/>
      <c r="AL94" s="156"/>
      <c r="AM94" s="150"/>
      <c r="AN94" s="155">
        <f t="shared" si="128"/>
        <v>13312</v>
      </c>
      <c r="AO94" s="156">
        <f t="shared" si="129"/>
        <v>1.6E-2</v>
      </c>
      <c r="AP94" s="150">
        <f t="shared" si="119"/>
        <v>532.48</v>
      </c>
      <c r="AQ94" s="150">
        <f t="shared" si="108"/>
        <v>13312</v>
      </c>
      <c r="AR94" s="150">
        <f t="shared" si="120"/>
        <v>532.48</v>
      </c>
      <c r="AS94" s="150">
        <f t="shared" si="103"/>
        <v>43.485866666666666</v>
      </c>
      <c r="AT94" s="150">
        <f t="shared" si="104"/>
        <v>31.061333333333334</v>
      </c>
      <c r="AU94" s="82"/>
      <c r="AV94" s="159"/>
      <c r="AW94" s="159"/>
      <c r="AX94" s="159"/>
      <c r="AY94" s="159"/>
      <c r="AZ94" s="159"/>
      <c r="BA94" s="159"/>
      <c r="BC94" s="180" t="str">
        <f t="shared" si="105"/>
        <v/>
      </c>
      <c r="BD94" s="180">
        <f t="shared" si="122"/>
        <v>3</v>
      </c>
      <c r="BE94" s="181" t="str">
        <f t="shared" si="106"/>
        <v/>
      </c>
      <c r="BF94" s="89" t="s">
        <v>119</v>
      </c>
      <c r="BG94" s="25"/>
      <c r="BH94" s="19"/>
      <c r="BI94" s="19"/>
    </row>
    <row r="95" spans="1:61" ht="18.75" customHeight="1" x14ac:dyDescent="0.25">
      <c r="A95" s="44" t="s">
        <v>56</v>
      </c>
      <c r="B95" s="31" t="s">
        <v>124</v>
      </c>
      <c r="C95" s="33">
        <v>2019</v>
      </c>
      <c r="D95" s="52">
        <v>41</v>
      </c>
      <c r="E95" s="52">
        <v>8</v>
      </c>
      <c r="F95" s="32">
        <v>19000</v>
      </c>
      <c r="G95" s="32"/>
      <c r="H95" s="37" t="s">
        <v>146</v>
      </c>
      <c r="I95" s="148"/>
      <c r="J95" s="148"/>
      <c r="K95" s="152"/>
      <c r="L95" s="148"/>
      <c r="M95" s="152"/>
      <c r="N95" s="148"/>
      <c r="O95" s="149"/>
      <c r="P95" s="148">
        <f>7*120*(1.5*2)+2*60*(1*3)</f>
        <v>2880</v>
      </c>
      <c r="Q95" s="152">
        <f t="shared" si="131"/>
        <v>1.6E-2</v>
      </c>
      <c r="R95" s="149">
        <f t="shared" si="130"/>
        <v>115.19999999999999</v>
      </c>
      <c r="S95" s="148"/>
      <c r="T95" s="148"/>
      <c r="U95" s="148"/>
      <c r="V95" s="149">
        <f>W95*1.4</f>
        <v>9.5759999999999987</v>
      </c>
      <c r="W95" s="149">
        <f>(7*120*(1.5+2)*2+2*60*(1+3)*2)/1000</f>
        <v>6.84</v>
      </c>
      <c r="X95" s="148">
        <f t="shared" si="114"/>
        <v>5760</v>
      </c>
      <c r="Y95" s="149">
        <f t="shared" si="115"/>
        <v>115.19999999999999</v>
      </c>
      <c r="Z95" s="152">
        <f t="shared" si="107"/>
        <v>1.6E-2</v>
      </c>
      <c r="AA95" s="80"/>
      <c r="AB95" s="73">
        <f>IF(AU95=0, IF(AND((C95+AA95)&gt;0,MAX(C95,AA95)&gt;(2022-Hypotheses!$D$3)), MAX(C95,AA95)+Hypotheses!$D$3, 2027), "")</f>
        <v>2059</v>
      </c>
      <c r="AC95" s="63"/>
      <c r="AD95" s="153">
        <f t="shared" si="94"/>
        <v>5760</v>
      </c>
      <c r="AE95" s="153">
        <f t="shared" si="95"/>
        <v>115.19999999999999</v>
      </c>
      <c r="AF95" s="153">
        <f t="shared" si="96"/>
        <v>0</v>
      </c>
      <c r="AG95" s="153">
        <f t="shared" si="97"/>
        <v>115.19999999999999</v>
      </c>
      <c r="AH95" s="153">
        <f t="shared" si="98"/>
        <v>9.5759999999999987</v>
      </c>
      <c r="AI95" s="153">
        <f t="shared" si="99"/>
        <v>6.84</v>
      </c>
      <c r="AJ95" s="72" t="s">
        <v>146</v>
      </c>
      <c r="AK95" s="150"/>
      <c r="AL95" s="156"/>
      <c r="AM95" s="150"/>
      <c r="AN95" s="155">
        <f t="shared" si="128"/>
        <v>2880</v>
      </c>
      <c r="AO95" s="156">
        <f t="shared" si="129"/>
        <v>1.6E-2</v>
      </c>
      <c r="AP95" s="150">
        <f t="shared" si="119"/>
        <v>115.19999999999999</v>
      </c>
      <c r="AQ95" s="150">
        <f t="shared" si="108"/>
        <v>2880</v>
      </c>
      <c r="AR95" s="150">
        <f t="shared" si="120"/>
        <v>115.19999999999999</v>
      </c>
      <c r="AS95" s="150">
        <f t="shared" si="103"/>
        <v>9.5759999999999987</v>
      </c>
      <c r="AT95" s="150">
        <f t="shared" si="104"/>
        <v>6.84</v>
      </c>
      <c r="AU95" s="82"/>
      <c r="AV95" s="159"/>
      <c r="AW95" s="159"/>
      <c r="AX95" s="159"/>
      <c r="AY95" s="159"/>
      <c r="AZ95" s="159"/>
      <c r="BA95" s="159"/>
      <c r="BC95" s="180" t="str">
        <f t="shared" si="105"/>
        <v/>
      </c>
      <c r="BD95" s="180">
        <f t="shared" si="122"/>
        <v>3</v>
      </c>
      <c r="BE95" s="181" t="str">
        <f t="shared" si="106"/>
        <v/>
      </c>
      <c r="BF95" s="89"/>
      <c r="BG95" s="25"/>
      <c r="BH95" s="19"/>
      <c r="BI95" s="19"/>
    </row>
    <row r="96" spans="1:61" ht="18.75" customHeight="1" x14ac:dyDescent="0.25">
      <c r="A96" s="44" t="s">
        <v>226</v>
      </c>
      <c r="B96" s="31" t="s">
        <v>124</v>
      </c>
      <c r="C96" s="33">
        <v>2020</v>
      </c>
      <c r="D96" s="52">
        <v>178</v>
      </c>
      <c r="E96" s="52">
        <v>39</v>
      </c>
      <c r="F96" s="32">
        <v>49000</v>
      </c>
      <c r="G96" s="32"/>
      <c r="H96" s="37" t="s">
        <v>168</v>
      </c>
      <c r="I96" s="148"/>
      <c r="J96" s="148">
        <v>2500</v>
      </c>
      <c r="K96" s="152">
        <v>8.0000000000000002E-3</v>
      </c>
      <c r="L96" s="148">
        <f>25000*0.8</f>
        <v>20000</v>
      </c>
      <c r="M96" s="152">
        <v>0.01</v>
      </c>
      <c r="N96" s="148">
        <f t="shared" si="93"/>
        <v>22500</v>
      </c>
      <c r="O96" s="149">
        <f t="shared" si="125"/>
        <v>550</v>
      </c>
      <c r="P96" s="148">
        <f>25000*0.8</f>
        <v>20000</v>
      </c>
      <c r="Q96" s="152">
        <v>1.7999999999999999E-2</v>
      </c>
      <c r="R96" s="149">
        <f t="shared" si="130"/>
        <v>900</v>
      </c>
      <c r="S96" s="148"/>
      <c r="T96" s="148"/>
      <c r="U96" s="148"/>
      <c r="V96" s="149">
        <f>W96*2</f>
        <v>85.333333333333329</v>
      </c>
      <c r="W96" s="149">
        <f>(P96/(1.5*2.5)*(1.5+2.5)*2)/1000</f>
        <v>42.666666666666664</v>
      </c>
      <c r="X96" s="148">
        <f t="shared" si="114"/>
        <v>62500</v>
      </c>
      <c r="Y96" s="149">
        <f t="shared" si="115"/>
        <v>1450</v>
      </c>
      <c r="Z96" s="152">
        <f t="shared" si="107"/>
        <v>2.7999999999999997E-2</v>
      </c>
      <c r="AA96" s="80"/>
      <c r="AB96" s="73">
        <f>IF(AU96=0, IF(AND((C96+AA96)&gt;0,MAX(C96,AA96)&gt;(2022-Hypotheses!$D$3)), MAX(C96,AA96)+Hypotheses!$D$3, 2027), "")</f>
        <v>2060</v>
      </c>
      <c r="AC96" s="63"/>
      <c r="AD96" s="153">
        <f t="shared" si="94"/>
        <v>62500</v>
      </c>
      <c r="AE96" s="153">
        <f t="shared" si="95"/>
        <v>1450</v>
      </c>
      <c r="AF96" s="153">
        <f t="shared" si="96"/>
        <v>550</v>
      </c>
      <c r="AG96" s="153">
        <f t="shared" si="97"/>
        <v>900</v>
      </c>
      <c r="AH96" s="153">
        <f t="shared" si="98"/>
        <v>85.333333333333329</v>
      </c>
      <c r="AI96" s="153">
        <f t="shared" si="99"/>
        <v>42.666666666666664</v>
      </c>
      <c r="AJ96" s="72" t="s">
        <v>168</v>
      </c>
      <c r="AK96" s="150">
        <f t="shared" ref="AK96:AL98" si="132">L96</f>
        <v>20000</v>
      </c>
      <c r="AL96" s="156">
        <f t="shared" si="132"/>
        <v>0.01</v>
      </c>
      <c r="AM96" s="150">
        <f t="shared" si="121"/>
        <v>500</v>
      </c>
      <c r="AN96" s="155">
        <f t="shared" si="128"/>
        <v>20000</v>
      </c>
      <c r="AO96" s="156">
        <f t="shared" si="129"/>
        <v>1.7999999999999999E-2</v>
      </c>
      <c r="AP96" s="150">
        <f t="shared" si="119"/>
        <v>900</v>
      </c>
      <c r="AQ96" s="150">
        <f t="shared" si="108"/>
        <v>40000</v>
      </c>
      <c r="AR96" s="150">
        <f t="shared" si="120"/>
        <v>1400</v>
      </c>
      <c r="AS96" s="150">
        <f t="shared" si="103"/>
        <v>85.333333333333329</v>
      </c>
      <c r="AT96" s="150">
        <f t="shared" si="104"/>
        <v>42.666666666666664</v>
      </c>
      <c r="AU96" s="82"/>
      <c r="AV96" s="159"/>
      <c r="AW96" s="159"/>
      <c r="AX96" s="159"/>
      <c r="AY96" s="159"/>
      <c r="AZ96" s="159"/>
      <c r="BA96" s="159"/>
      <c r="BC96" s="180" t="str">
        <f t="shared" si="105"/>
        <v/>
      </c>
      <c r="BD96" s="180">
        <f t="shared" si="122"/>
        <v>2</v>
      </c>
      <c r="BE96" s="181" t="str">
        <f t="shared" si="106"/>
        <v/>
      </c>
      <c r="BF96" s="89"/>
      <c r="BG96" s="25"/>
      <c r="BH96" s="19"/>
      <c r="BI96" s="19"/>
    </row>
    <row r="97" spans="1:61" ht="18.75" customHeight="1" x14ac:dyDescent="0.25">
      <c r="A97" s="44" t="s">
        <v>227</v>
      </c>
      <c r="B97" s="31" t="s">
        <v>124</v>
      </c>
      <c r="C97" s="33">
        <v>2020</v>
      </c>
      <c r="D97" s="52">
        <v>167</v>
      </c>
      <c r="E97" s="52">
        <v>33</v>
      </c>
      <c r="F97" s="32">
        <v>52600</v>
      </c>
      <c r="G97" s="32"/>
      <c r="H97" s="37" t="s">
        <v>168</v>
      </c>
      <c r="I97" s="148"/>
      <c r="J97" s="148"/>
      <c r="K97" s="152"/>
      <c r="L97" s="148">
        <f>23860*0.5</f>
        <v>11930</v>
      </c>
      <c r="M97" s="152">
        <v>0.01</v>
      </c>
      <c r="N97" s="148">
        <f t="shared" si="93"/>
        <v>11930</v>
      </c>
      <c r="O97" s="149">
        <f t="shared" si="125"/>
        <v>298.25</v>
      </c>
      <c r="P97" s="148">
        <f>23860*0.9</f>
        <v>21474</v>
      </c>
      <c r="Q97" s="152">
        <v>1.7999999999999999E-2</v>
      </c>
      <c r="R97" s="149">
        <f t="shared" si="130"/>
        <v>966.32999999999993</v>
      </c>
      <c r="S97" s="148"/>
      <c r="T97" s="148"/>
      <c r="U97" s="148"/>
      <c r="V97" s="149">
        <f>W97*2</f>
        <v>100.212</v>
      </c>
      <c r="W97" s="149">
        <f>23860*0.9/(1.5*2)*(1.5+2)*2/1000</f>
        <v>50.106000000000002</v>
      </c>
      <c r="X97" s="148">
        <f t="shared" si="114"/>
        <v>54878</v>
      </c>
      <c r="Y97" s="149">
        <f t="shared" si="115"/>
        <v>1264.58</v>
      </c>
      <c r="Z97" s="152">
        <f t="shared" si="107"/>
        <v>2.7999999999999997E-2</v>
      </c>
      <c r="AA97" s="80"/>
      <c r="AB97" s="73">
        <f>IF(AU97=0, IF(AND((C97+AA97)&gt;0,MAX(C97,AA97)&gt;(2022-Hypotheses!$D$3)), MAX(C97,AA97)+Hypotheses!$D$3, 2027), "")</f>
        <v>2060</v>
      </c>
      <c r="AC97" s="63"/>
      <c r="AD97" s="153">
        <f t="shared" si="94"/>
        <v>54878</v>
      </c>
      <c r="AE97" s="153">
        <f t="shared" si="95"/>
        <v>1264.58</v>
      </c>
      <c r="AF97" s="153">
        <f t="shared" si="96"/>
        <v>298.25</v>
      </c>
      <c r="AG97" s="153">
        <f t="shared" si="97"/>
        <v>966.32999999999993</v>
      </c>
      <c r="AH97" s="153">
        <f t="shared" si="98"/>
        <v>100.212</v>
      </c>
      <c r="AI97" s="153">
        <f t="shared" si="99"/>
        <v>50.106000000000002</v>
      </c>
      <c r="AJ97" s="72" t="s">
        <v>168</v>
      </c>
      <c r="AK97" s="150">
        <f t="shared" si="132"/>
        <v>11930</v>
      </c>
      <c r="AL97" s="156">
        <f t="shared" si="132"/>
        <v>0.01</v>
      </c>
      <c r="AM97" s="150">
        <f t="shared" si="121"/>
        <v>298.25</v>
      </c>
      <c r="AN97" s="155">
        <f t="shared" si="128"/>
        <v>21474</v>
      </c>
      <c r="AO97" s="156">
        <f t="shared" si="129"/>
        <v>1.7999999999999999E-2</v>
      </c>
      <c r="AP97" s="150">
        <f t="shared" si="119"/>
        <v>966.32999999999993</v>
      </c>
      <c r="AQ97" s="150">
        <f t="shared" si="108"/>
        <v>33404</v>
      </c>
      <c r="AR97" s="150">
        <f t="shared" si="120"/>
        <v>1264.58</v>
      </c>
      <c r="AS97" s="150">
        <f t="shared" si="103"/>
        <v>100.212</v>
      </c>
      <c r="AT97" s="150">
        <f t="shared" si="104"/>
        <v>50.106000000000002</v>
      </c>
      <c r="AU97" s="82"/>
      <c r="AV97" s="159"/>
      <c r="AW97" s="159"/>
      <c r="AX97" s="159"/>
      <c r="AY97" s="159"/>
      <c r="AZ97" s="159"/>
      <c r="BA97" s="159"/>
      <c r="BC97" s="180" t="str">
        <f t="shared" si="105"/>
        <v/>
      </c>
      <c r="BD97" s="180">
        <f t="shared" si="122"/>
        <v>2</v>
      </c>
      <c r="BE97" s="181" t="str">
        <f t="shared" si="106"/>
        <v/>
      </c>
      <c r="BF97" s="89" t="s">
        <v>96</v>
      </c>
      <c r="BG97" s="25"/>
      <c r="BH97" s="19"/>
      <c r="BI97" s="19"/>
    </row>
    <row r="98" spans="1:61" ht="18.75" customHeight="1" x14ac:dyDescent="0.25">
      <c r="A98" s="44" t="s">
        <v>228</v>
      </c>
      <c r="B98" s="31" t="s">
        <v>124</v>
      </c>
      <c r="C98" s="33">
        <v>2020</v>
      </c>
      <c r="D98" s="52">
        <v>160</v>
      </c>
      <c r="E98" s="52">
        <v>38</v>
      </c>
      <c r="F98" s="32">
        <v>51000</v>
      </c>
      <c r="G98" s="32"/>
      <c r="H98" s="37" t="s">
        <v>168</v>
      </c>
      <c r="I98" s="148"/>
      <c r="J98" s="148"/>
      <c r="K98" s="152"/>
      <c r="L98" s="148">
        <f>21400*0.9</f>
        <v>19260</v>
      </c>
      <c r="M98" s="152">
        <v>0.01</v>
      </c>
      <c r="N98" s="148">
        <f t="shared" si="93"/>
        <v>19260</v>
      </c>
      <c r="O98" s="149">
        <f t="shared" si="125"/>
        <v>481.5</v>
      </c>
      <c r="P98" s="148">
        <f>21400*0.85</f>
        <v>18190</v>
      </c>
      <c r="Q98" s="152">
        <v>1.7999999999999999E-2</v>
      </c>
      <c r="R98" s="149">
        <f t="shared" si="130"/>
        <v>818.55</v>
      </c>
      <c r="S98" s="148"/>
      <c r="T98" s="148"/>
      <c r="U98" s="148"/>
      <c r="V98" s="149">
        <f>W98*2</f>
        <v>84.886666666666656</v>
      </c>
      <c r="W98" s="149">
        <f>P98/(1.5*2)*(1.5+2)*2/1000</f>
        <v>42.443333333333328</v>
      </c>
      <c r="X98" s="148">
        <f t="shared" si="114"/>
        <v>55640</v>
      </c>
      <c r="Y98" s="149">
        <f t="shared" si="115"/>
        <v>1300.05</v>
      </c>
      <c r="Z98" s="152">
        <f t="shared" si="107"/>
        <v>2.7999999999999997E-2</v>
      </c>
      <c r="AA98" s="80"/>
      <c r="AB98" s="73">
        <f>IF(AU98=0, IF(AND((C98+AA98)&gt;0,MAX(C98,AA98)&gt;(2022-Hypotheses!$D$3)), MAX(C98,AA98)+Hypotheses!$D$3, 2027), "")</f>
        <v>2060</v>
      </c>
      <c r="AC98" s="63"/>
      <c r="AD98" s="153">
        <f t="shared" si="94"/>
        <v>55640</v>
      </c>
      <c r="AE98" s="153">
        <f t="shared" si="95"/>
        <v>1300.05</v>
      </c>
      <c r="AF98" s="153">
        <f t="shared" si="96"/>
        <v>481.5</v>
      </c>
      <c r="AG98" s="153">
        <f t="shared" si="97"/>
        <v>818.55</v>
      </c>
      <c r="AH98" s="153">
        <f t="shared" si="98"/>
        <v>84.886666666666656</v>
      </c>
      <c r="AI98" s="153">
        <f t="shared" si="99"/>
        <v>42.443333333333328</v>
      </c>
      <c r="AJ98" s="72" t="s">
        <v>168</v>
      </c>
      <c r="AK98" s="150">
        <f t="shared" si="132"/>
        <v>19260</v>
      </c>
      <c r="AL98" s="156">
        <f t="shared" si="132"/>
        <v>0.01</v>
      </c>
      <c r="AM98" s="150">
        <f t="shared" si="121"/>
        <v>481.5</v>
      </c>
      <c r="AN98" s="155">
        <f t="shared" si="128"/>
        <v>18190</v>
      </c>
      <c r="AO98" s="156">
        <f t="shared" si="129"/>
        <v>1.7999999999999999E-2</v>
      </c>
      <c r="AP98" s="150">
        <f t="shared" si="119"/>
        <v>818.55</v>
      </c>
      <c r="AQ98" s="150">
        <f t="shared" si="108"/>
        <v>37450</v>
      </c>
      <c r="AR98" s="150">
        <f t="shared" si="120"/>
        <v>1300.05</v>
      </c>
      <c r="AS98" s="150">
        <f t="shared" si="103"/>
        <v>84.886666666666656</v>
      </c>
      <c r="AT98" s="150">
        <f t="shared" si="104"/>
        <v>42.443333333333328</v>
      </c>
      <c r="AU98" s="82"/>
      <c r="AV98" s="159"/>
      <c r="AW98" s="159"/>
      <c r="AX98" s="159"/>
      <c r="AY98" s="159"/>
      <c r="AZ98" s="159"/>
      <c r="BA98" s="159"/>
      <c r="BC98" s="180" t="str">
        <f t="shared" si="105"/>
        <v/>
      </c>
      <c r="BD98" s="180">
        <f t="shared" si="122"/>
        <v>2</v>
      </c>
      <c r="BE98" s="181" t="str">
        <f t="shared" si="106"/>
        <v/>
      </c>
      <c r="BF98" s="89" t="s">
        <v>97</v>
      </c>
      <c r="BG98" s="25"/>
      <c r="BH98" s="19"/>
      <c r="BI98" s="19"/>
    </row>
    <row r="99" spans="1:61" s="49" customFormat="1" ht="18.75" customHeight="1" x14ac:dyDescent="0.25">
      <c r="A99" s="44" t="s">
        <v>229</v>
      </c>
      <c r="B99" s="31" t="s">
        <v>124</v>
      </c>
      <c r="C99" s="33">
        <v>2020</v>
      </c>
      <c r="D99" s="52">
        <v>59</v>
      </c>
      <c r="E99" s="52">
        <v>14</v>
      </c>
      <c r="F99" s="32">
        <v>25500</v>
      </c>
      <c r="G99" s="32"/>
      <c r="H99" s="38" t="s">
        <v>168</v>
      </c>
      <c r="I99" s="148"/>
      <c r="J99" s="148">
        <f>22*14*2*(1.35*0.5)*0.9+3*16*14*1*1.2*0.9</f>
        <v>1099.98</v>
      </c>
      <c r="K99" s="152">
        <v>6.0000000000000001E-3</v>
      </c>
      <c r="L99" s="148">
        <f>2.5*(22*14*2*(1.35*3.05)*0.9+15*14*2*(3.55*1.35)*0.9+3*16*14*3.2*1.2*0.9)</f>
        <v>16041.8475</v>
      </c>
      <c r="M99" s="152"/>
      <c r="N99" s="148">
        <f>2.5*(22*14*2*(1.35*3.05)*0.9*0.01+15*14*2*(3.55*1.35)*0.9*0.012+3*16*14*3.2*1.2*0.9*0.006)</f>
        <v>146.25198</v>
      </c>
      <c r="O99" s="149">
        <f t="shared" si="125"/>
        <v>16.499700000000001</v>
      </c>
      <c r="P99" s="148">
        <f>22*14*2*(1.35*3.05)*0.9+15*14*2*3.55*1.35*0.9+3*16*14*3.2*1.2*0.9</f>
        <v>6416.7389999999996</v>
      </c>
      <c r="Q99" s="152">
        <v>1.2E-2</v>
      </c>
      <c r="R99" s="149">
        <f t="shared" si="130"/>
        <v>192.50216999999998</v>
      </c>
      <c r="S99" s="148"/>
      <c r="T99" s="148"/>
      <c r="U99" s="148"/>
      <c r="V99" s="149">
        <f>W99*2</f>
        <v>27.81072</v>
      </c>
      <c r="W99" s="149">
        <f>(22*14*2*(1.35+3.05)*2*0.9+15*14*2*(3.55+1.35)*0.9*2+3*16*14*(3.2+1.2)*2*0.9)/1000</f>
        <v>13.90536</v>
      </c>
      <c r="X99" s="148">
        <f t="shared" si="114"/>
        <v>12979.72998</v>
      </c>
      <c r="Y99" s="149">
        <f t="shared" si="115"/>
        <v>209.00186999999997</v>
      </c>
      <c r="Z99" s="152">
        <f t="shared" si="107"/>
        <v>1.2E-2</v>
      </c>
      <c r="AA99" s="80"/>
      <c r="AB99" s="73">
        <f>IF(AU99=0, IF(AND((C99+AA99)&gt;0,MAX(C99,AA99)&gt;(2022-Hypotheses!$D$3)), MAX(C99,AA99)+Hypotheses!$D$3, 2027), "")</f>
        <v>2060</v>
      </c>
      <c r="AC99" s="63"/>
      <c r="AD99" s="153">
        <f t="shared" si="94"/>
        <v>12979.72998</v>
      </c>
      <c r="AE99" s="153">
        <f t="shared" si="95"/>
        <v>209.00186999999997</v>
      </c>
      <c r="AF99" s="153">
        <f t="shared" si="96"/>
        <v>16.499700000000001</v>
      </c>
      <c r="AG99" s="153">
        <f t="shared" si="97"/>
        <v>192.50216999999998</v>
      </c>
      <c r="AH99" s="153">
        <f t="shared" si="98"/>
        <v>27.81072</v>
      </c>
      <c r="AI99" s="153">
        <f t="shared" si="99"/>
        <v>13.90536</v>
      </c>
      <c r="AJ99" s="72" t="s">
        <v>168</v>
      </c>
      <c r="AK99" s="150">
        <f>L99</f>
        <v>16041.8475</v>
      </c>
      <c r="AL99" s="156"/>
      <c r="AM99" s="150"/>
      <c r="AN99" s="155">
        <f t="shared" si="128"/>
        <v>6416.7389999999996</v>
      </c>
      <c r="AO99" s="156">
        <f t="shared" si="129"/>
        <v>1.2E-2</v>
      </c>
      <c r="AP99" s="150">
        <f t="shared" si="119"/>
        <v>192.50216999999998</v>
      </c>
      <c r="AQ99" s="150">
        <f t="shared" si="108"/>
        <v>22458.586499999998</v>
      </c>
      <c r="AR99" s="150">
        <f t="shared" si="120"/>
        <v>192.50216999999998</v>
      </c>
      <c r="AS99" s="150">
        <f t="shared" si="103"/>
        <v>27.81072</v>
      </c>
      <c r="AT99" s="150">
        <f t="shared" si="104"/>
        <v>13.90536</v>
      </c>
      <c r="AU99" s="82"/>
      <c r="AV99" s="159"/>
      <c r="AW99" s="159"/>
      <c r="AX99" s="159"/>
      <c r="AY99" s="159"/>
      <c r="AZ99" s="159"/>
      <c r="BA99" s="159"/>
      <c r="BB99" s="98"/>
      <c r="BC99" s="180" t="str">
        <f t="shared" si="105"/>
        <v/>
      </c>
      <c r="BD99" s="180">
        <f t="shared" si="122"/>
        <v>2</v>
      </c>
      <c r="BE99" s="181" t="str">
        <f t="shared" si="106"/>
        <v/>
      </c>
      <c r="BF99" s="88" t="s">
        <v>112</v>
      </c>
      <c r="BG99" s="25"/>
      <c r="BH99" s="19"/>
      <c r="BI99" s="19"/>
    </row>
    <row r="100" spans="1:61" ht="18.75" customHeight="1" x14ac:dyDescent="0.25">
      <c r="A100" s="44" t="s">
        <v>230</v>
      </c>
      <c r="B100" s="31" t="s">
        <v>124</v>
      </c>
      <c r="C100" s="33">
        <v>2022</v>
      </c>
      <c r="D100" s="52">
        <v>220</v>
      </c>
      <c r="E100" s="52">
        <v>52</v>
      </c>
      <c r="F100" s="32">
        <v>80000</v>
      </c>
      <c r="G100" s="32"/>
      <c r="H100" s="38" t="s">
        <v>146</v>
      </c>
      <c r="I100" s="148"/>
      <c r="J100" s="148"/>
      <c r="K100" s="152"/>
      <c r="L100" s="148"/>
      <c r="M100" s="152"/>
      <c r="N100" s="148"/>
      <c r="O100" s="149"/>
      <c r="P100" s="148">
        <f>(8000+3000+11400+1400)*0.9</f>
        <v>21420</v>
      </c>
      <c r="Q100" s="152">
        <v>1.7999999999999999E-2</v>
      </c>
      <c r="R100" s="149">
        <f>(P100*Q100+1400*0.014)*2.5</f>
        <v>1012.8999999999999</v>
      </c>
      <c r="S100" s="148"/>
      <c r="T100" s="148"/>
      <c r="U100" s="148"/>
      <c r="V100" s="149">
        <f>W100</f>
        <v>57.12</v>
      </c>
      <c r="W100" s="149">
        <f>P100/(1.5*1.5)*(1.5*4)/1000</f>
        <v>57.12</v>
      </c>
      <c r="X100" s="148">
        <f t="shared" si="114"/>
        <v>42840</v>
      </c>
      <c r="Y100" s="149">
        <f t="shared" si="115"/>
        <v>1012.8999999999999</v>
      </c>
      <c r="Z100" s="152">
        <f t="shared" si="107"/>
        <v>1.7999999999999999E-2</v>
      </c>
      <c r="AA100" s="80"/>
      <c r="AB100" s="73">
        <f>IF(AU100=0, IF(AND((C100+AA100)&gt;0,MAX(C100,AA100)&gt;(2022-Hypotheses!$D$3)), MAX(C100,AA100)+Hypotheses!$D$3, 2027), "")</f>
        <v>2062</v>
      </c>
      <c r="AC100" s="63"/>
      <c r="AD100" s="153">
        <f t="shared" si="94"/>
        <v>42840</v>
      </c>
      <c r="AE100" s="153">
        <f t="shared" si="95"/>
        <v>1012.8999999999999</v>
      </c>
      <c r="AF100" s="153">
        <f t="shared" si="96"/>
        <v>0</v>
      </c>
      <c r="AG100" s="153">
        <f t="shared" si="97"/>
        <v>1012.8999999999999</v>
      </c>
      <c r="AH100" s="153">
        <f t="shared" si="98"/>
        <v>57.12</v>
      </c>
      <c r="AI100" s="153">
        <f t="shared" si="99"/>
        <v>57.12</v>
      </c>
      <c r="AJ100" s="72" t="s">
        <v>146</v>
      </c>
      <c r="AK100" s="150"/>
      <c r="AL100" s="156"/>
      <c r="AM100" s="150"/>
      <c r="AN100" s="155">
        <f t="shared" si="128"/>
        <v>21420</v>
      </c>
      <c r="AO100" s="156">
        <f t="shared" si="129"/>
        <v>1.7999999999999999E-2</v>
      </c>
      <c r="AP100" s="150">
        <f t="shared" si="119"/>
        <v>963.89999999999986</v>
      </c>
      <c r="AQ100" s="150">
        <f t="shared" si="108"/>
        <v>21420</v>
      </c>
      <c r="AR100" s="150">
        <f t="shared" si="120"/>
        <v>963.89999999999986</v>
      </c>
      <c r="AS100" s="150">
        <f t="shared" si="103"/>
        <v>57.12</v>
      </c>
      <c r="AT100" s="150">
        <f t="shared" si="104"/>
        <v>57.12</v>
      </c>
      <c r="AU100" s="82"/>
      <c r="AV100" s="159"/>
      <c r="AW100" s="159"/>
      <c r="AX100" s="159"/>
      <c r="AY100" s="159"/>
      <c r="AZ100" s="159"/>
      <c r="BA100" s="159"/>
      <c r="BC100" s="180" t="str">
        <f t="shared" si="105"/>
        <v/>
      </c>
      <c r="BD100" s="180" t="str">
        <f t="shared" si="122"/>
        <v/>
      </c>
      <c r="BE100" s="181" t="str">
        <f t="shared" si="106"/>
        <v/>
      </c>
      <c r="BF100" s="89"/>
      <c r="BG100" s="25"/>
      <c r="BH100" s="19"/>
      <c r="BI100" s="19"/>
    </row>
    <row r="101" spans="1:61" s="49" customFormat="1" ht="18.75" customHeight="1" x14ac:dyDescent="0.25">
      <c r="A101" s="44" t="s">
        <v>237</v>
      </c>
      <c r="B101" s="31" t="s">
        <v>124</v>
      </c>
      <c r="C101" s="33">
        <v>2024</v>
      </c>
      <c r="D101" s="52">
        <v>206</v>
      </c>
      <c r="E101" s="52">
        <v>54</v>
      </c>
      <c r="F101" s="32">
        <v>65000</v>
      </c>
      <c r="G101" s="32"/>
      <c r="H101" s="37" t="s">
        <v>168</v>
      </c>
      <c r="I101" s="148"/>
      <c r="J101" s="148"/>
      <c r="K101" s="152"/>
      <c r="L101" s="148">
        <f>29422*0.8</f>
        <v>23537.600000000002</v>
      </c>
      <c r="M101" s="152">
        <v>0.01</v>
      </c>
      <c r="N101" s="148">
        <f t="shared" si="93"/>
        <v>23537.600000000002</v>
      </c>
      <c r="O101" s="149">
        <f t="shared" si="125"/>
        <v>588.44000000000005</v>
      </c>
      <c r="P101" s="148">
        <f>29422*0.8*2.5/3.2*0.9</f>
        <v>16549.875</v>
      </c>
      <c r="Q101" s="152">
        <v>1.7999999999999999E-2</v>
      </c>
      <c r="R101" s="149">
        <f t="shared" si="130"/>
        <v>744.74437499999999</v>
      </c>
      <c r="S101" s="148"/>
      <c r="T101" s="148"/>
      <c r="U101" s="148"/>
      <c r="V101" s="149">
        <f>W101*2</f>
        <v>98.073333333333323</v>
      </c>
      <c r="W101" s="149">
        <f>(29422*2.5/3.2)/(1.5*2.5)*(1.5+2.5)*2/1000</f>
        <v>49.036666666666662</v>
      </c>
      <c r="X101" s="148">
        <f t="shared" si="114"/>
        <v>56637.350000000006</v>
      </c>
      <c r="Y101" s="149">
        <f t="shared" si="115"/>
        <v>1333.184375</v>
      </c>
      <c r="Z101" s="152">
        <f t="shared" si="107"/>
        <v>2.7999999999999997E-2</v>
      </c>
      <c r="AA101" s="80"/>
      <c r="AB101" s="73">
        <f>IF(AU101=0, IF(AND((C101+AA101)&gt;0,MAX(C101,AA101)&gt;(2022-Hypotheses!$D$3)), MAX(C101,AA101)+Hypotheses!$D$3, 2027), "")</f>
        <v>2064</v>
      </c>
      <c r="AC101" s="63"/>
      <c r="AD101" s="153">
        <f t="shared" si="94"/>
        <v>56637.350000000006</v>
      </c>
      <c r="AE101" s="153">
        <f t="shared" si="95"/>
        <v>1333.184375</v>
      </c>
      <c r="AF101" s="153">
        <f t="shared" si="96"/>
        <v>588.44000000000005</v>
      </c>
      <c r="AG101" s="153">
        <f t="shared" si="97"/>
        <v>744.74437499999999</v>
      </c>
      <c r="AH101" s="153">
        <f t="shared" si="98"/>
        <v>98.073333333333323</v>
      </c>
      <c r="AI101" s="153">
        <f t="shared" si="99"/>
        <v>49.036666666666662</v>
      </c>
      <c r="AJ101" s="72" t="s">
        <v>168</v>
      </c>
      <c r="AK101" s="150">
        <f>L101</f>
        <v>23537.600000000002</v>
      </c>
      <c r="AL101" s="156">
        <f>M101</f>
        <v>0.01</v>
      </c>
      <c r="AM101" s="150">
        <f t="shared" si="121"/>
        <v>588.44000000000005</v>
      </c>
      <c r="AN101" s="155">
        <f t="shared" si="128"/>
        <v>16549.875</v>
      </c>
      <c r="AO101" s="156">
        <f t="shared" si="129"/>
        <v>1.7999999999999999E-2</v>
      </c>
      <c r="AP101" s="150">
        <f t="shared" si="119"/>
        <v>744.74437499999999</v>
      </c>
      <c r="AQ101" s="150">
        <f t="shared" si="108"/>
        <v>40087.475000000006</v>
      </c>
      <c r="AR101" s="150">
        <f t="shared" si="120"/>
        <v>1333.184375</v>
      </c>
      <c r="AS101" s="150">
        <f t="shared" si="103"/>
        <v>98.073333333333323</v>
      </c>
      <c r="AT101" s="150">
        <f t="shared" si="104"/>
        <v>49.036666666666662</v>
      </c>
      <c r="AU101" s="82"/>
      <c r="AV101" s="159"/>
      <c r="AW101" s="159"/>
      <c r="AX101" s="159"/>
      <c r="AY101" s="159"/>
      <c r="AZ101" s="159"/>
      <c r="BA101" s="159"/>
      <c r="BB101" s="98"/>
      <c r="BC101" s="180" t="str">
        <f t="shared" si="105"/>
        <v/>
      </c>
      <c r="BD101" s="180" t="str">
        <f t="shared" si="122"/>
        <v/>
      </c>
      <c r="BE101" s="181" t="str">
        <f t="shared" si="106"/>
        <v/>
      </c>
      <c r="BF101" s="89"/>
      <c r="BG101" s="25"/>
      <c r="BH101" s="19"/>
      <c r="BI101" s="19"/>
    </row>
    <row r="102" spans="1:61" s="49" customFormat="1" ht="18.75" customHeight="1" x14ac:dyDescent="0.25">
      <c r="A102" s="44" t="s">
        <v>178</v>
      </c>
      <c r="B102" s="31" t="s">
        <v>124</v>
      </c>
      <c r="C102" s="33">
        <v>2024</v>
      </c>
      <c r="D102" s="52">
        <v>50</v>
      </c>
      <c r="E102" s="52">
        <v>7</v>
      </c>
      <c r="F102" s="32">
        <v>22000</v>
      </c>
      <c r="G102" s="32"/>
      <c r="H102" s="37" t="s">
        <v>146</v>
      </c>
      <c r="I102" s="148"/>
      <c r="J102" s="148"/>
      <c r="K102" s="152"/>
      <c r="L102" s="148"/>
      <c r="M102" s="152"/>
      <c r="N102" s="148"/>
      <c r="O102" s="149"/>
      <c r="P102" s="148">
        <f>0.9*12000</f>
        <v>10800</v>
      </c>
      <c r="Q102" s="152">
        <v>1.7999999999999999E-2</v>
      </c>
      <c r="R102" s="149">
        <f t="shared" si="130"/>
        <v>485.99999999999994</v>
      </c>
      <c r="S102" s="148"/>
      <c r="T102" s="148"/>
      <c r="U102" s="148"/>
      <c r="V102" s="149">
        <f>W102</f>
        <v>57.12</v>
      </c>
      <c r="W102" s="149">
        <f>P100/(1.5*1.5)*(1.5*4)/1000</f>
        <v>57.12</v>
      </c>
      <c r="X102" s="148">
        <f t="shared" ref="X102" si="133">N102+P102*2+S102*3</f>
        <v>21600</v>
      </c>
      <c r="Y102" s="149">
        <f t="shared" ref="Y102" si="134">O102+R102+U102</f>
        <v>485.99999999999994</v>
      </c>
      <c r="Z102" s="152">
        <f t="shared" si="107"/>
        <v>1.7999999999999999E-2</v>
      </c>
      <c r="AA102" s="80"/>
      <c r="AB102" s="73">
        <f>IF(AU102=0, IF(AND((C102+AA102)&gt;0,MAX(C102,AA102)&gt;(2022-Hypotheses!$D$3)), MAX(C102,AA102)+Hypotheses!$D$3, 2027), "")</f>
        <v>2064</v>
      </c>
      <c r="AC102" s="63"/>
      <c r="AD102" s="153">
        <f t="shared" si="94"/>
        <v>21600</v>
      </c>
      <c r="AE102" s="153">
        <f t="shared" si="95"/>
        <v>485.99999999999994</v>
      </c>
      <c r="AF102" s="153">
        <f t="shared" si="96"/>
        <v>0</v>
      </c>
      <c r="AG102" s="153">
        <f t="shared" si="97"/>
        <v>485.99999999999994</v>
      </c>
      <c r="AH102" s="153">
        <f t="shared" si="98"/>
        <v>57.12</v>
      </c>
      <c r="AI102" s="153">
        <f t="shared" si="99"/>
        <v>57.12</v>
      </c>
      <c r="AJ102" s="72" t="s">
        <v>146</v>
      </c>
      <c r="AK102" s="150"/>
      <c r="AL102" s="156"/>
      <c r="AM102" s="150"/>
      <c r="AN102" s="155">
        <f t="shared" si="128"/>
        <v>10800</v>
      </c>
      <c r="AO102" s="156">
        <f t="shared" si="129"/>
        <v>1.7999999999999999E-2</v>
      </c>
      <c r="AP102" s="150">
        <f t="shared" si="119"/>
        <v>485.99999999999994</v>
      </c>
      <c r="AQ102" s="150">
        <f t="shared" si="108"/>
        <v>10800</v>
      </c>
      <c r="AR102" s="150">
        <f t="shared" si="120"/>
        <v>485.99999999999994</v>
      </c>
      <c r="AS102" s="150">
        <f t="shared" si="103"/>
        <v>57.12</v>
      </c>
      <c r="AT102" s="150">
        <f t="shared" si="104"/>
        <v>57.12</v>
      </c>
      <c r="AU102" s="82"/>
      <c r="AV102" s="159"/>
      <c r="AW102" s="159"/>
      <c r="AX102" s="159"/>
      <c r="AY102" s="159"/>
      <c r="AZ102" s="159"/>
      <c r="BA102" s="159"/>
      <c r="BB102" s="98"/>
      <c r="BC102" s="180" t="str">
        <f t="shared" si="105"/>
        <v/>
      </c>
      <c r="BD102" s="180" t="str">
        <f t="shared" si="122"/>
        <v/>
      </c>
      <c r="BE102" s="181" t="str">
        <f t="shared" si="106"/>
        <v/>
      </c>
      <c r="BF102" s="89"/>
      <c r="BG102" s="25"/>
      <c r="BH102" s="19"/>
      <c r="BI102" s="19"/>
    </row>
    <row r="103" spans="1:61" s="49" customFormat="1" ht="18.75" customHeight="1" x14ac:dyDescent="0.25">
      <c r="A103" s="44" t="s">
        <v>113</v>
      </c>
      <c r="B103" s="31" t="s">
        <v>124</v>
      </c>
      <c r="C103" s="33">
        <v>2025</v>
      </c>
      <c r="D103" s="52">
        <v>242</v>
      </c>
      <c r="E103" s="52">
        <v>52</v>
      </c>
      <c r="F103" s="32">
        <v>135000</v>
      </c>
      <c r="G103" s="32"/>
      <c r="H103" s="37" t="s">
        <v>168</v>
      </c>
      <c r="I103" s="148"/>
      <c r="J103" s="148"/>
      <c r="K103" s="152"/>
      <c r="L103" s="148">
        <f>70*150*3.5/4.2*0.95+65*220*3.5/4.2*0.95</f>
        <v>19633.333333333332</v>
      </c>
      <c r="M103" s="152">
        <v>0.01</v>
      </c>
      <c r="N103" s="148">
        <f t="shared" si="93"/>
        <v>19633.333333333332</v>
      </c>
      <c r="O103" s="149">
        <f t="shared" si="125"/>
        <v>490.83333333333326</v>
      </c>
      <c r="P103" s="148">
        <f>220*130*3/4.2*0.9+150*170*3/4.2*0.9</f>
        <v>34778.571428571428</v>
      </c>
      <c r="Q103" s="152">
        <v>1.7999999999999999E-2</v>
      </c>
      <c r="R103" s="149">
        <f t="shared" si="130"/>
        <v>1565.035714285714</v>
      </c>
      <c r="S103" s="148"/>
      <c r="T103" s="148"/>
      <c r="U103" s="148"/>
      <c r="V103" s="149">
        <f>W103*2</f>
        <v>146.84285714285713</v>
      </c>
      <c r="W103" s="149">
        <f>(220*130*3/4.2*0.95+150*170*3/4.2*0.95)/(1.5*3)*(1.5+3)*2/1000</f>
        <v>73.421428571428564</v>
      </c>
      <c r="X103" s="148">
        <f t="shared" si="114"/>
        <v>89190.476190476184</v>
      </c>
      <c r="Y103" s="149">
        <f t="shared" si="115"/>
        <v>2055.8690476190473</v>
      </c>
      <c r="Z103" s="152">
        <f t="shared" si="107"/>
        <v>2.7999999999999997E-2</v>
      </c>
      <c r="AA103" s="80"/>
      <c r="AB103" s="73">
        <f>IF(AU103=0, IF(AND((C103+AA103)&gt;0,MAX(C103,AA103)&gt;(2022-Hypotheses!$D$3)), MAX(C103,AA103)+Hypotheses!$D$3, 2027), "")</f>
        <v>2065</v>
      </c>
      <c r="AC103" s="63"/>
      <c r="AD103" s="153">
        <f t="shared" si="94"/>
        <v>89190.476190476184</v>
      </c>
      <c r="AE103" s="153">
        <f t="shared" si="95"/>
        <v>2055.8690476190473</v>
      </c>
      <c r="AF103" s="153">
        <f t="shared" si="96"/>
        <v>490.83333333333326</v>
      </c>
      <c r="AG103" s="153">
        <f t="shared" si="97"/>
        <v>1565.035714285714</v>
      </c>
      <c r="AH103" s="153">
        <f t="shared" si="98"/>
        <v>146.84285714285713</v>
      </c>
      <c r="AI103" s="153">
        <f t="shared" si="99"/>
        <v>73.421428571428564</v>
      </c>
      <c r="AJ103" s="72" t="s">
        <v>168</v>
      </c>
      <c r="AK103" s="150">
        <f>L103</f>
        <v>19633.333333333332</v>
      </c>
      <c r="AL103" s="156">
        <f>M103</f>
        <v>0.01</v>
      </c>
      <c r="AM103" s="150">
        <f t="shared" si="121"/>
        <v>490.83333333333326</v>
      </c>
      <c r="AN103" s="155">
        <f t="shared" si="128"/>
        <v>34778.571428571428</v>
      </c>
      <c r="AO103" s="156">
        <f t="shared" si="129"/>
        <v>1.7999999999999999E-2</v>
      </c>
      <c r="AP103" s="150">
        <f t="shared" si="119"/>
        <v>1565.035714285714</v>
      </c>
      <c r="AQ103" s="150">
        <f t="shared" si="108"/>
        <v>54411.904761904763</v>
      </c>
      <c r="AR103" s="150">
        <f t="shared" si="120"/>
        <v>2055.8690476190473</v>
      </c>
      <c r="AS103" s="150">
        <f t="shared" si="103"/>
        <v>146.84285714285713</v>
      </c>
      <c r="AT103" s="150">
        <f t="shared" si="104"/>
        <v>73.421428571428564</v>
      </c>
      <c r="AU103" s="82"/>
      <c r="AV103" s="159"/>
      <c r="AW103" s="159"/>
      <c r="AX103" s="159"/>
      <c r="AY103" s="159"/>
      <c r="AZ103" s="159"/>
      <c r="BA103" s="159"/>
      <c r="BB103" s="98"/>
      <c r="BC103" s="180" t="str">
        <f t="shared" si="105"/>
        <v/>
      </c>
      <c r="BD103" s="180" t="str">
        <f t="shared" si="122"/>
        <v/>
      </c>
      <c r="BE103" s="181" t="str">
        <f t="shared" si="106"/>
        <v/>
      </c>
      <c r="BF103" s="88" t="s">
        <v>114</v>
      </c>
      <c r="BG103" s="25"/>
      <c r="BH103" s="19"/>
      <c r="BI103" s="19"/>
    </row>
    <row r="105" spans="1:61" ht="18.75" customHeight="1" x14ac:dyDescent="0.25">
      <c r="BC105" s="182">
        <f>AVERAGE(BC4:BC103)</f>
        <v>32.028571428571432</v>
      </c>
      <c r="BD105" s="182">
        <f>AVERAGE(BD4:BD103)</f>
        <v>20.262499999999999</v>
      </c>
      <c r="BE105" s="182">
        <f>AVERAGE(BE4:BE103)</f>
        <v>39.153846153846153</v>
      </c>
      <c r="BF105" s="90" t="s">
        <v>279</v>
      </c>
    </row>
    <row r="106" spans="1:61" ht="18.75" customHeight="1" x14ac:dyDescent="0.25">
      <c r="BC106" s="50">
        <f>MIN(BC4:BC103)</f>
        <v>16</v>
      </c>
      <c r="BD106" s="50">
        <f>MIN(BD4:BD103)</f>
        <v>0</v>
      </c>
      <c r="BE106" s="50">
        <f>MIN(BE4:BE103)</f>
        <v>23</v>
      </c>
      <c r="BF106" s="90" t="s">
        <v>278</v>
      </c>
    </row>
    <row r="107" spans="1:61" ht="18.75" customHeight="1" x14ac:dyDescent="0.25">
      <c r="BC107" s="50">
        <f>MAX(BC5:BC104)</f>
        <v>51</v>
      </c>
      <c r="BD107" s="50">
        <f>MAX(BD5:BD104)</f>
        <v>52</v>
      </c>
      <c r="BE107" s="50">
        <f>MAX(BE5:BE104)</f>
        <v>56</v>
      </c>
      <c r="BF107" s="90" t="s">
        <v>280</v>
      </c>
    </row>
  </sheetData>
  <sortState xmlns:xlrd2="http://schemas.microsoft.com/office/spreadsheetml/2017/richdata2" ref="A99:G103">
    <sortCondition ref="C97"/>
  </sortState>
  <mergeCells count="2">
    <mergeCell ref="B1:G1"/>
    <mergeCell ref="A1:A3"/>
  </mergeCells>
  <hyperlinks>
    <hyperlink ref="BF4" r:id="rId1" display="https://parisladefense.com/fr/decouvrir/tours/bellini-residence" xr:uid="{3F4038D1-8B4E-4D0A-8657-C8244A4DD82A}"/>
    <hyperlink ref="BF45" r:id="rId2" xr:uid="{5688F4DE-3B32-42F6-A87F-C74870CA81D8}"/>
    <hyperlink ref="BF48" r:id="rId3" display="http://www.perraultarchitecture.com/fr/projets/3295-restructuration_des_tours_pascal_a_la_defense_-_landscape.html" xr:uid="{69A00097-99B6-4DB4-B6EA-FE078A0C45A5}"/>
    <hyperlink ref="BF51" r:id="rId4" xr:uid="{CF7E8E2E-335E-4947-B469-9D2003C7966A}"/>
    <hyperlink ref="BF58" r:id="rId5" display="https://parisladefense.com/fr/projet/carre-michelet" xr:uid="{7F1B1BE3-1B03-4E0C-BAE4-E0E99C0A5F3C}"/>
    <hyperlink ref="BF60" r:id="rId6" xr:uid="{0A414160-81FC-434B-9455-417FA7524576}"/>
    <hyperlink ref="BF65" r:id="rId7" xr:uid="{A6AA9EFA-83D9-4B50-8182-458F6187D058}"/>
    <hyperlink ref="BF22" r:id="rId8" xr:uid="{D48336FE-5D83-4A74-A855-B005D8BC69EC}"/>
    <hyperlink ref="BF37" r:id="rId9" xr:uid="{A8FE45D3-4F0D-4088-89FD-6FD00E814835}"/>
    <hyperlink ref="BF78" r:id="rId10" xr:uid="{933ABCEC-DA74-476F-9A31-98593468F031}"/>
    <hyperlink ref="BF83" r:id="rId11" xr:uid="{4D8F2BFE-DC7F-41C3-96BE-AA04B89E60A9}"/>
    <hyperlink ref="BF99" r:id="rId12" xr:uid="{BF8F0C42-01FD-4C8E-9A57-D588493C11B5}"/>
    <hyperlink ref="BF103" r:id="rId13" display="https://www.pca-stream.com/fr/projets/the-link-39" xr:uid="{C76E8AE8-E894-4F23-8BE2-328F18637648}"/>
    <hyperlink ref="BF25" r:id="rId14" xr:uid="{3BC88819-AE41-427B-833E-C558D48E26AC}"/>
    <hyperlink ref="BF10" r:id="rId15" location="note-1" xr:uid="{DFB64A46-0091-4651-99A9-19AAF787787D}"/>
  </hyperlinks>
  <pageMargins left="0.7" right="0.7" top="0.75" bottom="0.75" header="0.3" footer="0.3"/>
  <pageSetup paperSize="9" orientation="portrait" r:id="rId16"/>
  <legacyDrawing r:id="rId1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7DA7-AB37-44F5-B327-A9EB75FCF70F}">
  <dimension ref="A1:AS132"/>
  <sheetViews>
    <sheetView zoomScale="85" zoomScaleNormal="85"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9.140625" style="94"/>
    <col min="2" max="7" width="12.7109375" style="94" customWidth="1"/>
    <col min="8" max="8" width="2.85546875" style="111" customWidth="1"/>
    <col min="9" max="13" width="12.7109375" style="94" customWidth="1"/>
    <col min="14" max="14" width="2.85546875" style="111" customWidth="1"/>
    <col min="15" max="17" width="15" style="94" customWidth="1"/>
    <col min="18" max="18" width="2.85546875" style="111" customWidth="1"/>
    <col min="19" max="21" width="15" style="94" customWidth="1"/>
    <col min="22" max="22" width="2.85546875" style="111" customWidth="1"/>
    <col min="23" max="25" width="15" style="94" customWidth="1"/>
    <col min="26" max="26" width="2.85546875" style="111" customWidth="1"/>
    <col min="27" max="29" width="15" style="94" customWidth="1"/>
    <col min="30" max="30" width="2.85546875" style="111" customWidth="1"/>
    <col min="31" max="33" width="15" style="94" customWidth="1"/>
    <col min="34" max="34" width="2.85546875" style="111" customWidth="1"/>
    <col min="35" max="37" width="15" style="94" customWidth="1"/>
    <col min="38" max="38" width="2.85546875" style="111" customWidth="1"/>
    <col min="39" max="41" width="15" style="94" customWidth="1"/>
    <col min="42" max="42" width="2.85546875" style="111" customWidth="1"/>
    <col min="43" max="45" width="15" style="94" customWidth="1"/>
    <col min="46" max="16384" width="9.140625" style="94"/>
  </cols>
  <sheetData>
    <row r="1" spans="1:45" x14ac:dyDescent="0.25">
      <c r="B1" s="274" t="s">
        <v>253</v>
      </c>
      <c r="C1" s="274"/>
      <c r="D1" s="274"/>
      <c r="E1" s="274"/>
      <c r="F1" s="274"/>
      <c r="G1" s="274"/>
      <c r="H1" s="109"/>
      <c r="I1" s="274" t="s">
        <v>253</v>
      </c>
      <c r="J1" s="274"/>
      <c r="K1" s="274"/>
      <c r="L1" s="274"/>
      <c r="M1" s="274"/>
      <c r="N1" s="109"/>
      <c r="O1" s="274" t="s">
        <v>291</v>
      </c>
      <c r="P1" s="274"/>
      <c r="Q1" s="274"/>
      <c r="R1" s="109"/>
      <c r="S1" s="274" t="s">
        <v>291</v>
      </c>
      <c r="T1" s="274"/>
      <c r="U1" s="274"/>
      <c r="V1" s="109"/>
      <c r="W1" s="275" t="s">
        <v>292</v>
      </c>
      <c r="X1" s="275"/>
      <c r="Y1" s="275"/>
      <c r="Z1" s="275"/>
      <c r="AA1" s="275"/>
      <c r="AB1" s="275"/>
      <c r="AC1" s="275"/>
      <c r="AD1" s="275"/>
      <c r="AE1" s="275"/>
      <c r="AF1" s="275"/>
      <c r="AG1" s="275"/>
      <c r="AH1" s="275"/>
      <c r="AI1" s="275"/>
      <c r="AJ1" s="275"/>
      <c r="AK1" s="275"/>
      <c r="AL1" s="275"/>
      <c r="AM1" s="275"/>
      <c r="AN1" s="275"/>
      <c r="AO1" s="275"/>
      <c r="AP1" s="275"/>
      <c r="AQ1" s="275"/>
      <c r="AR1" s="275"/>
      <c r="AS1" s="275"/>
    </row>
    <row r="2" spans="1:45" x14ac:dyDescent="0.25">
      <c r="B2" s="274" t="s">
        <v>289</v>
      </c>
      <c r="C2" s="274"/>
      <c r="D2" s="274"/>
      <c r="E2" s="274"/>
      <c r="F2" s="274"/>
      <c r="G2" s="274"/>
      <c r="H2" s="109"/>
      <c r="I2" s="274" t="s">
        <v>290</v>
      </c>
      <c r="J2" s="274"/>
      <c r="K2" s="274"/>
      <c r="L2" s="274"/>
      <c r="M2" s="274"/>
      <c r="N2" s="109"/>
      <c r="O2" s="274" t="s">
        <v>289</v>
      </c>
      <c r="P2" s="274"/>
      <c r="Q2" s="274"/>
      <c r="R2" s="109"/>
      <c r="S2" s="274" t="s">
        <v>290</v>
      </c>
      <c r="T2" s="274"/>
      <c r="U2" s="274"/>
      <c r="V2" s="109"/>
      <c r="W2" s="273" t="s">
        <v>398</v>
      </c>
      <c r="X2" s="273"/>
      <c r="Y2" s="273"/>
      <c r="Z2" s="109"/>
      <c r="AA2" s="273" t="s">
        <v>398</v>
      </c>
      <c r="AB2" s="273"/>
      <c r="AC2" s="273"/>
      <c r="AD2" s="109"/>
      <c r="AE2" s="273" t="s">
        <v>293</v>
      </c>
      <c r="AF2" s="273"/>
      <c r="AG2" s="273"/>
      <c r="AH2" s="109"/>
      <c r="AI2" s="273" t="s">
        <v>397</v>
      </c>
      <c r="AJ2" s="273"/>
      <c r="AK2" s="273"/>
      <c r="AL2" s="110"/>
      <c r="AM2" s="273" t="s">
        <v>397</v>
      </c>
      <c r="AN2" s="273"/>
      <c r="AO2" s="273"/>
      <c r="AP2" s="109"/>
      <c r="AQ2" s="273" t="s">
        <v>294</v>
      </c>
      <c r="AR2" s="273"/>
      <c r="AS2" s="273"/>
    </row>
    <row r="3" spans="1:45" s="106" customFormat="1" ht="30" x14ac:dyDescent="0.25">
      <c r="B3" s="137" t="s">
        <v>367</v>
      </c>
      <c r="C3" s="137" t="s">
        <v>122</v>
      </c>
      <c r="D3" s="133" t="s">
        <v>254</v>
      </c>
      <c r="E3" s="133" t="s">
        <v>255</v>
      </c>
      <c r="F3" s="134" t="s">
        <v>371</v>
      </c>
      <c r="G3" s="134" t="s">
        <v>233</v>
      </c>
      <c r="H3" s="108"/>
      <c r="I3" s="137" t="s">
        <v>122</v>
      </c>
      <c r="J3" s="133" t="s">
        <v>254</v>
      </c>
      <c r="K3" s="133" t="s">
        <v>255</v>
      </c>
      <c r="L3" s="134" t="s">
        <v>371</v>
      </c>
      <c r="M3" s="134" t="s">
        <v>233</v>
      </c>
      <c r="N3" s="108"/>
      <c r="O3" s="129" t="s">
        <v>266</v>
      </c>
      <c r="P3" s="129" t="s">
        <v>262</v>
      </c>
      <c r="Q3" s="129" t="s">
        <v>265</v>
      </c>
      <c r="R3" s="108"/>
      <c r="S3" s="129" t="s">
        <v>266</v>
      </c>
      <c r="T3" s="129" t="s">
        <v>262</v>
      </c>
      <c r="U3" s="129" t="s">
        <v>265</v>
      </c>
      <c r="V3" s="108"/>
      <c r="W3" s="132" t="s">
        <v>282</v>
      </c>
      <c r="X3" s="132" t="s">
        <v>286</v>
      </c>
      <c r="Y3" s="132" t="s">
        <v>287</v>
      </c>
      <c r="Z3" s="108"/>
      <c r="AA3" s="124" t="s">
        <v>274</v>
      </c>
      <c r="AB3" s="124" t="s">
        <v>276</v>
      </c>
      <c r="AC3" s="124" t="s">
        <v>275</v>
      </c>
      <c r="AD3" s="108"/>
      <c r="AE3" s="124" t="s">
        <v>274</v>
      </c>
      <c r="AF3" s="124" t="s">
        <v>276</v>
      </c>
      <c r="AG3" s="124" t="s">
        <v>275</v>
      </c>
      <c r="AH3" s="108"/>
      <c r="AI3" s="132" t="s">
        <v>282</v>
      </c>
      <c r="AJ3" s="132" t="s">
        <v>286</v>
      </c>
      <c r="AK3" s="132" t="s">
        <v>287</v>
      </c>
      <c r="AL3" s="108"/>
      <c r="AM3" s="124" t="s">
        <v>274</v>
      </c>
      <c r="AN3" s="124" t="s">
        <v>276</v>
      </c>
      <c r="AO3" s="124" t="s">
        <v>275</v>
      </c>
      <c r="AP3" s="108"/>
      <c r="AQ3" s="124" t="s">
        <v>274</v>
      </c>
      <c r="AR3" s="124" t="s">
        <v>276</v>
      </c>
      <c r="AS3" s="124" t="s">
        <v>275</v>
      </c>
    </row>
    <row r="4" spans="1:45" s="20" customFormat="1" x14ac:dyDescent="0.25">
      <c r="A4" s="105"/>
      <c r="B4" s="138" t="s">
        <v>7</v>
      </c>
      <c r="C4" s="138" t="s">
        <v>8</v>
      </c>
      <c r="D4" s="135" t="s">
        <v>8</v>
      </c>
      <c r="E4" s="135" t="s">
        <v>8</v>
      </c>
      <c r="F4" s="135" t="s">
        <v>1</v>
      </c>
      <c r="G4" s="135" t="s">
        <v>1</v>
      </c>
      <c r="H4" s="110"/>
      <c r="I4" s="138" t="s">
        <v>8</v>
      </c>
      <c r="J4" s="135" t="s">
        <v>8</v>
      </c>
      <c r="K4" s="135" t="s">
        <v>8</v>
      </c>
      <c r="L4" s="135" t="s">
        <v>1</v>
      </c>
      <c r="M4" s="135" t="s">
        <v>1</v>
      </c>
      <c r="N4" s="110"/>
      <c r="O4" s="130" t="s">
        <v>8</v>
      </c>
      <c r="P4" s="130" t="s">
        <v>8</v>
      </c>
      <c r="Q4" s="130" t="s">
        <v>267</v>
      </c>
      <c r="R4" s="110"/>
      <c r="S4" s="130" t="s">
        <v>8</v>
      </c>
      <c r="T4" s="130" t="s">
        <v>8</v>
      </c>
      <c r="U4" s="130" t="s">
        <v>267</v>
      </c>
      <c r="V4" s="110"/>
      <c r="W4" s="127" t="s">
        <v>8</v>
      </c>
      <c r="X4" s="127" t="s">
        <v>8</v>
      </c>
      <c r="Y4" s="127" t="s">
        <v>8</v>
      </c>
      <c r="Z4" s="110"/>
      <c r="AA4" s="125" t="s">
        <v>8</v>
      </c>
      <c r="AB4" s="125" t="s">
        <v>8</v>
      </c>
      <c r="AC4" s="125" t="s">
        <v>8</v>
      </c>
      <c r="AD4" s="110"/>
      <c r="AE4" s="125" t="s">
        <v>8</v>
      </c>
      <c r="AF4" s="125" t="s">
        <v>8</v>
      </c>
      <c r="AG4" s="125" t="s">
        <v>8</v>
      </c>
      <c r="AH4" s="110"/>
      <c r="AI4" s="127" t="s">
        <v>8</v>
      </c>
      <c r="AJ4" s="127" t="s">
        <v>8</v>
      </c>
      <c r="AK4" s="127" t="s">
        <v>8</v>
      </c>
      <c r="AL4" s="110"/>
      <c r="AM4" s="125" t="s">
        <v>8</v>
      </c>
      <c r="AN4" s="125" t="s">
        <v>8</v>
      </c>
      <c r="AO4" s="125" t="s">
        <v>8</v>
      </c>
      <c r="AP4" s="110"/>
      <c r="AQ4" s="125" t="s">
        <v>8</v>
      </c>
      <c r="AR4" s="125" t="s">
        <v>8</v>
      </c>
      <c r="AS4" s="125" t="s">
        <v>8</v>
      </c>
    </row>
    <row r="5" spans="1:45" x14ac:dyDescent="0.25">
      <c r="A5" s="94">
        <v>1950</v>
      </c>
      <c r="B5" s="139" cm="1">
        <f t="array" ref="B5">SUMPRODUCT((PARIS!$C$4:'PARIS'!$C$103=A5)*PARIS!$X$4:$X$103)+SUMPRODUCT((PARIS!$AA$4:'PARIS'!$AA$103=A5)*PARIS!$AQ$4:$AQ$103)+SUMPRODUCT((PARIS!$AB$4:'PARIS'!$AB$103=A5)*PARIS!$AQ$4:$AQ$103)</f>
        <v>0</v>
      </c>
      <c r="C5" s="139" cm="1">
        <f t="array" ref="C5">SUMPRODUCT((PARIS!$C$4:'PARIS'!$C$103=A5)*PARIS!$Y$4:$Y$103)+SUMPRODUCT((PARIS!$AA$4:'PARIS'!$AA$103=A5)*PARIS!$AR$4:$AR$103)+SUMPRODUCT((PARIS!$AB$4:'PARIS'!$AB$103=A5)*PARIS!$AR$4:$AR$103)</f>
        <v>0</v>
      </c>
      <c r="D5" s="136" cm="1">
        <f t="array" ref="D5">SUMPRODUCT((PARIS!$C$4:'PARIS'!$C$103=A5)*PARIS!$O$4:$O$103)+SUMPRODUCT((PARIS!$AA$4:'PARIS'!$AA$103=A5)*PARIS!$AM$4:$AM$103)+SUMPRODUCT((PARIS!$AB$4:'PARIS'!$AB$103=A5)*PARIS!$AM$4:$AM$103)</f>
        <v>0</v>
      </c>
      <c r="E5" s="136" cm="1">
        <f t="array" ref="E5">SUMPRODUCT((PARIS!$C$4:'PARIS'!$C$103=A5)*PARIS!$R$4:$R$103)+SUMPRODUCT((PARIS!$AA$4:'PARIS'!$AA$103=A5)*PARIS!$AP$4:$AP$103)+SUMPRODUCT((PARIS!$AB$4:'PARIS'!$AB$103=A5)*PARIS!$AP$4:$AP$103)</f>
        <v>0</v>
      </c>
      <c r="F5" s="136" cm="1">
        <f t="array" ref="F5">SUMPRODUCT((PARIS!$C$4:'PARIS'!$C$103=A5)*PARIS!$V$4:$V$103)+SUMPRODUCT((PARIS!$AA$4:'PARIS'!$AA$103=A5)*PARIS!$AS$4:$AS$103)+SUMPRODUCT((PARIS!$AB$4:'PARIS'!$AB$103=A5)*PARIS!$AS$4:$AS$103)</f>
        <v>0</v>
      </c>
      <c r="G5" s="136" cm="1">
        <f t="array" ref="G5">SUMPRODUCT((PARIS!$C$4:'PARIS'!$C$103=A5)*PARIS!$W$4:$W$103)+SUMPRODUCT((PARIS!$AA$4:'PARIS'!$AA$103=A5)*PARIS!$AT$4:$AT$103)+SUMPRODUCT((PARIS!$AB$4:'PARIS'!$AB$103=A5)*PARIS!$AT$4:$AT$103)</f>
        <v>0</v>
      </c>
      <c r="H5" s="115"/>
      <c r="I5" s="139">
        <f>C5</f>
        <v>0</v>
      </c>
      <c r="J5" s="136">
        <f t="shared" ref="J5:M5" si="0">D5</f>
        <v>0</v>
      </c>
      <c r="K5" s="136">
        <f t="shared" si="0"/>
        <v>0</v>
      </c>
      <c r="L5" s="136">
        <f t="shared" si="0"/>
        <v>0</v>
      </c>
      <c r="M5" s="136">
        <f t="shared" si="0"/>
        <v>0</v>
      </c>
      <c r="N5" s="115"/>
      <c r="O5" s="131">
        <f>C5*ResourcesEmissions!B9</f>
        <v>0</v>
      </c>
      <c r="P5" s="131">
        <f>C5*ResourcesEmissions!C9</f>
        <v>0</v>
      </c>
      <c r="Q5" s="131">
        <f>C5*ResourcesEmissions!E9</f>
        <v>0</v>
      </c>
      <c r="R5" s="115"/>
      <c r="S5" s="131">
        <f>O5</f>
        <v>0</v>
      </c>
      <c r="T5" s="131">
        <f t="shared" ref="T5:U5" si="1">P5</f>
        <v>0</v>
      </c>
      <c r="U5" s="131">
        <f t="shared" si="1"/>
        <v>0</v>
      </c>
      <c r="V5" s="115"/>
      <c r="W5" s="128"/>
      <c r="X5" s="128"/>
      <c r="Y5" s="128"/>
      <c r="Z5" s="115"/>
      <c r="AA5" s="126"/>
      <c r="AB5" s="126"/>
      <c r="AC5" s="126"/>
      <c r="AD5" s="115"/>
      <c r="AE5" s="126"/>
      <c r="AF5" s="126"/>
      <c r="AG5" s="126"/>
      <c r="AH5" s="115"/>
      <c r="AI5" s="128"/>
      <c r="AJ5" s="128"/>
      <c r="AK5" s="128"/>
      <c r="AL5" s="115"/>
      <c r="AM5" s="126"/>
      <c r="AN5" s="126"/>
      <c r="AO5" s="126"/>
      <c r="AP5" s="115"/>
      <c r="AQ5" s="126"/>
      <c r="AR5" s="126"/>
      <c r="AS5" s="126"/>
    </row>
    <row r="6" spans="1:45" x14ac:dyDescent="0.25">
      <c r="A6" s="94">
        <v>1951</v>
      </c>
      <c r="B6" s="139" cm="1">
        <f t="array" ref="B6">SUMPRODUCT((PARIS!$C$4:'PARIS'!$C$103=A6)*PARIS!$X$4:$X$103)+SUMPRODUCT((PARIS!$AA$4:'PARIS'!$AA$103=A6)*PARIS!$AQ$4:$AQ$103)+SUMPRODUCT((PARIS!$AB$4:'PARIS'!$AB$103=A6)*PARIS!$AQ$4:$AQ$103)</f>
        <v>0</v>
      </c>
      <c r="C6" s="139" cm="1">
        <f t="array" ref="C6">SUMPRODUCT((PARIS!$C$4:'PARIS'!$C$103=A6)*PARIS!$Y$4:$Y$103)+SUMPRODUCT((PARIS!$AA$4:'PARIS'!$AA$103=A6)*PARIS!$AR$4:$AR$103)+SUMPRODUCT((PARIS!$AB$4:'PARIS'!$AB$103=A6)*PARIS!$AR$4:$AR$103)</f>
        <v>0</v>
      </c>
      <c r="D6" s="136" cm="1">
        <f t="array" ref="D6">SUMPRODUCT((PARIS!$C$4:'PARIS'!$C$103=A6)*PARIS!$O$4:$O$103)+SUMPRODUCT((PARIS!$AA$4:'PARIS'!$AA$103=A6)*PARIS!$AM$4:$AM$103)+SUMPRODUCT((PARIS!$AB$4:'PARIS'!$AB$103=A6)*PARIS!$AM$4:$AM$103)</f>
        <v>0</v>
      </c>
      <c r="E6" s="136" cm="1">
        <f t="array" ref="E6">SUMPRODUCT((PARIS!$C$4:'PARIS'!$C$103=A6)*PARIS!$R$4:$R$103)+SUMPRODUCT((PARIS!$AA$4:'PARIS'!$AA$103=A6)*PARIS!$AP$4:$AP$103)+SUMPRODUCT((PARIS!$AB$4:'PARIS'!$AB$103=A6)*PARIS!$AP$4:$AP$103)</f>
        <v>0</v>
      </c>
      <c r="F6" s="136" cm="1">
        <f t="array" ref="F6">SUMPRODUCT((PARIS!$C$4:'PARIS'!$C$103=A6)*PARIS!$V$4:$V$103)+SUMPRODUCT((PARIS!$AA$4:'PARIS'!$AA$103=A6)*PARIS!$AS$4:$AS$103)+SUMPRODUCT((PARIS!$AB$4:'PARIS'!$AB$103=A6)*PARIS!$AS$4:$AS$103)</f>
        <v>0</v>
      </c>
      <c r="G6" s="136" cm="1">
        <f t="array" ref="G6">SUMPRODUCT((PARIS!$C$4:'PARIS'!$C$103=A6)*PARIS!$W$4:$W$103)+SUMPRODUCT((PARIS!$AA$4:'PARIS'!$AA$103=A6)*PARIS!$AT$4:$AT$103)+SUMPRODUCT((PARIS!$AB$4:'PARIS'!$AB$103=A6)*PARIS!$AT$4:$AT$103)</f>
        <v>0</v>
      </c>
      <c r="H6" s="115"/>
      <c r="I6" s="139">
        <f>C6+I5</f>
        <v>0</v>
      </c>
      <c r="J6" s="136">
        <f>D6+J5</f>
        <v>0</v>
      </c>
      <c r="K6" s="136">
        <f>E6+K5</f>
        <v>0</v>
      </c>
      <c r="L6" s="136">
        <f>F6+L5</f>
        <v>0</v>
      </c>
      <c r="M6" s="136">
        <f>G6+M5</f>
        <v>0</v>
      </c>
      <c r="N6" s="115"/>
      <c r="O6" s="131">
        <f>C6*ResourcesEmissions!B10</f>
        <v>0</v>
      </c>
      <c r="P6" s="131">
        <f>C6*ResourcesEmissions!C10</f>
        <v>0</v>
      </c>
      <c r="Q6" s="131">
        <f>C6*ResourcesEmissions!E10</f>
        <v>0</v>
      </c>
      <c r="R6" s="115"/>
      <c r="S6" s="131">
        <f>O6+S5</f>
        <v>0</v>
      </c>
      <c r="T6" s="131">
        <f t="shared" ref="T6:U6" si="2">P6+T5</f>
        <v>0</v>
      </c>
      <c r="U6" s="131">
        <f t="shared" si="2"/>
        <v>0</v>
      </c>
      <c r="V6" s="115"/>
      <c r="W6" s="128"/>
      <c r="X6" s="128"/>
      <c r="Y6" s="128"/>
      <c r="Z6" s="115"/>
      <c r="AA6" s="126"/>
      <c r="AB6" s="126"/>
      <c r="AC6" s="126"/>
      <c r="AD6" s="115"/>
      <c r="AE6" s="126"/>
      <c r="AF6" s="126"/>
      <c r="AG6" s="126"/>
      <c r="AH6" s="115"/>
      <c r="AI6" s="128"/>
      <c r="AJ6" s="128"/>
      <c r="AK6" s="128"/>
      <c r="AL6" s="115"/>
      <c r="AM6" s="126"/>
      <c r="AN6" s="126"/>
      <c r="AO6" s="126"/>
      <c r="AP6" s="115"/>
      <c r="AQ6" s="126"/>
      <c r="AR6" s="126"/>
      <c r="AS6" s="126"/>
    </row>
    <row r="7" spans="1:45" x14ac:dyDescent="0.25">
      <c r="A7" s="94">
        <v>1952</v>
      </c>
      <c r="B7" s="139" cm="1">
        <f t="array" ref="B7">SUMPRODUCT((PARIS!$C$4:'PARIS'!$C$103=A7)*PARIS!$X$4:$X$103)+SUMPRODUCT((PARIS!$AA$4:'PARIS'!$AA$103=A7)*PARIS!$AQ$4:$AQ$103)+SUMPRODUCT((PARIS!$AB$4:'PARIS'!$AB$103=A7)*PARIS!$AQ$4:$AQ$103)</f>
        <v>0</v>
      </c>
      <c r="C7" s="139" cm="1">
        <f t="array" ref="C7">SUMPRODUCT((PARIS!$C$4:'PARIS'!$C$103=A7)*PARIS!$Y$4:$Y$103)+SUMPRODUCT((PARIS!$AA$4:'PARIS'!$AA$103=A7)*PARIS!$AR$4:$AR$103)+SUMPRODUCT((PARIS!$AB$4:'PARIS'!$AB$103=A7)*PARIS!$AR$4:$AR$103)</f>
        <v>0</v>
      </c>
      <c r="D7" s="136" cm="1">
        <f t="array" ref="D7">SUMPRODUCT((PARIS!$C$4:'PARIS'!$C$103=A7)*PARIS!$O$4:$O$103)+SUMPRODUCT((PARIS!$AA$4:'PARIS'!$AA$103=A7)*PARIS!$AM$4:$AM$103)+SUMPRODUCT((PARIS!$AB$4:'PARIS'!$AB$103=A7)*PARIS!$AM$4:$AM$103)</f>
        <v>0</v>
      </c>
      <c r="E7" s="136" cm="1">
        <f t="array" ref="E7">SUMPRODUCT((PARIS!$C$4:'PARIS'!$C$103=A7)*PARIS!$R$4:$R$103)+SUMPRODUCT((PARIS!$AA$4:'PARIS'!$AA$103=A7)*PARIS!$AP$4:$AP$103)+SUMPRODUCT((PARIS!$AB$4:'PARIS'!$AB$103=A7)*PARIS!$AP$4:$AP$103)</f>
        <v>0</v>
      </c>
      <c r="F7" s="136" cm="1">
        <f t="array" ref="F7">SUMPRODUCT((PARIS!$C$4:'PARIS'!$C$103=A7)*PARIS!$V$4:$V$103)+SUMPRODUCT((PARIS!$AA$4:'PARIS'!$AA$103=A7)*PARIS!$AS$4:$AS$103)+SUMPRODUCT((PARIS!$AB$4:'PARIS'!$AB$103=A7)*PARIS!$AS$4:$AS$103)</f>
        <v>0</v>
      </c>
      <c r="G7" s="136" cm="1">
        <f t="array" ref="G7">SUMPRODUCT((PARIS!$C$4:'PARIS'!$C$103=A7)*PARIS!$W$4:$W$103)+SUMPRODUCT((PARIS!$AA$4:'PARIS'!$AA$103=A7)*PARIS!$AT$4:$AT$103)+SUMPRODUCT((PARIS!$AB$4:'PARIS'!$AB$103=A7)*PARIS!$AT$4:$AT$103)</f>
        <v>0</v>
      </c>
      <c r="H7" s="115"/>
      <c r="I7" s="139">
        <f t="shared" ref="I7:I38" si="3">C7+I6</f>
        <v>0</v>
      </c>
      <c r="J7" s="136">
        <f t="shared" ref="J7:J70" si="4">D7+J6</f>
        <v>0</v>
      </c>
      <c r="K7" s="136">
        <f t="shared" ref="K7:K70" si="5">E7+K6</f>
        <v>0</v>
      </c>
      <c r="L7" s="136">
        <f t="shared" ref="L7:L70" si="6">F7+L6</f>
        <v>0</v>
      </c>
      <c r="M7" s="136">
        <f t="shared" ref="M7:M70" si="7">G7+M6</f>
        <v>0</v>
      </c>
      <c r="N7" s="115"/>
      <c r="O7" s="131">
        <f>C7*ResourcesEmissions!B11</f>
        <v>0</v>
      </c>
      <c r="P7" s="131">
        <f>C7*ResourcesEmissions!C11</f>
        <v>0</v>
      </c>
      <c r="Q7" s="131">
        <f>C7*ResourcesEmissions!E11</f>
        <v>0</v>
      </c>
      <c r="R7" s="115"/>
      <c r="S7" s="131">
        <f t="shared" ref="S7:S70" si="8">O7+S6</f>
        <v>0</v>
      </c>
      <c r="T7" s="131">
        <f t="shared" ref="T7:T70" si="9">P7+T6</f>
        <v>0</v>
      </c>
      <c r="U7" s="131">
        <f t="shared" ref="U7:U70" si="10">Q7+U6</f>
        <v>0</v>
      </c>
      <c r="V7" s="115"/>
      <c r="W7" s="128"/>
      <c r="X7" s="128"/>
      <c r="Y7" s="128"/>
      <c r="Z7" s="115"/>
      <c r="AA7" s="126"/>
      <c r="AB7" s="126"/>
      <c r="AC7" s="126"/>
      <c r="AD7" s="115"/>
      <c r="AE7" s="126"/>
      <c r="AF7" s="126"/>
      <c r="AG7" s="126"/>
      <c r="AH7" s="115"/>
      <c r="AI7" s="128"/>
      <c r="AJ7" s="128"/>
      <c r="AK7" s="128"/>
      <c r="AL7" s="115"/>
      <c r="AM7" s="126"/>
      <c r="AN7" s="126"/>
      <c r="AO7" s="126"/>
      <c r="AP7" s="115"/>
      <c r="AQ7" s="126"/>
      <c r="AR7" s="126"/>
      <c r="AS7" s="126"/>
    </row>
    <row r="8" spans="1:45" x14ac:dyDescent="0.25">
      <c r="A8" s="94">
        <v>1953</v>
      </c>
      <c r="B8" s="139" cm="1">
        <f t="array" ref="B8">SUMPRODUCT((PARIS!$C$4:'PARIS'!$C$103=A8)*PARIS!$X$4:$X$103)+SUMPRODUCT((PARIS!$AA$4:'PARIS'!$AA$103=A8)*PARIS!$AQ$4:$AQ$103)+SUMPRODUCT((PARIS!$AB$4:'PARIS'!$AB$103=A8)*PARIS!$AQ$4:$AQ$103)</f>
        <v>0</v>
      </c>
      <c r="C8" s="139" cm="1">
        <f t="array" ref="C8">SUMPRODUCT((PARIS!$C$4:'PARIS'!$C$103=A8)*PARIS!$Y$4:$Y$103)+SUMPRODUCT((PARIS!$AA$4:'PARIS'!$AA$103=A8)*PARIS!$AR$4:$AR$103)+SUMPRODUCT((PARIS!$AB$4:'PARIS'!$AB$103=A8)*PARIS!$AR$4:$AR$103)</f>
        <v>0</v>
      </c>
      <c r="D8" s="136" cm="1">
        <f t="array" ref="D8">SUMPRODUCT((PARIS!$C$4:'PARIS'!$C$103=A8)*PARIS!$O$4:$O$103)+SUMPRODUCT((PARIS!$AA$4:'PARIS'!$AA$103=A8)*PARIS!$AM$4:$AM$103)+SUMPRODUCT((PARIS!$AB$4:'PARIS'!$AB$103=A8)*PARIS!$AM$4:$AM$103)</f>
        <v>0</v>
      </c>
      <c r="E8" s="136" cm="1">
        <f t="array" ref="E8">SUMPRODUCT((PARIS!$C$4:'PARIS'!$C$103=A8)*PARIS!$R$4:$R$103)+SUMPRODUCT((PARIS!$AA$4:'PARIS'!$AA$103=A8)*PARIS!$AP$4:$AP$103)+SUMPRODUCT((PARIS!$AB$4:'PARIS'!$AB$103=A8)*PARIS!$AP$4:$AP$103)</f>
        <v>0</v>
      </c>
      <c r="F8" s="136" cm="1">
        <f t="array" ref="F8">SUMPRODUCT((PARIS!$C$4:'PARIS'!$C$103=A8)*PARIS!$V$4:$V$103)+SUMPRODUCT((PARIS!$AA$4:'PARIS'!$AA$103=A8)*PARIS!$AS$4:$AS$103)+SUMPRODUCT((PARIS!$AB$4:'PARIS'!$AB$103=A8)*PARIS!$AS$4:$AS$103)</f>
        <v>0</v>
      </c>
      <c r="G8" s="136" cm="1">
        <f t="array" ref="G8">SUMPRODUCT((PARIS!$C$4:'PARIS'!$C$103=A8)*PARIS!$W$4:$W$103)+SUMPRODUCT((PARIS!$AA$4:'PARIS'!$AA$103=A8)*PARIS!$AT$4:$AT$103)+SUMPRODUCT((PARIS!$AB$4:'PARIS'!$AB$103=A8)*PARIS!$AT$4:$AT$103)</f>
        <v>0</v>
      </c>
      <c r="H8" s="115"/>
      <c r="I8" s="139">
        <f t="shared" si="3"/>
        <v>0</v>
      </c>
      <c r="J8" s="136">
        <f t="shared" si="4"/>
        <v>0</v>
      </c>
      <c r="K8" s="136">
        <f t="shared" si="5"/>
        <v>0</v>
      </c>
      <c r="L8" s="136">
        <f t="shared" si="6"/>
        <v>0</v>
      </c>
      <c r="M8" s="136">
        <f t="shared" si="7"/>
        <v>0</v>
      </c>
      <c r="N8" s="115"/>
      <c r="O8" s="131">
        <f>C8*ResourcesEmissions!B12</f>
        <v>0</v>
      </c>
      <c r="P8" s="131">
        <f>C8*ResourcesEmissions!C12</f>
        <v>0</v>
      </c>
      <c r="Q8" s="131">
        <f>C8*ResourcesEmissions!E12</f>
        <v>0</v>
      </c>
      <c r="R8" s="115"/>
      <c r="S8" s="131">
        <f t="shared" si="8"/>
        <v>0</v>
      </c>
      <c r="T8" s="131">
        <f t="shared" si="9"/>
        <v>0</v>
      </c>
      <c r="U8" s="131">
        <f t="shared" si="10"/>
        <v>0</v>
      </c>
      <c r="V8" s="115"/>
      <c r="W8" s="128"/>
      <c r="X8" s="128"/>
      <c r="Y8" s="128"/>
      <c r="Z8" s="115"/>
      <c r="AA8" s="126"/>
      <c r="AB8" s="126"/>
      <c r="AC8" s="126"/>
      <c r="AD8" s="115"/>
      <c r="AE8" s="126"/>
      <c r="AF8" s="126"/>
      <c r="AG8" s="126"/>
      <c r="AH8" s="115"/>
      <c r="AI8" s="128"/>
      <c r="AJ8" s="128"/>
      <c r="AK8" s="128"/>
      <c r="AL8" s="115"/>
      <c r="AM8" s="126"/>
      <c r="AN8" s="126"/>
      <c r="AO8" s="126"/>
      <c r="AP8" s="115"/>
      <c r="AQ8" s="126"/>
      <c r="AR8" s="126"/>
      <c r="AS8" s="126"/>
    </row>
    <row r="9" spans="1:45" x14ac:dyDescent="0.25">
      <c r="A9" s="94">
        <v>1954</v>
      </c>
      <c r="B9" s="139" cm="1">
        <f t="array" ref="B9">SUMPRODUCT((PARIS!$C$4:'PARIS'!$C$103=A9)*PARIS!$X$4:$X$103)+SUMPRODUCT((PARIS!$AA$4:'PARIS'!$AA$103=A9)*PARIS!$AQ$4:$AQ$103)+SUMPRODUCT((PARIS!$AB$4:'PARIS'!$AB$103=A9)*PARIS!$AQ$4:$AQ$103)</f>
        <v>0</v>
      </c>
      <c r="C9" s="139" cm="1">
        <f t="array" ref="C9">SUMPRODUCT((PARIS!$C$4:'PARIS'!$C$103=A9)*PARIS!$Y$4:$Y$103)+SUMPRODUCT((PARIS!$AA$4:'PARIS'!$AA$103=A9)*PARIS!$AR$4:$AR$103)+SUMPRODUCT((PARIS!$AB$4:'PARIS'!$AB$103=A9)*PARIS!$AR$4:$AR$103)</f>
        <v>0</v>
      </c>
      <c r="D9" s="136" cm="1">
        <f t="array" ref="D9">SUMPRODUCT((PARIS!$C$4:'PARIS'!$C$103=A9)*PARIS!$O$4:$O$103)+SUMPRODUCT((PARIS!$AA$4:'PARIS'!$AA$103=A9)*PARIS!$AM$4:$AM$103)+SUMPRODUCT((PARIS!$AB$4:'PARIS'!$AB$103=A9)*PARIS!$AM$4:$AM$103)</f>
        <v>0</v>
      </c>
      <c r="E9" s="136" cm="1">
        <f t="array" ref="E9">SUMPRODUCT((PARIS!$C$4:'PARIS'!$C$103=A9)*PARIS!$R$4:$R$103)+SUMPRODUCT((PARIS!$AA$4:'PARIS'!$AA$103=A9)*PARIS!$AP$4:$AP$103)+SUMPRODUCT((PARIS!$AB$4:'PARIS'!$AB$103=A9)*PARIS!$AP$4:$AP$103)</f>
        <v>0</v>
      </c>
      <c r="F9" s="136" cm="1">
        <f t="array" ref="F9">SUMPRODUCT((PARIS!$C$4:'PARIS'!$C$103=A9)*PARIS!$V$4:$V$103)+SUMPRODUCT((PARIS!$AA$4:'PARIS'!$AA$103=A9)*PARIS!$AS$4:$AS$103)+SUMPRODUCT((PARIS!$AB$4:'PARIS'!$AB$103=A9)*PARIS!$AS$4:$AS$103)</f>
        <v>0</v>
      </c>
      <c r="G9" s="136" cm="1">
        <f t="array" ref="G9">SUMPRODUCT((PARIS!$C$4:'PARIS'!$C$103=A9)*PARIS!$W$4:$W$103)+SUMPRODUCT((PARIS!$AA$4:'PARIS'!$AA$103=A9)*PARIS!$AT$4:$AT$103)+SUMPRODUCT((PARIS!$AB$4:'PARIS'!$AB$103=A9)*PARIS!$AT$4:$AT$103)</f>
        <v>0</v>
      </c>
      <c r="H9" s="115"/>
      <c r="I9" s="139">
        <f t="shared" si="3"/>
        <v>0</v>
      </c>
      <c r="J9" s="136">
        <f t="shared" si="4"/>
        <v>0</v>
      </c>
      <c r="K9" s="136">
        <f t="shared" si="5"/>
        <v>0</v>
      </c>
      <c r="L9" s="136">
        <f t="shared" si="6"/>
        <v>0</v>
      </c>
      <c r="M9" s="136">
        <f t="shared" si="7"/>
        <v>0</v>
      </c>
      <c r="N9" s="115"/>
      <c r="O9" s="131">
        <f>C9*ResourcesEmissions!B13</f>
        <v>0</v>
      </c>
      <c r="P9" s="131">
        <f>C9*ResourcesEmissions!C13</f>
        <v>0</v>
      </c>
      <c r="Q9" s="131">
        <f>C9*ResourcesEmissions!E13</f>
        <v>0</v>
      </c>
      <c r="R9" s="115"/>
      <c r="S9" s="131">
        <f t="shared" si="8"/>
        <v>0</v>
      </c>
      <c r="T9" s="131">
        <f t="shared" si="9"/>
        <v>0</v>
      </c>
      <c r="U9" s="131">
        <f t="shared" si="10"/>
        <v>0</v>
      </c>
      <c r="V9" s="115"/>
      <c r="W9" s="128"/>
      <c r="X9" s="128"/>
      <c r="Y9" s="128"/>
      <c r="Z9" s="115"/>
      <c r="AA9" s="126"/>
      <c r="AB9" s="126"/>
      <c r="AC9" s="126"/>
      <c r="AD9" s="115"/>
      <c r="AE9" s="126"/>
      <c r="AF9" s="126"/>
      <c r="AG9" s="126"/>
      <c r="AH9" s="115"/>
      <c r="AI9" s="128"/>
      <c r="AJ9" s="128"/>
      <c r="AK9" s="128"/>
      <c r="AL9" s="115"/>
      <c r="AM9" s="126"/>
      <c r="AN9" s="126"/>
      <c r="AO9" s="126"/>
      <c r="AP9" s="115"/>
      <c r="AQ9" s="126"/>
      <c r="AR9" s="126"/>
      <c r="AS9" s="126"/>
    </row>
    <row r="10" spans="1:45" x14ac:dyDescent="0.25">
      <c r="A10" s="94">
        <v>1955</v>
      </c>
      <c r="B10" s="139" cm="1">
        <f t="array" ref="B10">SUMPRODUCT((PARIS!$C$4:'PARIS'!$C$103=A10)*PARIS!$X$4:$X$103)+SUMPRODUCT((PARIS!$AA$4:'PARIS'!$AA$103=A10)*PARIS!$AQ$4:$AQ$103)+SUMPRODUCT((PARIS!$AB$4:'PARIS'!$AB$103=A10)*PARIS!$AQ$4:$AQ$103)</f>
        <v>0</v>
      </c>
      <c r="C10" s="139" cm="1">
        <f t="array" ref="C10">SUMPRODUCT((PARIS!$C$4:'PARIS'!$C$103=A10)*PARIS!$Y$4:$Y$103)+SUMPRODUCT((PARIS!$AA$4:'PARIS'!$AA$103=A10)*PARIS!$AR$4:$AR$103)+SUMPRODUCT((PARIS!$AB$4:'PARIS'!$AB$103=A10)*PARIS!$AR$4:$AR$103)</f>
        <v>0</v>
      </c>
      <c r="D10" s="136" cm="1">
        <f t="array" ref="D10">SUMPRODUCT((PARIS!$C$4:'PARIS'!$C$103=A10)*PARIS!$O$4:$O$103)+SUMPRODUCT((PARIS!$AA$4:'PARIS'!$AA$103=A10)*PARIS!$AM$4:$AM$103)+SUMPRODUCT((PARIS!$AB$4:'PARIS'!$AB$103=A10)*PARIS!$AM$4:$AM$103)</f>
        <v>0</v>
      </c>
      <c r="E10" s="136" cm="1">
        <f t="array" ref="E10">SUMPRODUCT((PARIS!$C$4:'PARIS'!$C$103=A10)*PARIS!$R$4:$R$103)+SUMPRODUCT((PARIS!$AA$4:'PARIS'!$AA$103=A10)*PARIS!$AP$4:$AP$103)+SUMPRODUCT((PARIS!$AB$4:'PARIS'!$AB$103=A10)*PARIS!$AP$4:$AP$103)</f>
        <v>0</v>
      </c>
      <c r="F10" s="136" cm="1">
        <f t="array" ref="F10">SUMPRODUCT((PARIS!$C$4:'PARIS'!$C$103=A10)*PARIS!$V$4:$V$103)+SUMPRODUCT((PARIS!$AA$4:'PARIS'!$AA$103=A10)*PARIS!$AS$4:$AS$103)+SUMPRODUCT((PARIS!$AB$4:'PARIS'!$AB$103=A10)*PARIS!$AS$4:$AS$103)</f>
        <v>0</v>
      </c>
      <c r="G10" s="136" cm="1">
        <f t="array" ref="G10">SUMPRODUCT((PARIS!$C$4:'PARIS'!$C$103=A10)*PARIS!$W$4:$W$103)+SUMPRODUCT((PARIS!$AA$4:'PARIS'!$AA$103=A10)*PARIS!$AT$4:$AT$103)+SUMPRODUCT((PARIS!$AB$4:'PARIS'!$AB$103=A10)*PARIS!$AT$4:$AT$103)</f>
        <v>0</v>
      </c>
      <c r="H10" s="115"/>
      <c r="I10" s="139">
        <f t="shared" si="3"/>
        <v>0</v>
      </c>
      <c r="J10" s="136">
        <f t="shared" si="4"/>
        <v>0</v>
      </c>
      <c r="K10" s="136">
        <f t="shared" si="5"/>
        <v>0</v>
      </c>
      <c r="L10" s="136">
        <f t="shared" si="6"/>
        <v>0</v>
      </c>
      <c r="M10" s="136">
        <f t="shared" si="7"/>
        <v>0</v>
      </c>
      <c r="N10" s="115"/>
      <c r="O10" s="131">
        <f>C10*ResourcesEmissions!B14</f>
        <v>0</v>
      </c>
      <c r="P10" s="131">
        <f>C10*ResourcesEmissions!C14</f>
        <v>0</v>
      </c>
      <c r="Q10" s="131">
        <f>C10*ResourcesEmissions!E14</f>
        <v>0</v>
      </c>
      <c r="R10" s="115"/>
      <c r="S10" s="131">
        <f t="shared" si="8"/>
        <v>0</v>
      </c>
      <c r="T10" s="131">
        <f t="shared" si="9"/>
        <v>0</v>
      </c>
      <c r="U10" s="131">
        <f t="shared" si="10"/>
        <v>0</v>
      </c>
      <c r="V10" s="115"/>
      <c r="W10" s="128"/>
      <c r="X10" s="128"/>
      <c r="Y10" s="128"/>
      <c r="Z10" s="115"/>
      <c r="AA10" s="126"/>
      <c r="AB10" s="126"/>
      <c r="AC10" s="126"/>
      <c r="AD10" s="115"/>
      <c r="AE10" s="126"/>
      <c r="AF10" s="126"/>
      <c r="AG10" s="126"/>
      <c r="AH10" s="115"/>
      <c r="AI10" s="128"/>
      <c r="AJ10" s="128"/>
      <c r="AK10" s="128"/>
      <c r="AL10" s="115"/>
      <c r="AM10" s="126"/>
      <c r="AN10" s="126"/>
      <c r="AO10" s="126"/>
      <c r="AP10" s="115"/>
      <c r="AQ10" s="126"/>
      <c r="AR10" s="126"/>
      <c r="AS10" s="126"/>
    </row>
    <row r="11" spans="1:45" x14ac:dyDescent="0.25">
      <c r="A11" s="94">
        <v>1956</v>
      </c>
      <c r="B11" s="139" cm="1">
        <f t="array" ref="B11">SUMPRODUCT((PARIS!$C$4:'PARIS'!$C$103=A11)*PARIS!$X$4:$X$103)+SUMPRODUCT((PARIS!$AA$4:'PARIS'!$AA$103=A11)*PARIS!$AQ$4:$AQ$103)+SUMPRODUCT((PARIS!$AB$4:'PARIS'!$AB$103=A11)*PARIS!$AQ$4:$AQ$103)</f>
        <v>0</v>
      </c>
      <c r="C11" s="139" cm="1">
        <f t="array" ref="C11">SUMPRODUCT((PARIS!$C$4:'PARIS'!$C$103=A11)*PARIS!$Y$4:$Y$103)+SUMPRODUCT((PARIS!$AA$4:'PARIS'!$AA$103=A11)*PARIS!$AR$4:$AR$103)+SUMPRODUCT((PARIS!$AB$4:'PARIS'!$AB$103=A11)*PARIS!$AR$4:$AR$103)</f>
        <v>0</v>
      </c>
      <c r="D11" s="136" cm="1">
        <f t="array" ref="D11">SUMPRODUCT((PARIS!$C$4:'PARIS'!$C$103=A11)*PARIS!$O$4:$O$103)+SUMPRODUCT((PARIS!$AA$4:'PARIS'!$AA$103=A11)*PARIS!$AM$4:$AM$103)+SUMPRODUCT((PARIS!$AB$4:'PARIS'!$AB$103=A11)*PARIS!$AM$4:$AM$103)</f>
        <v>0</v>
      </c>
      <c r="E11" s="136" cm="1">
        <f t="array" ref="E11">SUMPRODUCT((PARIS!$C$4:'PARIS'!$C$103=A11)*PARIS!$R$4:$R$103)+SUMPRODUCT((PARIS!$AA$4:'PARIS'!$AA$103=A11)*PARIS!$AP$4:$AP$103)+SUMPRODUCT((PARIS!$AB$4:'PARIS'!$AB$103=A11)*PARIS!$AP$4:$AP$103)</f>
        <v>0</v>
      </c>
      <c r="F11" s="136" cm="1">
        <f t="array" ref="F11">SUMPRODUCT((PARIS!$C$4:'PARIS'!$C$103=A11)*PARIS!$V$4:$V$103)+SUMPRODUCT((PARIS!$AA$4:'PARIS'!$AA$103=A11)*PARIS!$AS$4:$AS$103)+SUMPRODUCT((PARIS!$AB$4:'PARIS'!$AB$103=A11)*PARIS!$AS$4:$AS$103)</f>
        <v>0</v>
      </c>
      <c r="G11" s="136" cm="1">
        <f t="array" ref="G11">SUMPRODUCT((PARIS!$C$4:'PARIS'!$C$103=A11)*PARIS!$W$4:$W$103)+SUMPRODUCT((PARIS!$AA$4:'PARIS'!$AA$103=A11)*PARIS!$AT$4:$AT$103)+SUMPRODUCT((PARIS!$AB$4:'PARIS'!$AB$103=A11)*PARIS!$AT$4:$AT$103)</f>
        <v>0</v>
      </c>
      <c r="H11" s="115"/>
      <c r="I11" s="139">
        <f t="shared" si="3"/>
        <v>0</v>
      </c>
      <c r="J11" s="136">
        <f t="shared" si="4"/>
        <v>0</v>
      </c>
      <c r="K11" s="136">
        <f t="shared" si="5"/>
        <v>0</v>
      </c>
      <c r="L11" s="136">
        <f t="shared" si="6"/>
        <v>0</v>
      </c>
      <c r="M11" s="136">
        <f t="shared" si="7"/>
        <v>0</v>
      </c>
      <c r="N11" s="115"/>
      <c r="O11" s="131">
        <f>C11*ResourcesEmissions!B15</f>
        <v>0</v>
      </c>
      <c r="P11" s="131">
        <f>C11*ResourcesEmissions!C15</f>
        <v>0</v>
      </c>
      <c r="Q11" s="131">
        <f>C11*ResourcesEmissions!E15</f>
        <v>0</v>
      </c>
      <c r="R11" s="115"/>
      <c r="S11" s="131">
        <f t="shared" si="8"/>
        <v>0</v>
      </c>
      <c r="T11" s="131">
        <f t="shared" si="9"/>
        <v>0</v>
      </c>
      <c r="U11" s="131">
        <f t="shared" si="10"/>
        <v>0</v>
      </c>
      <c r="V11" s="115"/>
      <c r="W11" s="128"/>
      <c r="X11" s="128"/>
      <c r="Y11" s="128"/>
      <c r="Z11" s="115"/>
      <c r="AA11" s="126"/>
      <c r="AB11" s="126"/>
      <c r="AC11" s="126"/>
      <c r="AD11" s="115"/>
      <c r="AE11" s="126"/>
      <c r="AF11" s="126"/>
      <c r="AG11" s="126"/>
      <c r="AH11" s="115"/>
      <c r="AI11" s="128"/>
      <c r="AJ11" s="128"/>
      <c r="AK11" s="128"/>
      <c r="AL11" s="115"/>
      <c r="AM11" s="126"/>
      <c r="AN11" s="126"/>
      <c r="AO11" s="126"/>
      <c r="AP11" s="115"/>
      <c r="AQ11" s="126"/>
      <c r="AR11" s="126"/>
      <c r="AS11" s="126"/>
    </row>
    <row r="12" spans="1:45" x14ac:dyDescent="0.25">
      <c r="A12" s="94">
        <v>1957</v>
      </c>
      <c r="B12" s="139" cm="1">
        <f t="array" ref="B12">SUMPRODUCT((PARIS!$C$4:'PARIS'!$C$103=A12)*PARIS!$X$4:$X$103)+SUMPRODUCT((PARIS!$AA$4:'PARIS'!$AA$103=A12)*PARIS!$AQ$4:$AQ$103)+SUMPRODUCT((PARIS!$AB$4:'PARIS'!$AB$103=A12)*PARIS!$AQ$4:$AQ$103)</f>
        <v>4950</v>
      </c>
      <c r="C12" s="139" cm="1">
        <f t="array" ref="C12">SUMPRODUCT((PARIS!$C$4:'PARIS'!$C$103=A12)*PARIS!$Y$4:$Y$103)+SUMPRODUCT((PARIS!$AA$4:'PARIS'!$AA$103=A12)*PARIS!$AR$4:$AR$103)+SUMPRODUCT((PARIS!$AB$4:'PARIS'!$AB$103=A12)*PARIS!$AR$4:$AR$103)</f>
        <v>61.875</v>
      </c>
      <c r="D12" s="136" cm="1">
        <f t="array" ref="D12">SUMPRODUCT((PARIS!$C$4:'PARIS'!$C$103=A12)*PARIS!$O$4:$O$103)+SUMPRODUCT((PARIS!$AA$4:'PARIS'!$AA$103=A12)*PARIS!$AM$4:$AM$103)+SUMPRODUCT((PARIS!$AB$4:'PARIS'!$AB$103=A12)*PARIS!$AM$4:$AM$103)</f>
        <v>61.875</v>
      </c>
      <c r="E12" s="136" cm="1">
        <f t="array" ref="E12">SUMPRODUCT((PARIS!$C$4:'PARIS'!$C$103=A12)*PARIS!$R$4:$R$103)+SUMPRODUCT((PARIS!$AA$4:'PARIS'!$AA$103=A12)*PARIS!$AP$4:$AP$103)+SUMPRODUCT((PARIS!$AB$4:'PARIS'!$AB$103=A12)*PARIS!$AP$4:$AP$103)</f>
        <v>0</v>
      </c>
      <c r="F12" s="136" cm="1">
        <f t="array" ref="F12">SUMPRODUCT((PARIS!$C$4:'PARIS'!$C$103=A12)*PARIS!$V$4:$V$103)+SUMPRODUCT((PARIS!$AA$4:'PARIS'!$AA$103=A12)*PARIS!$AS$4:$AS$103)+SUMPRODUCT((PARIS!$AB$4:'PARIS'!$AB$103=A12)*PARIS!$AS$4:$AS$103)</f>
        <v>13.2</v>
      </c>
      <c r="G12" s="136" cm="1">
        <f t="array" ref="G12">SUMPRODUCT((PARIS!$C$4:'PARIS'!$C$103=A12)*PARIS!$W$4:$W$103)+SUMPRODUCT((PARIS!$AA$4:'PARIS'!$AA$103=A12)*PARIS!$AT$4:$AT$103)+SUMPRODUCT((PARIS!$AB$4:'PARIS'!$AB$103=A12)*PARIS!$AT$4:$AT$103)</f>
        <v>0</v>
      </c>
      <c r="H12" s="115"/>
      <c r="I12" s="139">
        <f t="shared" si="3"/>
        <v>61.875</v>
      </c>
      <c r="J12" s="136">
        <f t="shared" si="4"/>
        <v>61.875</v>
      </c>
      <c r="K12" s="136">
        <f t="shared" si="5"/>
        <v>0</v>
      </c>
      <c r="L12" s="136">
        <f t="shared" si="6"/>
        <v>13.2</v>
      </c>
      <c r="M12" s="136">
        <f t="shared" si="7"/>
        <v>0</v>
      </c>
      <c r="N12" s="115"/>
      <c r="O12" s="131">
        <f>C12*ResourcesEmissions!B16</f>
        <v>90.700988524890974</v>
      </c>
      <c r="P12" s="131">
        <f>C12*ResourcesEmissions!C16</f>
        <v>144.19504202947161</v>
      </c>
      <c r="Q12" s="131">
        <f>C12*ResourcesEmissions!E16</f>
        <v>1493.2310762326319</v>
      </c>
      <c r="R12" s="115"/>
      <c r="S12" s="131">
        <f t="shared" si="8"/>
        <v>90.700988524890974</v>
      </c>
      <c r="T12" s="131">
        <f t="shared" si="9"/>
        <v>144.19504202947161</v>
      </c>
      <c r="U12" s="131">
        <f t="shared" si="10"/>
        <v>1493.2310762326319</v>
      </c>
      <c r="V12" s="115"/>
      <c r="W12" s="128"/>
      <c r="X12" s="128"/>
      <c r="Y12" s="128"/>
      <c r="Z12" s="115"/>
      <c r="AA12" s="126"/>
      <c r="AB12" s="126"/>
      <c r="AC12" s="126"/>
      <c r="AD12" s="115"/>
      <c r="AE12" s="126"/>
      <c r="AF12" s="126"/>
      <c r="AG12" s="126"/>
      <c r="AH12" s="115"/>
      <c r="AI12" s="128"/>
      <c r="AJ12" s="128"/>
      <c r="AK12" s="128"/>
      <c r="AL12" s="115"/>
      <c r="AM12" s="126"/>
      <c r="AN12" s="126"/>
      <c r="AO12" s="126"/>
      <c r="AP12" s="115"/>
      <c r="AQ12" s="126"/>
      <c r="AR12" s="126"/>
      <c r="AS12" s="126"/>
    </row>
    <row r="13" spans="1:45" x14ac:dyDescent="0.25">
      <c r="A13" s="94">
        <v>1958</v>
      </c>
      <c r="B13" s="139" cm="1">
        <f t="array" ref="B13">SUMPRODUCT((PARIS!$C$4:'PARIS'!$C$103=A13)*PARIS!$X$4:$X$103)+SUMPRODUCT((PARIS!$AA$4:'PARIS'!$AA$103=A13)*PARIS!$AQ$4:$AQ$103)+SUMPRODUCT((PARIS!$AB$4:'PARIS'!$AB$103=A13)*PARIS!$AQ$4:$AQ$103)</f>
        <v>0</v>
      </c>
      <c r="C13" s="139" cm="1">
        <f t="array" ref="C13">SUMPRODUCT((PARIS!$C$4:'PARIS'!$C$103=A13)*PARIS!$Y$4:$Y$103)+SUMPRODUCT((PARIS!$AA$4:'PARIS'!$AA$103=A13)*PARIS!$AR$4:$AR$103)+SUMPRODUCT((PARIS!$AB$4:'PARIS'!$AB$103=A13)*PARIS!$AR$4:$AR$103)</f>
        <v>0</v>
      </c>
      <c r="D13" s="136" cm="1">
        <f t="array" ref="D13">SUMPRODUCT((PARIS!$C$4:'PARIS'!$C$103=A13)*PARIS!$O$4:$O$103)+SUMPRODUCT((PARIS!$AA$4:'PARIS'!$AA$103=A13)*PARIS!$AM$4:$AM$103)+SUMPRODUCT((PARIS!$AB$4:'PARIS'!$AB$103=A13)*PARIS!$AM$4:$AM$103)</f>
        <v>0</v>
      </c>
      <c r="E13" s="136" cm="1">
        <f t="array" ref="E13">SUMPRODUCT((PARIS!$C$4:'PARIS'!$C$103=A13)*PARIS!$R$4:$R$103)+SUMPRODUCT((PARIS!$AA$4:'PARIS'!$AA$103=A13)*PARIS!$AP$4:$AP$103)+SUMPRODUCT((PARIS!$AB$4:'PARIS'!$AB$103=A13)*PARIS!$AP$4:$AP$103)</f>
        <v>0</v>
      </c>
      <c r="F13" s="136" cm="1">
        <f t="array" ref="F13">SUMPRODUCT((PARIS!$C$4:'PARIS'!$C$103=A13)*PARIS!$V$4:$V$103)+SUMPRODUCT((PARIS!$AA$4:'PARIS'!$AA$103=A13)*PARIS!$AS$4:$AS$103)+SUMPRODUCT((PARIS!$AB$4:'PARIS'!$AB$103=A13)*PARIS!$AS$4:$AS$103)</f>
        <v>0</v>
      </c>
      <c r="G13" s="136" cm="1">
        <f t="array" ref="G13">SUMPRODUCT((PARIS!$C$4:'PARIS'!$C$103=A13)*PARIS!$W$4:$W$103)+SUMPRODUCT((PARIS!$AA$4:'PARIS'!$AA$103=A13)*PARIS!$AT$4:$AT$103)+SUMPRODUCT((PARIS!$AB$4:'PARIS'!$AB$103=A13)*PARIS!$AT$4:$AT$103)</f>
        <v>0</v>
      </c>
      <c r="H13" s="115"/>
      <c r="I13" s="139">
        <f t="shared" si="3"/>
        <v>61.875</v>
      </c>
      <c r="J13" s="136">
        <f t="shared" si="4"/>
        <v>61.875</v>
      </c>
      <c r="K13" s="136">
        <f t="shared" si="5"/>
        <v>0</v>
      </c>
      <c r="L13" s="136">
        <f t="shared" si="6"/>
        <v>13.2</v>
      </c>
      <c r="M13" s="136">
        <f t="shared" si="7"/>
        <v>0</v>
      </c>
      <c r="N13" s="115"/>
      <c r="O13" s="131">
        <f>C13*ResourcesEmissions!B17</f>
        <v>0</v>
      </c>
      <c r="P13" s="131">
        <f>C13*ResourcesEmissions!C17</f>
        <v>0</v>
      </c>
      <c r="Q13" s="131">
        <f>C13*ResourcesEmissions!E17</f>
        <v>0</v>
      </c>
      <c r="R13" s="115"/>
      <c r="S13" s="131">
        <f t="shared" si="8"/>
        <v>90.700988524890974</v>
      </c>
      <c r="T13" s="131">
        <f t="shared" si="9"/>
        <v>144.19504202947161</v>
      </c>
      <c r="U13" s="131">
        <f t="shared" si="10"/>
        <v>1493.2310762326319</v>
      </c>
      <c r="V13" s="115"/>
      <c r="W13" s="128"/>
      <c r="X13" s="128"/>
      <c r="Y13" s="128"/>
      <c r="Z13" s="115"/>
      <c r="AA13" s="126"/>
      <c r="AB13" s="126"/>
      <c r="AC13" s="126"/>
      <c r="AD13" s="115"/>
      <c r="AE13" s="126"/>
      <c r="AF13" s="126"/>
      <c r="AG13" s="126"/>
      <c r="AH13" s="115"/>
      <c r="AI13" s="128"/>
      <c r="AJ13" s="128"/>
      <c r="AK13" s="128"/>
      <c r="AL13" s="115"/>
      <c r="AM13" s="126"/>
      <c r="AN13" s="126"/>
      <c r="AO13" s="126"/>
      <c r="AP13" s="115"/>
      <c r="AQ13" s="126"/>
      <c r="AR13" s="126"/>
      <c r="AS13" s="126"/>
    </row>
    <row r="14" spans="1:45" x14ac:dyDescent="0.25">
      <c r="A14" s="94">
        <v>1959</v>
      </c>
      <c r="B14" s="139" cm="1">
        <f t="array" ref="B14">SUMPRODUCT((PARIS!$C$4:'PARIS'!$C$103=A14)*PARIS!$X$4:$X$103)+SUMPRODUCT((PARIS!$AA$4:'PARIS'!$AA$103=A14)*PARIS!$AQ$4:$AQ$103)+SUMPRODUCT((PARIS!$AB$4:'PARIS'!$AB$103=A14)*PARIS!$AQ$4:$AQ$103)</f>
        <v>0</v>
      </c>
      <c r="C14" s="139" cm="1">
        <f t="array" ref="C14">SUMPRODUCT((PARIS!$C$4:'PARIS'!$C$103=A14)*PARIS!$Y$4:$Y$103)+SUMPRODUCT((PARIS!$AA$4:'PARIS'!$AA$103=A14)*PARIS!$AR$4:$AR$103)+SUMPRODUCT((PARIS!$AB$4:'PARIS'!$AB$103=A14)*PARIS!$AR$4:$AR$103)</f>
        <v>0</v>
      </c>
      <c r="D14" s="136" cm="1">
        <f t="array" ref="D14">SUMPRODUCT((PARIS!$C$4:'PARIS'!$C$103=A14)*PARIS!$O$4:$O$103)+SUMPRODUCT((PARIS!$AA$4:'PARIS'!$AA$103=A14)*PARIS!$AM$4:$AM$103)+SUMPRODUCT((PARIS!$AB$4:'PARIS'!$AB$103=A14)*PARIS!$AM$4:$AM$103)</f>
        <v>0</v>
      </c>
      <c r="E14" s="136" cm="1">
        <f t="array" ref="E14">SUMPRODUCT((PARIS!$C$4:'PARIS'!$C$103=A14)*PARIS!$R$4:$R$103)+SUMPRODUCT((PARIS!$AA$4:'PARIS'!$AA$103=A14)*PARIS!$AP$4:$AP$103)+SUMPRODUCT((PARIS!$AB$4:'PARIS'!$AB$103=A14)*PARIS!$AP$4:$AP$103)</f>
        <v>0</v>
      </c>
      <c r="F14" s="136" cm="1">
        <f t="array" ref="F14">SUMPRODUCT((PARIS!$C$4:'PARIS'!$C$103=A14)*PARIS!$V$4:$V$103)+SUMPRODUCT((PARIS!$AA$4:'PARIS'!$AA$103=A14)*PARIS!$AS$4:$AS$103)+SUMPRODUCT((PARIS!$AB$4:'PARIS'!$AB$103=A14)*PARIS!$AS$4:$AS$103)</f>
        <v>0</v>
      </c>
      <c r="G14" s="136" cm="1">
        <f t="array" ref="G14">SUMPRODUCT((PARIS!$C$4:'PARIS'!$C$103=A14)*PARIS!$W$4:$W$103)+SUMPRODUCT((PARIS!$AA$4:'PARIS'!$AA$103=A14)*PARIS!$AT$4:$AT$103)+SUMPRODUCT((PARIS!$AB$4:'PARIS'!$AB$103=A14)*PARIS!$AT$4:$AT$103)</f>
        <v>0</v>
      </c>
      <c r="H14" s="115"/>
      <c r="I14" s="139">
        <f t="shared" si="3"/>
        <v>61.875</v>
      </c>
      <c r="J14" s="136">
        <f t="shared" si="4"/>
        <v>61.875</v>
      </c>
      <c r="K14" s="136">
        <f t="shared" si="5"/>
        <v>0</v>
      </c>
      <c r="L14" s="136">
        <f t="shared" si="6"/>
        <v>13.2</v>
      </c>
      <c r="M14" s="136">
        <f t="shared" si="7"/>
        <v>0</v>
      </c>
      <c r="N14" s="115"/>
      <c r="O14" s="131">
        <f>C14*ResourcesEmissions!B18</f>
        <v>0</v>
      </c>
      <c r="P14" s="131">
        <f>C14*ResourcesEmissions!C18</f>
        <v>0</v>
      </c>
      <c r="Q14" s="131">
        <f>C14*ResourcesEmissions!E18</f>
        <v>0</v>
      </c>
      <c r="R14" s="115"/>
      <c r="S14" s="131">
        <f t="shared" si="8"/>
        <v>90.700988524890974</v>
      </c>
      <c r="T14" s="131">
        <f t="shared" si="9"/>
        <v>144.19504202947161</v>
      </c>
      <c r="U14" s="131">
        <f t="shared" si="10"/>
        <v>1493.2310762326319</v>
      </c>
      <c r="V14" s="115"/>
      <c r="W14" s="128"/>
      <c r="X14" s="128"/>
      <c r="Y14" s="128"/>
      <c r="Z14" s="115"/>
      <c r="AA14" s="126"/>
      <c r="AB14" s="126"/>
      <c r="AC14" s="126"/>
      <c r="AD14" s="115"/>
      <c r="AE14" s="126"/>
      <c r="AF14" s="126"/>
      <c r="AG14" s="126"/>
      <c r="AH14" s="115"/>
      <c r="AI14" s="128"/>
      <c r="AJ14" s="128"/>
      <c r="AK14" s="128"/>
      <c r="AL14" s="115"/>
      <c r="AM14" s="126"/>
      <c r="AN14" s="126"/>
      <c r="AO14" s="126"/>
      <c r="AP14" s="115"/>
      <c r="AQ14" s="126"/>
      <c r="AR14" s="126"/>
      <c r="AS14" s="126"/>
    </row>
    <row r="15" spans="1:45" x14ac:dyDescent="0.25">
      <c r="A15" s="94">
        <v>1960</v>
      </c>
      <c r="B15" s="139" cm="1">
        <f t="array" ref="B15">SUMPRODUCT((PARIS!$C$4:'PARIS'!$C$103=A15)*PARIS!$X$4:$X$103)+SUMPRODUCT((PARIS!$AA$4:'PARIS'!$AA$103=A15)*PARIS!$AQ$4:$AQ$103)+SUMPRODUCT((PARIS!$AB$4:'PARIS'!$AB$103=A15)*PARIS!$AQ$4:$AQ$103)</f>
        <v>0</v>
      </c>
      <c r="C15" s="139" cm="1">
        <f t="array" ref="C15">SUMPRODUCT((PARIS!$C$4:'PARIS'!$C$103=A15)*PARIS!$Y$4:$Y$103)+SUMPRODUCT((PARIS!$AA$4:'PARIS'!$AA$103=A15)*PARIS!$AR$4:$AR$103)+SUMPRODUCT((PARIS!$AB$4:'PARIS'!$AB$103=A15)*PARIS!$AR$4:$AR$103)</f>
        <v>0</v>
      </c>
      <c r="D15" s="136" cm="1">
        <f t="array" ref="D15">SUMPRODUCT((PARIS!$C$4:'PARIS'!$C$103=A15)*PARIS!$O$4:$O$103)+SUMPRODUCT((PARIS!$AA$4:'PARIS'!$AA$103=A15)*PARIS!$AM$4:$AM$103)+SUMPRODUCT((PARIS!$AB$4:'PARIS'!$AB$103=A15)*PARIS!$AM$4:$AM$103)</f>
        <v>0</v>
      </c>
      <c r="E15" s="136" cm="1">
        <f t="array" ref="E15">SUMPRODUCT((PARIS!$C$4:'PARIS'!$C$103=A15)*PARIS!$R$4:$R$103)+SUMPRODUCT((PARIS!$AA$4:'PARIS'!$AA$103=A15)*PARIS!$AP$4:$AP$103)+SUMPRODUCT((PARIS!$AB$4:'PARIS'!$AB$103=A15)*PARIS!$AP$4:$AP$103)</f>
        <v>0</v>
      </c>
      <c r="F15" s="136" cm="1">
        <f t="array" ref="F15">SUMPRODUCT((PARIS!$C$4:'PARIS'!$C$103=A15)*PARIS!$V$4:$V$103)+SUMPRODUCT((PARIS!$AA$4:'PARIS'!$AA$103=A15)*PARIS!$AS$4:$AS$103)+SUMPRODUCT((PARIS!$AB$4:'PARIS'!$AB$103=A15)*PARIS!$AS$4:$AS$103)</f>
        <v>0</v>
      </c>
      <c r="G15" s="136" cm="1">
        <f t="array" ref="G15">SUMPRODUCT((PARIS!$C$4:'PARIS'!$C$103=A15)*PARIS!$W$4:$W$103)+SUMPRODUCT((PARIS!$AA$4:'PARIS'!$AA$103=A15)*PARIS!$AT$4:$AT$103)+SUMPRODUCT((PARIS!$AB$4:'PARIS'!$AB$103=A15)*PARIS!$AT$4:$AT$103)</f>
        <v>0</v>
      </c>
      <c r="H15" s="115"/>
      <c r="I15" s="139">
        <f t="shared" si="3"/>
        <v>61.875</v>
      </c>
      <c r="J15" s="136">
        <f t="shared" si="4"/>
        <v>61.875</v>
      </c>
      <c r="K15" s="136">
        <f t="shared" si="5"/>
        <v>0</v>
      </c>
      <c r="L15" s="136">
        <f t="shared" si="6"/>
        <v>13.2</v>
      </c>
      <c r="M15" s="136">
        <f t="shared" si="7"/>
        <v>0</v>
      </c>
      <c r="N15" s="115"/>
      <c r="O15" s="131">
        <f>C15*ResourcesEmissions!B19</f>
        <v>0</v>
      </c>
      <c r="P15" s="131">
        <f>C15*ResourcesEmissions!C19</f>
        <v>0</v>
      </c>
      <c r="Q15" s="131">
        <f>C15*ResourcesEmissions!E19</f>
        <v>0</v>
      </c>
      <c r="R15" s="115"/>
      <c r="S15" s="131">
        <f t="shared" si="8"/>
        <v>90.700988524890974</v>
      </c>
      <c r="T15" s="131">
        <f t="shared" si="9"/>
        <v>144.19504202947161</v>
      </c>
      <c r="U15" s="131">
        <f t="shared" si="10"/>
        <v>1493.2310762326319</v>
      </c>
      <c r="V15" s="115"/>
      <c r="W15" s="128"/>
      <c r="X15" s="128"/>
      <c r="Y15" s="128"/>
      <c r="Z15" s="115"/>
      <c r="AA15" s="126"/>
      <c r="AB15" s="126"/>
      <c r="AC15" s="126"/>
      <c r="AD15" s="115"/>
      <c r="AE15" s="126"/>
      <c r="AF15" s="126"/>
      <c r="AG15" s="126"/>
      <c r="AH15" s="115"/>
      <c r="AI15" s="128"/>
      <c r="AJ15" s="128"/>
      <c r="AK15" s="128"/>
      <c r="AL15" s="115"/>
      <c r="AM15" s="126"/>
      <c r="AN15" s="126"/>
      <c r="AO15" s="126"/>
      <c r="AP15" s="115"/>
      <c r="AQ15" s="126"/>
      <c r="AR15" s="126"/>
      <c r="AS15" s="126"/>
    </row>
    <row r="16" spans="1:45" x14ac:dyDescent="0.25">
      <c r="A16" s="94">
        <v>1961</v>
      </c>
      <c r="B16" s="139" cm="1">
        <f t="array" ref="B16">SUMPRODUCT((PARIS!$C$4:'PARIS'!$C$103=A16)*PARIS!$X$4:$X$103)+SUMPRODUCT((PARIS!$AA$4:'PARIS'!$AA$103=A16)*PARIS!$AQ$4:$AQ$103)+SUMPRODUCT((PARIS!$AB$4:'PARIS'!$AB$103=A16)*PARIS!$AQ$4:$AQ$103)</f>
        <v>5673.6</v>
      </c>
      <c r="C16" s="139" cm="1">
        <f t="array" ref="C16">SUMPRODUCT((PARIS!$C$4:'PARIS'!$C$103=A16)*PARIS!$Y$4:$Y$103)+SUMPRODUCT((PARIS!$AA$4:'PARIS'!$AA$103=A16)*PARIS!$AR$4:$AR$103)+SUMPRODUCT((PARIS!$AB$4:'PARIS'!$AB$103=A16)*PARIS!$AR$4:$AR$103)</f>
        <v>81.882000000000005</v>
      </c>
      <c r="D16" s="136" cm="1">
        <f t="array" ref="D16">SUMPRODUCT((PARIS!$C$4:'PARIS'!$C$103=A16)*PARIS!$O$4:$O$103)+SUMPRODUCT((PARIS!$AA$4:'PARIS'!$AA$103=A16)*PARIS!$AM$4:$AM$103)+SUMPRODUCT((PARIS!$AB$4:'PARIS'!$AB$103=A16)*PARIS!$AM$4:$AM$103)</f>
        <v>81.882000000000005</v>
      </c>
      <c r="E16" s="136" cm="1">
        <f t="array" ref="E16">SUMPRODUCT((PARIS!$C$4:'PARIS'!$C$103=A16)*PARIS!$R$4:$R$103)+SUMPRODUCT((PARIS!$AA$4:'PARIS'!$AA$103=A16)*PARIS!$AP$4:$AP$103)+SUMPRODUCT((PARIS!$AB$4:'PARIS'!$AB$103=A16)*PARIS!$AP$4:$AP$103)</f>
        <v>0</v>
      </c>
      <c r="F16" s="136" cm="1">
        <f t="array" ref="F16">SUMPRODUCT((PARIS!$C$4:'PARIS'!$C$103=A16)*PARIS!$V$4:$V$103)+SUMPRODUCT((PARIS!$AA$4:'PARIS'!$AA$103=A16)*PARIS!$AS$4:$AS$103)+SUMPRODUCT((PARIS!$AB$4:'PARIS'!$AB$103=A16)*PARIS!$AS$4:$AS$103)</f>
        <v>14.48048</v>
      </c>
      <c r="G16" s="136" cm="1">
        <f t="array" ref="G16">SUMPRODUCT((PARIS!$C$4:'PARIS'!$C$103=A16)*PARIS!$W$4:$W$103)+SUMPRODUCT((PARIS!$AA$4:'PARIS'!$AA$103=A16)*PARIS!$AT$4:$AT$103)+SUMPRODUCT((PARIS!$AB$4:'PARIS'!$AB$103=A16)*PARIS!$AT$4:$AT$103)</f>
        <v>0</v>
      </c>
      <c r="H16" s="115"/>
      <c r="I16" s="139">
        <f t="shared" si="3"/>
        <v>143.75700000000001</v>
      </c>
      <c r="J16" s="136">
        <f t="shared" si="4"/>
        <v>143.75700000000001</v>
      </c>
      <c r="K16" s="136">
        <f t="shared" si="5"/>
        <v>0</v>
      </c>
      <c r="L16" s="136">
        <f t="shared" si="6"/>
        <v>27.680479999999999</v>
      </c>
      <c r="M16" s="136">
        <f t="shared" si="7"/>
        <v>0</v>
      </c>
      <c r="N16" s="115"/>
      <c r="O16" s="131">
        <f>C16*ResourcesEmissions!B20</f>
        <v>118.66624479381727</v>
      </c>
      <c r="P16" s="131">
        <f>C16*ResourcesEmissions!C20</f>
        <v>163.6568866421967</v>
      </c>
      <c r="Q16" s="131">
        <f>C16*ResourcesEmissions!E20</f>
        <v>1752.4527657483256</v>
      </c>
      <c r="R16" s="115"/>
      <c r="S16" s="131">
        <f t="shared" si="8"/>
        <v>209.36723331870826</v>
      </c>
      <c r="T16" s="131">
        <f t="shared" si="9"/>
        <v>307.8519286716683</v>
      </c>
      <c r="U16" s="131">
        <f t="shared" si="10"/>
        <v>3245.6838419809574</v>
      </c>
      <c r="V16" s="115"/>
      <c r="W16" s="128"/>
      <c r="X16" s="128"/>
      <c r="Y16" s="128"/>
      <c r="Z16" s="115"/>
      <c r="AA16" s="126"/>
      <c r="AB16" s="126"/>
      <c r="AC16" s="126"/>
      <c r="AD16" s="115"/>
      <c r="AE16" s="126"/>
      <c r="AF16" s="126"/>
      <c r="AG16" s="126"/>
      <c r="AH16" s="115"/>
      <c r="AI16" s="128"/>
      <c r="AJ16" s="128"/>
      <c r="AK16" s="128"/>
      <c r="AL16" s="115"/>
      <c r="AM16" s="126"/>
      <c r="AN16" s="126"/>
      <c r="AO16" s="126"/>
      <c r="AP16" s="115"/>
      <c r="AQ16" s="126"/>
      <c r="AR16" s="126"/>
      <c r="AS16" s="126"/>
    </row>
    <row r="17" spans="1:45" x14ac:dyDescent="0.25">
      <c r="A17" s="94">
        <v>1962</v>
      </c>
      <c r="B17" s="139" cm="1">
        <f t="array" ref="B17">SUMPRODUCT((PARIS!$C$4:'PARIS'!$C$103=A17)*PARIS!$X$4:$X$103)+SUMPRODUCT((PARIS!$AA$4:'PARIS'!$AA$103=A17)*PARIS!$AQ$4:$AQ$103)+SUMPRODUCT((PARIS!$AB$4:'PARIS'!$AB$103=A17)*PARIS!$AQ$4:$AQ$103)</f>
        <v>0</v>
      </c>
      <c r="C17" s="139" cm="1">
        <f t="array" ref="C17">SUMPRODUCT((PARIS!$C$4:'PARIS'!$C$103=A17)*PARIS!$Y$4:$Y$103)+SUMPRODUCT((PARIS!$AA$4:'PARIS'!$AA$103=A17)*PARIS!$AR$4:$AR$103)+SUMPRODUCT((PARIS!$AB$4:'PARIS'!$AB$103=A17)*PARIS!$AR$4:$AR$103)</f>
        <v>0</v>
      </c>
      <c r="D17" s="136" cm="1">
        <f t="array" ref="D17">SUMPRODUCT((PARIS!$C$4:'PARIS'!$C$103=A17)*PARIS!$O$4:$O$103)+SUMPRODUCT((PARIS!$AA$4:'PARIS'!$AA$103=A17)*PARIS!$AM$4:$AM$103)+SUMPRODUCT((PARIS!$AB$4:'PARIS'!$AB$103=A17)*PARIS!$AM$4:$AM$103)</f>
        <v>0</v>
      </c>
      <c r="E17" s="136" cm="1">
        <f t="array" ref="E17">SUMPRODUCT((PARIS!$C$4:'PARIS'!$C$103=A17)*PARIS!$R$4:$R$103)+SUMPRODUCT((PARIS!$AA$4:'PARIS'!$AA$103=A17)*PARIS!$AP$4:$AP$103)+SUMPRODUCT((PARIS!$AB$4:'PARIS'!$AB$103=A17)*PARIS!$AP$4:$AP$103)</f>
        <v>0</v>
      </c>
      <c r="F17" s="136" cm="1">
        <f t="array" ref="F17">SUMPRODUCT((PARIS!$C$4:'PARIS'!$C$103=A17)*PARIS!$V$4:$V$103)+SUMPRODUCT((PARIS!$AA$4:'PARIS'!$AA$103=A17)*PARIS!$AS$4:$AS$103)+SUMPRODUCT((PARIS!$AB$4:'PARIS'!$AB$103=A17)*PARIS!$AS$4:$AS$103)</f>
        <v>0</v>
      </c>
      <c r="G17" s="136" cm="1">
        <f t="array" ref="G17">SUMPRODUCT((PARIS!$C$4:'PARIS'!$C$103=A17)*PARIS!$W$4:$W$103)+SUMPRODUCT((PARIS!$AA$4:'PARIS'!$AA$103=A17)*PARIS!$AT$4:$AT$103)+SUMPRODUCT((PARIS!$AB$4:'PARIS'!$AB$103=A17)*PARIS!$AT$4:$AT$103)</f>
        <v>0</v>
      </c>
      <c r="H17" s="115"/>
      <c r="I17" s="139">
        <f t="shared" si="3"/>
        <v>143.75700000000001</v>
      </c>
      <c r="J17" s="136">
        <f t="shared" si="4"/>
        <v>143.75700000000001</v>
      </c>
      <c r="K17" s="136">
        <f t="shared" si="5"/>
        <v>0</v>
      </c>
      <c r="L17" s="136">
        <f t="shared" si="6"/>
        <v>27.680479999999999</v>
      </c>
      <c r="M17" s="136">
        <f t="shared" si="7"/>
        <v>0</v>
      </c>
      <c r="N17" s="115"/>
      <c r="O17" s="131">
        <f>C17*ResourcesEmissions!B21</f>
        <v>0</v>
      </c>
      <c r="P17" s="131">
        <f>C17*ResourcesEmissions!C21</f>
        <v>0</v>
      </c>
      <c r="Q17" s="131">
        <f>C17*ResourcesEmissions!E21</f>
        <v>0</v>
      </c>
      <c r="R17" s="115"/>
      <c r="S17" s="131">
        <f t="shared" si="8"/>
        <v>209.36723331870826</v>
      </c>
      <c r="T17" s="131">
        <f t="shared" si="9"/>
        <v>307.8519286716683</v>
      </c>
      <c r="U17" s="131">
        <f t="shared" si="10"/>
        <v>3245.6838419809574</v>
      </c>
      <c r="V17" s="115"/>
      <c r="W17" s="128"/>
      <c r="X17" s="128"/>
      <c r="Y17" s="128"/>
      <c r="Z17" s="115"/>
      <c r="AA17" s="126"/>
      <c r="AB17" s="126"/>
      <c r="AC17" s="126"/>
      <c r="AD17" s="115"/>
      <c r="AE17" s="126"/>
      <c r="AF17" s="126"/>
      <c r="AG17" s="126"/>
      <c r="AH17" s="115"/>
      <c r="AI17" s="128"/>
      <c r="AJ17" s="128"/>
      <c r="AK17" s="128"/>
      <c r="AL17" s="115"/>
      <c r="AM17" s="126"/>
      <c r="AN17" s="126"/>
      <c r="AO17" s="126"/>
      <c r="AP17" s="115"/>
      <c r="AQ17" s="126"/>
      <c r="AR17" s="126"/>
      <c r="AS17" s="126"/>
    </row>
    <row r="18" spans="1:45" x14ac:dyDescent="0.25">
      <c r="A18" s="94">
        <v>1963</v>
      </c>
      <c r="B18" s="139" cm="1">
        <f t="array" ref="B18">SUMPRODUCT((PARIS!$C$4:'PARIS'!$C$103=A18)*PARIS!$X$4:$X$103)+SUMPRODUCT((PARIS!$AA$4:'PARIS'!$AA$103=A18)*PARIS!$AQ$4:$AQ$103)+SUMPRODUCT((PARIS!$AB$4:'PARIS'!$AB$103=A18)*PARIS!$AQ$4:$AQ$103)</f>
        <v>52731</v>
      </c>
      <c r="C18" s="139" cm="1">
        <f t="array" ref="C18">SUMPRODUCT((PARIS!$C$4:'PARIS'!$C$103=A18)*PARIS!$Y$4:$Y$103)+SUMPRODUCT((PARIS!$AA$4:'PARIS'!$AA$103=A18)*PARIS!$AR$4:$AR$103)+SUMPRODUCT((PARIS!$AB$4:'PARIS'!$AB$103=A18)*PARIS!$AR$4:$AR$103)</f>
        <v>1186.4475</v>
      </c>
      <c r="D18" s="136" cm="1">
        <f t="array" ref="D18">SUMPRODUCT((PARIS!$C$4:'PARIS'!$C$103=A18)*PARIS!$O$4:$O$103)+SUMPRODUCT((PARIS!$AA$4:'PARIS'!$AA$103=A18)*PARIS!$AM$4:$AM$103)+SUMPRODUCT((PARIS!$AB$4:'PARIS'!$AB$103=A18)*PARIS!$AM$4:$AM$103)</f>
        <v>1186.4475</v>
      </c>
      <c r="E18" s="136" cm="1">
        <f t="array" ref="E18">SUMPRODUCT((PARIS!$C$4:'PARIS'!$C$103=A18)*PARIS!$R$4:$R$103)+SUMPRODUCT((PARIS!$AA$4:'PARIS'!$AA$103=A18)*PARIS!$AP$4:$AP$103)+SUMPRODUCT((PARIS!$AB$4:'PARIS'!$AB$103=A18)*PARIS!$AP$4:$AP$103)</f>
        <v>0</v>
      </c>
      <c r="F18" s="136" cm="1">
        <f t="array" ref="F18">SUMPRODUCT((PARIS!$C$4:'PARIS'!$C$103=A18)*PARIS!$V$4:$V$103)+SUMPRODUCT((PARIS!$AA$4:'PARIS'!$AA$103=A18)*PARIS!$AS$4:$AS$103)+SUMPRODUCT((PARIS!$AB$4:'PARIS'!$AB$103=A18)*PARIS!$AS$4:$AS$103)</f>
        <v>78.126000000000005</v>
      </c>
      <c r="G18" s="136" cm="1">
        <f t="array" ref="G18">SUMPRODUCT((PARIS!$C$4:'PARIS'!$C$103=A18)*PARIS!$W$4:$W$103)+SUMPRODUCT((PARIS!$AA$4:'PARIS'!$AA$103=A18)*PARIS!$AT$4:$AT$103)+SUMPRODUCT((PARIS!$AB$4:'PARIS'!$AB$103=A18)*PARIS!$AT$4:$AT$103)</f>
        <v>0</v>
      </c>
      <c r="H18" s="115"/>
      <c r="I18" s="139">
        <f t="shared" si="3"/>
        <v>1330.2045000000001</v>
      </c>
      <c r="J18" s="136">
        <f t="shared" si="4"/>
        <v>1330.2045000000001</v>
      </c>
      <c r="K18" s="136">
        <f t="shared" si="5"/>
        <v>0</v>
      </c>
      <c r="L18" s="136">
        <f t="shared" si="6"/>
        <v>105.80648000000001</v>
      </c>
      <c r="M18" s="136">
        <f t="shared" si="7"/>
        <v>0</v>
      </c>
      <c r="N18" s="115"/>
      <c r="O18" s="131">
        <f>C18*ResourcesEmissions!B22</f>
        <v>1720.5080327358146</v>
      </c>
      <c r="P18" s="131">
        <f>C18*ResourcesEmissions!C22</f>
        <v>2258.4226523518892</v>
      </c>
      <c r="Q18" s="131">
        <f>C18*ResourcesEmissions!E22</f>
        <v>24309.39428895637</v>
      </c>
      <c r="R18" s="115"/>
      <c r="S18" s="131">
        <f t="shared" si="8"/>
        <v>1929.8752660545229</v>
      </c>
      <c r="T18" s="131">
        <f t="shared" si="9"/>
        <v>2566.2745810235574</v>
      </c>
      <c r="U18" s="131">
        <f t="shared" si="10"/>
        <v>27555.078130937327</v>
      </c>
      <c r="V18" s="115"/>
      <c r="W18" s="128"/>
      <c r="X18" s="128"/>
      <c r="Y18" s="128"/>
      <c r="Z18" s="115"/>
      <c r="AA18" s="126"/>
      <c r="AB18" s="126"/>
      <c r="AC18" s="126"/>
      <c r="AD18" s="115"/>
      <c r="AE18" s="126"/>
      <c r="AF18" s="126"/>
      <c r="AG18" s="126"/>
      <c r="AH18" s="115"/>
      <c r="AI18" s="128"/>
      <c r="AJ18" s="128"/>
      <c r="AK18" s="128"/>
      <c r="AL18" s="115"/>
      <c r="AM18" s="126"/>
      <c r="AN18" s="126"/>
      <c r="AO18" s="126"/>
      <c r="AP18" s="115"/>
      <c r="AQ18" s="126"/>
      <c r="AR18" s="126"/>
      <c r="AS18" s="126"/>
    </row>
    <row r="19" spans="1:45" x14ac:dyDescent="0.25">
      <c r="A19" s="94">
        <v>1964</v>
      </c>
      <c r="B19" s="139" cm="1">
        <f t="array" ref="B19">SUMPRODUCT((PARIS!$C$4:'PARIS'!$C$103=A19)*PARIS!$X$4:$X$103)+SUMPRODUCT((PARIS!$AA$4:'PARIS'!$AA$103=A19)*PARIS!$AQ$4:$AQ$103)+SUMPRODUCT((PARIS!$AB$4:'PARIS'!$AB$103=A19)*PARIS!$AQ$4:$AQ$103)</f>
        <v>0</v>
      </c>
      <c r="C19" s="139" cm="1">
        <f t="array" ref="C19">SUMPRODUCT((PARIS!$C$4:'PARIS'!$C$103=A19)*PARIS!$Y$4:$Y$103)+SUMPRODUCT((PARIS!$AA$4:'PARIS'!$AA$103=A19)*PARIS!$AR$4:$AR$103)+SUMPRODUCT((PARIS!$AB$4:'PARIS'!$AB$103=A19)*PARIS!$AR$4:$AR$103)</f>
        <v>0</v>
      </c>
      <c r="D19" s="136" cm="1">
        <f t="array" ref="D19">SUMPRODUCT((PARIS!$C$4:'PARIS'!$C$103=A19)*PARIS!$O$4:$O$103)+SUMPRODUCT((PARIS!$AA$4:'PARIS'!$AA$103=A19)*PARIS!$AM$4:$AM$103)+SUMPRODUCT((PARIS!$AB$4:'PARIS'!$AB$103=A19)*PARIS!$AM$4:$AM$103)</f>
        <v>0</v>
      </c>
      <c r="E19" s="136" cm="1">
        <f t="array" ref="E19">SUMPRODUCT((PARIS!$C$4:'PARIS'!$C$103=A19)*PARIS!$R$4:$R$103)+SUMPRODUCT((PARIS!$AA$4:'PARIS'!$AA$103=A19)*PARIS!$AP$4:$AP$103)+SUMPRODUCT((PARIS!$AB$4:'PARIS'!$AB$103=A19)*PARIS!$AP$4:$AP$103)</f>
        <v>0</v>
      </c>
      <c r="F19" s="136" cm="1">
        <f t="array" ref="F19">SUMPRODUCT((PARIS!$C$4:'PARIS'!$C$103=A19)*PARIS!$V$4:$V$103)+SUMPRODUCT((PARIS!$AA$4:'PARIS'!$AA$103=A19)*PARIS!$AS$4:$AS$103)+SUMPRODUCT((PARIS!$AB$4:'PARIS'!$AB$103=A19)*PARIS!$AS$4:$AS$103)</f>
        <v>0</v>
      </c>
      <c r="G19" s="136" cm="1">
        <f t="array" ref="G19">SUMPRODUCT((PARIS!$C$4:'PARIS'!$C$103=A19)*PARIS!$W$4:$W$103)+SUMPRODUCT((PARIS!$AA$4:'PARIS'!$AA$103=A19)*PARIS!$AT$4:$AT$103)+SUMPRODUCT((PARIS!$AB$4:'PARIS'!$AB$103=A19)*PARIS!$AT$4:$AT$103)</f>
        <v>0</v>
      </c>
      <c r="H19" s="115"/>
      <c r="I19" s="139">
        <f t="shared" si="3"/>
        <v>1330.2045000000001</v>
      </c>
      <c r="J19" s="136">
        <f t="shared" si="4"/>
        <v>1330.2045000000001</v>
      </c>
      <c r="K19" s="136">
        <f t="shared" si="5"/>
        <v>0</v>
      </c>
      <c r="L19" s="136">
        <f t="shared" si="6"/>
        <v>105.80648000000001</v>
      </c>
      <c r="M19" s="136">
        <f t="shared" si="7"/>
        <v>0</v>
      </c>
      <c r="N19" s="115"/>
      <c r="O19" s="131">
        <f>C19*ResourcesEmissions!B23</f>
        <v>0</v>
      </c>
      <c r="P19" s="131">
        <f>C19*ResourcesEmissions!C23</f>
        <v>0</v>
      </c>
      <c r="Q19" s="131">
        <f>C19*ResourcesEmissions!E23</f>
        <v>0</v>
      </c>
      <c r="R19" s="115"/>
      <c r="S19" s="131">
        <f t="shared" si="8"/>
        <v>1929.8752660545229</v>
      </c>
      <c r="T19" s="131">
        <f t="shared" si="9"/>
        <v>2566.2745810235574</v>
      </c>
      <c r="U19" s="131">
        <f t="shared" si="10"/>
        <v>27555.078130937327</v>
      </c>
      <c r="V19" s="115"/>
      <c r="W19" s="128"/>
      <c r="X19" s="128"/>
      <c r="Y19" s="128"/>
      <c r="Z19" s="115"/>
      <c r="AA19" s="126"/>
      <c r="AB19" s="126"/>
      <c r="AC19" s="126"/>
      <c r="AD19" s="115"/>
      <c r="AE19" s="126"/>
      <c r="AF19" s="126"/>
      <c r="AG19" s="126"/>
      <c r="AH19" s="115"/>
      <c r="AI19" s="128"/>
      <c r="AJ19" s="128"/>
      <c r="AK19" s="128"/>
      <c r="AL19" s="115"/>
      <c r="AM19" s="126"/>
      <c r="AN19" s="126"/>
      <c r="AO19" s="126"/>
      <c r="AP19" s="115"/>
      <c r="AQ19" s="126"/>
      <c r="AR19" s="126"/>
      <c r="AS19" s="126"/>
    </row>
    <row r="20" spans="1:45" x14ac:dyDescent="0.25">
      <c r="A20" s="94">
        <v>1965</v>
      </c>
      <c r="B20" s="139" cm="1">
        <f t="array" ref="B20">SUMPRODUCT((PARIS!$C$4:'PARIS'!$C$103=A20)*PARIS!$X$4:$X$103)+SUMPRODUCT((PARIS!$AA$4:'PARIS'!$AA$103=A20)*PARIS!$AQ$4:$AQ$103)+SUMPRODUCT((PARIS!$AB$4:'PARIS'!$AB$103=A20)*PARIS!$AQ$4:$AQ$103)</f>
        <v>0</v>
      </c>
      <c r="C20" s="139" cm="1">
        <f t="array" ref="C20">SUMPRODUCT((PARIS!$C$4:'PARIS'!$C$103=A20)*PARIS!$Y$4:$Y$103)+SUMPRODUCT((PARIS!$AA$4:'PARIS'!$AA$103=A20)*PARIS!$AR$4:$AR$103)+SUMPRODUCT((PARIS!$AB$4:'PARIS'!$AB$103=A20)*PARIS!$AR$4:$AR$103)</f>
        <v>0</v>
      </c>
      <c r="D20" s="136" cm="1">
        <f t="array" ref="D20">SUMPRODUCT((PARIS!$C$4:'PARIS'!$C$103=A20)*PARIS!$O$4:$O$103)+SUMPRODUCT((PARIS!$AA$4:'PARIS'!$AA$103=A20)*PARIS!$AM$4:$AM$103)+SUMPRODUCT((PARIS!$AB$4:'PARIS'!$AB$103=A20)*PARIS!$AM$4:$AM$103)</f>
        <v>0</v>
      </c>
      <c r="E20" s="136" cm="1">
        <f t="array" ref="E20">SUMPRODUCT((PARIS!$C$4:'PARIS'!$C$103=A20)*PARIS!$R$4:$R$103)+SUMPRODUCT((PARIS!$AA$4:'PARIS'!$AA$103=A20)*PARIS!$AP$4:$AP$103)+SUMPRODUCT((PARIS!$AB$4:'PARIS'!$AB$103=A20)*PARIS!$AP$4:$AP$103)</f>
        <v>0</v>
      </c>
      <c r="F20" s="136" cm="1">
        <f t="array" ref="F20">SUMPRODUCT((PARIS!$C$4:'PARIS'!$C$103=A20)*PARIS!$V$4:$V$103)+SUMPRODUCT((PARIS!$AA$4:'PARIS'!$AA$103=A20)*PARIS!$AS$4:$AS$103)+SUMPRODUCT((PARIS!$AB$4:'PARIS'!$AB$103=A20)*PARIS!$AS$4:$AS$103)</f>
        <v>0</v>
      </c>
      <c r="G20" s="136" cm="1">
        <f t="array" ref="G20">SUMPRODUCT((PARIS!$C$4:'PARIS'!$C$103=A20)*PARIS!$W$4:$W$103)+SUMPRODUCT((PARIS!$AA$4:'PARIS'!$AA$103=A20)*PARIS!$AT$4:$AT$103)+SUMPRODUCT((PARIS!$AB$4:'PARIS'!$AB$103=A20)*PARIS!$AT$4:$AT$103)</f>
        <v>0</v>
      </c>
      <c r="H20" s="115"/>
      <c r="I20" s="139">
        <f t="shared" si="3"/>
        <v>1330.2045000000001</v>
      </c>
      <c r="J20" s="136">
        <f t="shared" si="4"/>
        <v>1330.2045000000001</v>
      </c>
      <c r="K20" s="136">
        <f t="shared" si="5"/>
        <v>0</v>
      </c>
      <c r="L20" s="136">
        <f t="shared" si="6"/>
        <v>105.80648000000001</v>
      </c>
      <c r="M20" s="136">
        <f t="shared" si="7"/>
        <v>0</v>
      </c>
      <c r="N20" s="115"/>
      <c r="O20" s="131">
        <f>C20*ResourcesEmissions!B24</f>
        <v>0</v>
      </c>
      <c r="P20" s="131">
        <f>C20*ResourcesEmissions!C24</f>
        <v>0</v>
      </c>
      <c r="Q20" s="131">
        <f>C20*ResourcesEmissions!E24</f>
        <v>0</v>
      </c>
      <c r="R20" s="115"/>
      <c r="S20" s="131">
        <f t="shared" si="8"/>
        <v>1929.8752660545229</v>
      </c>
      <c r="T20" s="131">
        <f t="shared" si="9"/>
        <v>2566.2745810235574</v>
      </c>
      <c r="U20" s="131">
        <f t="shared" si="10"/>
        <v>27555.078130937327</v>
      </c>
      <c r="V20" s="115"/>
      <c r="W20" s="128"/>
      <c r="X20" s="128"/>
      <c r="Y20" s="128"/>
      <c r="Z20" s="115"/>
      <c r="AA20" s="126"/>
      <c r="AB20" s="126"/>
      <c r="AC20" s="126"/>
      <c r="AD20" s="115"/>
      <c r="AE20" s="126"/>
      <c r="AF20" s="126"/>
      <c r="AG20" s="126"/>
      <c r="AH20" s="115"/>
      <c r="AI20" s="128"/>
      <c r="AJ20" s="128"/>
      <c r="AK20" s="128"/>
      <c r="AL20" s="115"/>
      <c r="AM20" s="126"/>
      <c r="AN20" s="126"/>
      <c r="AO20" s="126"/>
      <c r="AP20" s="115"/>
      <c r="AQ20" s="126"/>
      <c r="AR20" s="126"/>
      <c r="AS20" s="126"/>
    </row>
    <row r="21" spans="1:45" x14ac:dyDescent="0.25">
      <c r="A21" s="94">
        <v>1966</v>
      </c>
      <c r="B21" s="139" cm="1">
        <f t="array" ref="B21">SUMPRODUCT((PARIS!$C$4:'PARIS'!$C$103=A21)*PARIS!$X$4:$X$103)+SUMPRODUCT((PARIS!$AA$4:'PARIS'!$AA$103=A21)*PARIS!$AQ$4:$AQ$103)+SUMPRODUCT((PARIS!$AB$4:'PARIS'!$AB$103=A21)*PARIS!$AQ$4:$AQ$103)</f>
        <v>20003.759999999998</v>
      </c>
      <c r="C21" s="139" cm="1">
        <f t="array" ref="C21">SUMPRODUCT((PARIS!$C$4:'PARIS'!$C$103=A21)*PARIS!$Y$4:$Y$103)+SUMPRODUCT((PARIS!$AA$4:'PARIS'!$AA$103=A21)*PARIS!$AR$4:$AR$103)+SUMPRODUCT((PARIS!$AB$4:'PARIS'!$AB$103=A21)*PARIS!$AR$4:$AR$103)</f>
        <v>400.07519999999994</v>
      </c>
      <c r="D21" s="136" cm="1">
        <f t="array" ref="D21">SUMPRODUCT((PARIS!$C$4:'PARIS'!$C$103=A21)*PARIS!$O$4:$O$103)+SUMPRODUCT((PARIS!$AA$4:'PARIS'!$AA$103=A21)*PARIS!$AM$4:$AM$103)+SUMPRODUCT((PARIS!$AB$4:'PARIS'!$AB$103=A21)*PARIS!$AM$4:$AM$103)</f>
        <v>57.153599999999983</v>
      </c>
      <c r="E21" s="136" cm="1">
        <f t="array" ref="E21">SUMPRODUCT((PARIS!$C$4:'PARIS'!$C$103=A21)*PARIS!$R$4:$R$103)+SUMPRODUCT((PARIS!$AA$4:'PARIS'!$AA$103=A21)*PARIS!$AP$4:$AP$103)+SUMPRODUCT((PARIS!$AB$4:'PARIS'!$AB$103=A21)*PARIS!$AP$4:$AP$103)</f>
        <v>342.92159999999996</v>
      </c>
      <c r="F21" s="136" cm="1">
        <f t="array" ref="F21">SUMPRODUCT((PARIS!$C$4:'PARIS'!$C$103=A21)*PARIS!$V$4:$V$103)+SUMPRODUCT((PARIS!$AA$4:'PARIS'!$AA$103=A21)*PARIS!$AS$4:$AS$103)+SUMPRODUCT((PARIS!$AB$4:'PARIS'!$AB$103=A21)*PARIS!$AS$4:$AS$103)</f>
        <v>33.984000000000002</v>
      </c>
      <c r="G21" s="136" cm="1">
        <f t="array" ref="G21">SUMPRODUCT((PARIS!$C$4:'PARIS'!$C$103=A21)*PARIS!$W$4:$W$103)+SUMPRODUCT((PARIS!$AA$4:'PARIS'!$AA$103=A21)*PARIS!$AT$4:$AT$103)+SUMPRODUCT((PARIS!$AB$4:'PARIS'!$AB$103=A21)*PARIS!$AT$4:$AT$103)</f>
        <v>20.16</v>
      </c>
      <c r="H21" s="115"/>
      <c r="I21" s="139">
        <f t="shared" si="3"/>
        <v>1730.2797</v>
      </c>
      <c r="J21" s="136">
        <f t="shared" si="4"/>
        <v>1387.3580999999999</v>
      </c>
      <c r="K21" s="136">
        <f t="shared" si="5"/>
        <v>342.92159999999996</v>
      </c>
      <c r="L21" s="136">
        <f t="shared" si="6"/>
        <v>139.79048</v>
      </c>
      <c r="M21" s="136">
        <f t="shared" si="7"/>
        <v>20.16</v>
      </c>
      <c r="N21" s="115"/>
      <c r="O21" s="131">
        <f>C21*ResourcesEmissions!B25</f>
        <v>548.16497352100077</v>
      </c>
      <c r="P21" s="131">
        <f>C21*ResourcesEmissions!C25</f>
        <v>708.54347938881131</v>
      </c>
      <c r="Q21" s="131">
        <f>C21*ResourcesEmissions!E25</f>
        <v>7664.6937125059349</v>
      </c>
      <c r="R21" s="115"/>
      <c r="S21" s="131">
        <f t="shared" si="8"/>
        <v>2478.0402395755236</v>
      </c>
      <c r="T21" s="131">
        <f t="shared" si="9"/>
        <v>3274.8180604123686</v>
      </c>
      <c r="U21" s="131">
        <f t="shared" si="10"/>
        <v>35219.771843443261</v>
      </c>
      <c r="V21" s="115"/>
      <c r="W21" s="128"/>
      <c r="X21" s="128"/>
      <c r="Y21" s="128"/>
      <c r="Z21" s="115"/>
      <c r="AA21" s="126"/>
      <c r="AB21" s="126"/>
      <c r="AC21" s="126"/>
      <c r="AD21" s="115"/>
      <c r="AE21" s="126"/>
      <c r="AF21" s="126"/>
      <c r="AG21" s="126"/>
      <c r="AH21" s="115"/>
      <c r="AI21" s="128"/>
      <c r="AJ21" s="128"/>
      <c r="AK21" s="128"/>
      <c r="AL21" s="115"/>
      <c r="AM21" s="126"/>
      <c r="AN21" s="126"/>
      <c r="AO21" s="126"/>
      <c r="AP21" s="115"/>
      <c r="AQ21" s="126"/>
      <c r="AR21" s="126"/>
      <c r="AS21" s="126"/>
    </row>
    <row r="22" spans="1:45" x14ac:dyDescent="0.25">
      <c r="A22" s="94">
        <v>1967</v>
      </c>
      <c r="B22" s="139" cm="1">
        <f t="array" ref="B22">SUMPRODUCT((PARIS!$C$4:'PARIS'!$C$103=A22)*PARIS!$X$4:$X$103)+SUMPRODUCT((PARIS!$AA$4:'PARIS'!$AA$103=A22)*PARIS!$AQ$4:$AQ$103)+SUMPRODUCT((PARIS!$AB$4:'PARIS'!$AB$103=A22)*PARIS!$AQ$4:$AQ$103)</f>
        <v>9484.7999999999993</v>
      </c>
      <c r="C22" s="139" cm="1">
        <f t="array" ref="C22">SUMPRODUCT((PARIS!$C$4:'PARIS'!$C$103=A22)*PARIS!$Y$4:$Y$103)+SUMPRODUCT((PARIS!$AA$4:'PARIS'!$AA$103=A22)*PARIS!$AR$4:$AR$103)+SUMPRODUCT((PARIS!$AB$4:'PARIS'!$AB$103=A22)*PARIS!$AR$4:$AR$103)</f>
        <v>189.69599999999997</v>
      </c>
      <c r="D22" s="136" cm="1">
        <f t="array" ref="D22">SUMPRODUCT((PARIS!$C$4:'PARIS'!$C$103=A22)*PARIS!$O$4:$O$103)+SUMPRODUCT((PARIS!$AA$4:'PARIS'!$AA$103=A22)*PARIS!$AM$4:$AM$103)+SUMPRODUCT((PARIS!$AB$4:'PARIS'!$AB$103=A22)*PARIS!$AM$4:$AM$103)</f>
        <v>39.519999999999996</v>
      </c>
      <c r="E22" s="136" cm="1">
        <f t="array" ref="E22">SUMPRODUCT((PARIS!$C$4:'PARIS'!$C$103=A22)*PARIS!$R$4:$R$103)+SUMPRODUCT((PARIS!$AA$4:'PARIS'!$AA$103=A22)*PARIS!$AP$4:$AP$103)+SUMPRODUCT((PARIS!$AB$4:'PARIS'!$AB$103=A22)*PARIS!$AP$4:$AP$103)</f>
        <v>150.17599999999999</v>
      </c>
      <c r="F22" s="136" cm="1">
        <f t="array" ref="F22">SUMPRODUCT((PARIS!$C$4:'PARIS'!$C$103=A22)*PARIS!$V$4:$V$103)+SUMPRODUCT((PARIS!$AA$4:'PARIS'!$AA$103=A22)*PARIS!$AS$4:$AS$103)+SUMPRODUCT((PARIS!$AB$4:'PARIS'!$AB$103=A22)*PARIS!$AS$4:$AS$103)</f>
        <v>19.364800000000002</v>
      </c>
      <c r="G22" s="136" cm="1">
        <f t="array" ref="G22">SUMPRODUCT((PARIS!$C$4:'PARIS'!$C$103=A22)*PARIS!$W$4:$W$103)+SUMPRODUCT((PARIS!$AA$4:'PARIS'!$AA$103=A22)*PARIS!$AT$4:$AT$103)+SUMPRODUCT((PARIS!$AB$4:'PARIS'!$AB$103=A22)*PARIS!$AT$4:$AT$103)</f>
        <v>11.460799999999999</v>
      </c>
      <c r="H22" s="115"/>
      <c r="I22" s="139">
        <f t="shared" si="3"/>
        <v>1919.9757</v>
      </c>
      <c r="J22" s="136">
        <f t="shared" si="4"/>
        <v>1426.8780999999999</v>
      </c>
      <c r="K22" s="136">
        <f t="shared" si="5"/>
        <v>493.09759999999994</v>
      </c>
      <c r="L22" s="136">
        <f t="shared" si="6"/>
        <v>159.15528</v>
      </c>
      <c r="M22" s="136">
        <f t="shared" si="7"/>
        <v>31.620799999999999</v>
      </c>
      <c r="N22" s="115"/>
      <c r="O22" s="131">
        <f>C22*ResourcesEmissions!B26</f>
        <v>259.68756320455356</v>
      </c>
      <c r="P22" s="131">
        <f>C22*ResourcesEmissions!C26</f>
        <v>328.05511956492404</v>
      </c>
      <c r="Q22" s="131">
        <f>C22*ResourcesEmissions!E26</f>
        <v>3547.9212973860099</v>
      </c>
      <c r="R22" s="115"/>
      <c r="S22" s="131">
        <f t="shared" si="8"/>
        <v>2737.7278027800771</v>
      </c>
      <c r="T22" s="131">
        <f t="shared" si="9"/>
        <v>3602.8731799772927</v>
      </c>
      <c r="U22" s="131">
        <f t="shared" si="10"/>
        <v>38767.693140829273</v>
      </c>
      <c r="V22" s="115"/>
      <c r="W22" s="128"/>
      <c r="X22" s="128"/>
      <c r="Y22" s="128"/>
      <c r="Z22" s="115"/>
      <c r="AA22" s="126"/>
      <c r="AB22" s="126"/>
      <c r="AC22" s="126"/>
      <c r="AD22" s="115"/>
      <c r="AE22" s="126"/>
      <c r="AF22" s="126"/>
      <c r="AG22" s="126"/>
      <c r="AH22" s="115"/>
      <c r="AI22" s="128"/>
      <c r="AJ22" s="128"/>
      <c r="AK22" s="128"/>
      <c r="AL22" s="115"/>
      <c r="AM22" s="126"/>
      <c r="AN22" s="126"/>
      <c r="AO22" s="126"/>
      <c r="AP22" s="115"/>
      <c r="AQ22" s="126"/>
      <c r="AR22" s="126"/>
      <c r="AS22" s="126"/>
    </row>
    <row r="23" spans="1:45" x14ac:dyDescent="0.25">
      <c r="A23" s="94">
        <v>1968</v>
      </c>
      <c r="B23" s="139" cm="1">
        <f t="array" ref="B23">SUMPRODUCT((PARIS!$C$4:'PARIS'!$C$103=A23)*PARIS!$X$4:$X$103)+SUMPRODUCT((PARIS!$AA$4:'PARIS'!$AA$103=A23)*PARIS!$AQ$4:$AQ$103)+SUMPRODUCT((PARIS!$AB$4:'PARIS'!$AB$103=A23)*PARIS!$AQ$4:$AQ$103)</f>
        <v>6911.52</v>
      </c>
      <c r="C23" s="139" cm="1">
        <f t="array" ref="C23">SUMPRODUCT((PARIS!$C$4:'PARIS'!$C$103=A23)*PARIS!$Y$4:$Y$103)+SUMPRODUCT((PARIS!$AA$4:'PARIS'!$AA$103=A23)*PARIS!$AR$4:$AR$103)+SUMPRODUCT((PARIS!$AB$4:'PARIS'!$AB$103=A23)*PARIS!$AR$4:$AR$103)</f>
        <v>138.2304</v>
      </c>
      <c r="D23" s="136" cm="1">
        <f t="array" ref="D23">SUMPRODUCT((PARIS!$C$4:'PARIS'!$C$103=A23)*PARIS!$O$4:$O$103)+SUMPRODUCT((PARIS!$AA$4:'PARIS'!$AA$103=A23)*PARIS!$AM$4:$AM$103)+SUMPRODUCT((PARIS!$AB$4:'PARIS'!$AB$103=A23)*PARIS!$AM$4:$AM$103)</f>
        <v>0</v>
      </c>
      <c r="E23" s="136" cm="1">
        <f t="array" ref="E23">SUMPRODUCT((PARIS!$C$4:'PARIS'!$C$103=A23)*PARIS!$R$4:$R$103)+SUMPRODUCT((PARIS!$AA$4:'PARIS'!$AA$103=A23)*PARIS!$AP$4:$AP$103)+SUMPRODUCT((PARIS!$AB$4:'PARIS'!$AB$103=A23)*PARIS!$AP$4:$AP$103)</f>
        <v>138.2304</v>
      </c>
      <c r="F23" s="136" cm="1">
        <f t="array" ref="F23">SUMPRODUCT((PARIS!$C$4:'PARIS'!$C$103=A23)*PARIS!$V$4:$V$103)+SUMPRODUCT((PARIS!$AA$4:'PARIS'!$AA$103=A23)*PARIS!$AS$4:$AS$103)+SUMPRODUCT((PARIS!$AB$4:'PARIS'!$AB$103=A23)*PARIS!$AS$4:$AS$103)</f>
        <v>7.7492800000000006</v>
      </c>
      <c r="G23" s="136" cm="1">
        <f t="array" ref="G23">SUMPRODUCT((PARIS!$C$4:'PARIS'!$C$103=A23)*PARIS!$W$4:$W$103)+SUMPRODUCT((PARIS!$AA$4:'PARIS'!$AA$103=A23)*PARIS!$AT$4:$AT$103)+SUMPRODUCT((PARIS!$AB$4:'PARIS'!$AB$103=A23)*PARIS!$AT$4:$AT$103)</f>
        <v>7.7492800000000006</v>
      </c>
      <c r="H23" s="115"/>
      <c r="I23" s="139">
        <f t="shared" si="3"/>
        <v>2058.2060999999999</v>
      </c>
      <c r="J23" s="136">
        <f t="shared" si="4"/>
        <v>1426.8780999999999</v>
      </c>
      <c r="K23" s="136">
        <f t="shared" si="5"/>
        <v>631.32799999999997</v>
      </c>
      <c r="L23" s="136">
        <f t="shared" si="6"/>
        <v>166.90456</v>
      </c>
      <c r="M23" s="136">
        <f t="shared" si="7"/>
        <v>39.370080000000002</v>
      </c>
      <c r="N23" s="115"/>
      <c r="O23" s="131">
        <f>C23*ResourcesEmissions!B27</f>
        <v>189.17672472436493</v>
      </c>
      <c r="P23" s="131">
        <f>C23*ResourcesEmissions!C27</f>
        <v>233.2924357669757</v>
      </c>
      <c r="Q23" s="131">
        <f>C23*ResourcesEmissions!E27</f>
        <v>2521.901870514127</v>
      </c>
      <c r="R23" s="115"/>
      <c r="S23" s="131">
        <f t="shared" si="8"/>
        <v>2926.9045275044418</v>
      </c>
      <c r="T23" s="131">
        <f t="shared" si="9"/>
        <v>3836.1656157442685</v>
      </c>
      <c r="U23" s="131">
        <f t="shared" si="10"/>
        <v>41289.595011343401</v>
      </c>
      <c r="V23" s="115"/>
      <c r="W23" s="128"/>
      <c r="X23" s="128"/>
      <c r="Y23" s="128"/>
      <c r="Z23" s="115"/>
      <c r="AA23" s="126"/>
      <c r="AB23" s="126"/>
      <c r="AC23" s="126"/>
      <c r="AD23" s="115"/>
      <c r="AE23" s="126"/>
      <c r="AF23" s="126"/>
      <c r="AG23" s="126"/>
      <c r="AH23" s="115"/>
      <c r="AI23" s="128"/>
      <c r="AJ23" s="128"/>
      <c r="AK23" s="128"/>
      <c r="AL23" s="115"/>
      <c r="AM23" s="126"/>
      <c r="AN23" s="126"/>
      <c r="AO23" s="126"/>
      <c r="AP23" s="115"/>
      <c r="AQ23" s="126"/>
      <c r="AR23" s="126"/>
      <c r="AS23" s="126"/>
    </row>
    <row r="24" spans="1:45" x14ac:dyDescent="0.25">
      <c r="A24" s="94">
        <v>1969</v>
      </c>
      <c r="B24" s="139" cm="1">
        <f t="array" ref="B24">SUMPRODUCT((PARIS!$C$4:'PARIS'!$C$103=A24)*PARIS!$X$4:$X$103)+SUMPRODUCT((PARIS!$AA$4:'PARIS'!$AA$103=A24)*PARIS!$AQ$4:$AQ$103)+SUMPRODUCT((PARIS!$AB$4:'PARIS'!$AB$103=A24)*PARIS!$AQ$4:$AQ$103)</f>
        <v>12350</v>
      </c>
      <c r="C24" s="139" cm="1">
        <f t="array" ref="C24">SUMPRODUCT((PARIS!$C$4:'PARIS'!$C$103=A24)*PARIS!$Y$4:$Y$103)+SUMPRODUCT((PARIS!$AA$4:'PARIS'!$AA$103=A24)*PARIS!$AR$4:$AR$103)+SUMPRODUCT((PARIS!$AB$4:'PARIS'!$AB$103=A24)*PARIS!$AR$4:$AR$103)</f>
        <v>247</v>
      </c>
      <c r="D24" s="136" cm="1">
        <f t="array" ref="D24">SUMPRODUCT((PARIS!$C$4:'PARIS'!$C$103=A24)*PARIS!$O$4:$O$103)+SUMPRODUCT((PARIS!$AA$4:'PARIS'!$AA$103=A24)*PARIS!$AM$4:$AM$103)+SUMPRODUCT((PARIS!$AB$4:'PARIS'!$AB$103=A24)*PARIS!$AM$4:$AM$103)</f>
        <v>0</v>
      </c>
      <c r="E24" s="136" cm="1">
        <f t="array" ref="E24">SUMPRODUCT((PARIS!$C$4:'PARIS'!$C$103=A24)*PARIS!$R$4:$R$103)+SUMPRODUCT((PARIS!$AA$4:'PARIS'!$AA$103=A24)*PARIS!$AP$4:$AP$103)+SUMPRODUCT((PARIS!$AB$4:'PARIS'!$AB$103=A24)*PARIS!$AP$4:$AP$103)</f>
        <v>247</v>
      </c>
      <c r="F24" s="136" cm="1">
        <f t="array" ref="F24">SUMPRODUCT((PARIS!$C$4:'PARIS'!$C$103=A24)*PARIS!$V$4:$V$103)+SUMPRODUCT((PARIS!$AA$4:'PARIS'!$AA$103=A24)*PARIS!$AS$4:$AS$103)+SUMPRODUCT((PARIS!$AB$4:'PARIS'!$AB$103=A24)*PARIS!$AS$4:$AS$103)</f>
        <v>18.999999999999996</v>
      </c>
      <c r="G24" s="136" cm="1">
        <f t="array" ref="G24">SUMPRODUCT((PARIS!$C$4:'PARIS'!$C$103=A24)*PARIS!$W$4:$W$103)+SUMPRODUCT((PARIS!$AA$4:'PARIS'!$AA$103=A24)*PARIS!$AT$4:$AT$103)+SUMPRODUCT((PARIS!$AB$4:'PARIS'!$AB$103=A24)*PARIS!$AT$4:$AT$103)</f>
        <v>18.999999999999996</v>
      </c>
      <c r="H24" s="115"/>
      <c r="I24" s="139">
        <f t="shared" si="3"/>
        <v>2305.2060999999999</v>
      </c>
      <c r="J24" s="136">
        <f t="shared" si="4"/>
        <v>1426.8780999999999</v>
      </c>
      <c r="K24" s="136">
        <f t="shared" si="5"/>
        <v>878.32799999999997</v>
      </c>
      <c r="L24" s="136">
        <f t="shared" si="6"/>
        <v>185.90456</v>
      </c>
      <c r="M24" s="136">
        <f t="shared" si="7"/>
        <v>58.370080000000002</v>
      </c>
      <c r="N24" s="115"/>
      <c r="O24" s="131">
        <f>C24*ResourcesEmissions!B28</f>
        <v>339.50940853788398</v>
      </c>
      <c r="P24" s="131">
        <f>C24*ResourcesEmissions!C28</f>
        <v>405.99248885818679</v>
      </c>
      <c r="Q24" s="131">
        <f>C24*ResourcesEmissions!E28</f>
        <v>4389.2208977509727</v>
      </c>
      <c r="R24" s="115"/>
      <c r="S24" s="131">
        <f t="shared" si="8"/>
        <v>3266.413936042326</v>
      </c>
      <c r="T24" s="131">
        <f t="shared" si="9"/>
        <v>4242.1581046024548</v>
      </c>
      <c r="U24" s="131">
        <f t="shared" si="10"/>
        <v>45678.815909094374</v>
      </c>
      <c r="V24" s="115"/>
      <c r="W24" s="128"/>
      <c r="X24" s="128"/>
      <c r="Y24" s="128"/>
      <c r="Z24" s="115"/>
      <c r="AA24" s="126"/>
      <c r="AB24" s="126"/>
      <c r="AC24" s="126"/>
      <c r="AD24" s="115"/>
      <c r="AE24" s="126"/>
      <c r="AF24" s="126"/>
      <c r="AG24" s="126"/>
      <c r="AH24" s="115"/>
      <c r="AI24" s="128"/>
      <c r="AJ24" s="128"/>
      <c r="AK24" s="128"/>
      <c r="AL24" s="115"/>
      <c r="AM24" s="126"/>
      <c r="AN24" s="126"/>
      <c r="AO24" s="126"/>
      <c r="AP24" s="115"/>
      <c r="AQ24" s="126"/>
      <c r="AR24" s="126"/>
      <c r="AS24" s="126"/>
    </row>
    <row r="25" spans="1:45" x14ac:dyDescent="0.25">
      <c r="A25" s="94">
        <v>1970</v>
      </c>
      <c r="B25" s="139" cm="1">
        <f t="array" ref="B25">SUMPRODUCT((PARIS!$C$4:'PARIS'!$C$103=A25)*PARIS!$X$4:$X$103)+SUMPRODUCT((PARIS!$AA$4:'PARIS'!$AA$103=A25)*PARIS!$AQ$4:$AQ$103)+SUMPRODUCT((PARIS!$AB$4:'PARIS'!$AB$103=A25)*PARIS!$AQ$4:$AQ$103)</f>
        <v>34085</v>
      </c>
      <c r="C25" s="139" cm="1">
        <f t="array" ref="C25">SUMPRODUCT((PARIS!$C$4:'PARIS'!$C$103=A25)*PARIS!$Y$4:$Y$103)+SUMPRODUCT((PARIS!$AA$4:'PARIS'!$AA$103=A25)*PARIS!$AR$4:$AR$103)+SUMPRODUCT((PARIS!$AB$4:'PARIS'!$AB$103=A25)*PARIS!$AR$4:$AR$103)</f>
        <v>690.42499999999995</v>
      </c>
      <c r="D25" s="136" cm="1">
        <f t="array" ref="D25">SUMPRODUCT((PARIS!$C$4:'PARIS'!$C$103=A25)*PARIS!$O$4:$O$103)+SUMPRODUCT((PARIS!$AA$4:'PARIS'!$AA$103=A25)*PARIS!$AM$4:$AM$103)+SUMPRODUCT((PARIS!$AB$4:'PARIS'!$AB$103=A25)*PARIS!$AM$4:$AM$103)</f>
        <v>43.125</v>
      </c>
      <c r="E25" s="136" cm="1">
        <f t="array" ref="E25">SUMPRODUCT((PARIS!$C$4:'PARIS'!$C$103=A25)*PARIS!$R$4:$R$103)+SUMPRODUCT((PARIS!$AA$4:'PARIS'!$AA$103=A25)*PARIS!$AP$4:$AP$103)+SUMPRODUCT((PARIS!$AB$4:'PARIS'!$AB$103=A25)*PARIS!$AP$4:$AP$103)</f>
        <v>647.29999999999995</v>
      </c>
      <c r="F25" s="136" cm="1">
        <f t="array" ref="F25">SUMPRODUCT((PARIS!$C$4:'PARIS'!$C$103=A25)*PARIS!$V$4:$V$103)+SUMPRODUCT((PARIS!$AA$4:'PARIS'!$AA$103=A25)*PARIS!$AS$4:$AS$103)+SUMPRODUCT((PARIS!$AB$4:'PARIS'!$AB$103=A25)*PARIS!$AS$4:$AS$103)</f>
        <v>46.395000000000003</v>
      </c>
      <c r="G25" s="136" cm="1">
        <f t="array" ref="G25">SUMPRODUCT((PARIS!$C$4:'PARIS'!$C$103=A25)*PARIS!$W$4:$W$103)+SUMPRODUCT((PARIS!$AA$4:'PARIS'!$AA$103=A25)*PARIS!$AT$4:$AT$103)+SUMPRODUCT((PARIS!$AB$4:'PARIS'!$AB$103=A25)*PARIS!$AT$4:$AT$103)</f>
        <v>41.61333333333333</v>
      </c>
      <c r="H25" s="115"/>
      <c r="I25" s="139">
        <f t="shared" si="3"/>
        <v>2995.6310999999996</v>
      </c>
      <c r="J25" s="136">
        <f t="shared" si="4"/>
        <v>1470.0030999999999</v>
      </c>
      <c r="K25" s="136">
        <f t="shared" si="5"/>
        <v>1525.6279999999999</v>
      </c>
      <c r="L25" s="136">
        <f t="shared" si="6"/>
        <v>232.29956000000001</v>
      </c>
      <c r="M25" s="136">
        <f t="shared" si="7"/>
        <v>99.983413333333331</v>
      </c>
      <c r="N25" s="115"/>
      <c r="O25" s="131">
        <f>C25*ResourcesEmissions!B29</f>
        <v>953.13385774297114</v>
      </c>
      <c r="P25" s="131">
        <f>C25*ResourcesEmissions!C29</f>
        <v>1101.2278749999998</v>
      </c>
      <c r="Q25" s="131">
        <f>C25*ResourcesEmissions!E29</f>
        <v>11923.639749999998</v>
      </c>
      <c r="R25" s="115"/>
      <c r="S25" s="131">
        <f t="shared" si="8"/>
        <v>4219.5477937852975</v>
      </c>
      <c r="T25" s="131">
        <f t="shared" si="9"/>
        <v>5343.3859796024544</v>
      </c>
      <c r="U25" s="131">
        <f t="shared" si="10"/>
        <v>57602.455659094368</v>
      </c>
      <c r="V25" s="115"/>
      <c r="W25" s="128"/>
      <c r="X25" s="128"/>
      <c r="Y25" s="128"/>
      <c r="Z25" s="115"/>
      <c r="AA25" s="126"/>
      <c r="AB25" s="126"/>
      <c r="AC25" s="126"/>
      <c r="AD25" s="115"/>
      <c r="AE25" s="126"/>
      <c r="AF25" s="126"/>
      <c r="AG25" s="126"/>
      <c r="AH25" s="115"/>
      <c r="AI25" s="128"/>
      <c r="AJ25" s="128"/>
      <c r="AK25" s="128"/>
      <c r="AL25" s="115"/>
      <c r="AM25" s="126"/>
      <c r="AN25" s="126"/>
      <c r="AO25" s="126"/>
      <c r="AP25" s="115"/>
      <c r="AQ25" s="126"/>
      <c r="AR25" s="126"/>
      <c r="AS25" s="126"/>
    </row>
    <row r="26" spans="1:45" x14ac:dyDescent="0.25">
      <c r="A26" s="94">
        <v>1971</v>
      </c>
      <c r="B26" s="139" cm="1">
        <f t="array" ref="B26">SUMPRODUCT((PARIS!$C$4:'PARIS'!$C$103=A26)*PARIS!$X$4:$X$103)+SUMPRODUCT((PARIS!$AA$4:'PARIS'!$AA$103=A26)*PARIS!$AQ$4:$AQ$103)+SUMPRODUCT((PARIS!$AB$4:'PARIS'!$AB$103=A26)*PARIS!$AQ$4:$AQ$103)</f>
        <v>14917.600000000002</v>
      </c>
      <c r="C26" s="139" cm="1">
        <f t="array" ref="C26">SUMPRODUCT((PARIS!$C$4:'PARIS'!$C$103=A26)*PARIS!$Y$4:$Y$103)+SUMPRODUCT((PARIS!$AA$4:'PARIS'!$AA$103=A26)*PARIS!$AR$4:$AR$103)+SUMPRODUCT((PARIS!$AB$4:'PARIS'!$AB$103=A26)*PARIS!$AR$4:$AR$103)</f>
        <v>277.988</v>
      </c>
      <c r="D26" s="136" cm="1">
        <f t="array" ref="D26">SUMPRODUCT((PARIS!$C$4:'PARIS'!$C$103=A26)*PARIS!$O$4:$O$103)+SUMPRODUCT((PARIS!$AA$4:'PARIS'!$AA$103=A26)*PARIS!$AM$4:$AM$103)+SUMPRODUCT((PARIS!$AB$4:'PARIS'!$AB$103=A26)*PARIS!$AM$4:$AM$103)</f>
        <v>61.092000000000006</v>
      </c>
      <c r="E26" s="136" cm="1">
        <f t="array" ref="E26">SUMPRODUCT((PARIS!$C$4:'PARIS'!$C$103=A26)*PARIS!$R$4:$R$103)+SUMPRODUCT((PARIS!$AA$4:'PARIS'!$AA$103=A26)*PARIS!$AP$4:$AP$103)+SUMPRODUCT((PARIS!$AB$4:'PARIS'!$AB$103=A26)*PARIS!$AP$4:$AP$103)</f>
        <v>216.89600000000002</v>
      </c>
      <c r="F26" s="136" cm="1">
        <f t="array" ref="F26">SUMPRODUCT((PARIS!$C$4:'PARIS'!$C$103=A26)*PARIS!$V$4:$V$103)+SUMPRODUCT((PARIS!$AA$4:'PARIS'!$AA$103=A26)*PARIS!$AS$4:$AS$103)+SUMPRODUCT((PARIS!$AB$4:'PARIS'!$AB$103=A26)*PARIS!$AS$4:$AS$103)</f>
        <v>13.804</v>
      </c>
      <c r="G26" s="136" cm="1">
        <f t="array" ref="G26">SUMPRODUCT((PARIS!$C$4:'PARIS'!$C$103=A26)*PARIS!$W$4:$W$103)+SUMPRODUCT((PARIS!$AA$4:'PARIS'!$AA$103=A26)*PARIS!$AT$4:$AT$103)+SUMPRODUCT((PARIS!$AB$4:'PARIS'!$AB$103=A26)*PARIS!$AT$4:$AT$103)</f>
        <v>14.459733333333334</v>
      </c>
      <c r="H26" s="115"/>
      <c r="I26" s="139">
        <f t="shared" si="3"/>
        <v>3273.6190999999994</v>
      </c>
      <c r="J26" s="136">
        <f t="shared" si="4"/>
        <v>1531.0951</v>
      </c>
      <c r="K26" s="136">
        <f t="shared" si="5"/>
        <v>1742.5239999999999</v>
      </c>
      <c r="L26" s="136">
        <f t="shared" si="6"/>
        <v>246.10356000000002</v>
      </c>
      <c r="M26" s="136">
        <f t="shared" si="7"/>
        <v>114.44314666666666</v>
      </c>
      <c r="N26" s="115"/>
      <c r="O26" s="131">
        <f>C26*ResourcesEmissions!B30</f>
        <v>382.25079392722432</v>
      </c>
      <c r="P26" s="131">
        <f>C26*ResourcesEmissions!C30</f>
        <v>427.30748235125111</v>
      </c>
      <c r="Q26" s="131">
        <f>C26*ResourcesEmissions!E30</f>
        <v>4645.6111062546406</v>
      </c>
      <c r="R26" s="115"/>
      <c r="S26" s="131">
        <f t="shared" si="8"/>
        <v>4601.798587712522</v>
      </c>
      <c r="T26" s="131">
        <f t="shared" si="9"/>
        <v>5770.693461953706</v>
      </c>
      <c r="U26" s="131">
        <f t="shared" si="10"/>
        <v>62248.066765349009</v>
      </c>
      <c r="V26" s="115"/>
      <c r="W26" s="128"/>
      <c r="X26" s="128"/>
      <c r="Y26" s="128"/>
      <c r="Z26" s="115"/>
      <c r="AA26" s="126"/>
      <c r="AB26" s="126"/>
      <c r="AC26" s="126"/>
      <c r="AD26" s="115"/>
      <c r="AE26" s="126"/>
      <c r="AF26" s="126"/>
      <c r="AG26" s="126"/>
      <c r="AH26" s="115"/>
      <c r="AI26" s="128"/>
      <c r="AJ26" s="128"/>
      <c r="AK26" s="128"/>
      <c r="AL26" s="115"/>
      <c r="AM26" s="126"/>
      <c r="AN26" s="126"/>
      <c r="AO26" s="126"/>
      <c r="AP26" s="115"/>
      <c r="AQ26" s="126"/>
      <c r="AR26" s="126"/>
      <c r="AS26" s="126"/>
    </row>
    <row r="27" spans="1:45" x14ac:dyDescent="0.25">
      <c r="A27" s="94">
        <v>1972</v>
      </c>
      <c r="B27" s="139" cm="1">
        <f t="array" ref="B27">SUMPRODUCT((PARIS!$C$4:'PARIS'!$C$103=A27)*PARIS!$X$4:$X$103)+SUMPRODUCT((PARIS!$AA$4:'PARIS'!$AA$103=A27)*PARIS!$AQ$4:$AQ$103)+SUMPRODUCT((PARIS!$AB$4:'PARIS'!$AB$103=A27)*PARIS!$AQ$4:$AQ$103)</f>
        <v>60674</v>
      </c>
      <c r="C27" s="139" cm="1">
        <f t="array" ref="C27">SUMPRODUCT((PARIS!$C$4:'PARIS'!$C$103=A27)*PARIS!$Y$4:$Y$103)+SUMPRODUCT((PARIS!$AA$4:'PARIS'!$AA$103=A27)*PARIS!$AR$4:$AR$103)+SUMPRODUCT((PARIS!$AB$4:'PARIS'!$AB$103=A27)*PARIS!$AR$4:$AR$103)</f>
        <v>1164.6249999999998</v>
      </c>
      <c r="D27" s="136" cm="1">
        <f t="array" ref="D27">SUMPRODUCT((PARIS!$C$4:'PARIS'!$C$103=A27)*PARIS!$O$4:$O$103)+SUMPRODUCT((PARIS!$AA$4:'PARIS'!$AA$103=A27)*PARIS!$AM$4:$AM$103)+SUMPRODUCT((PARIS!$AB$4:'PARIS'!$AB$103=A27)*PARIS!$AM$4:$AM$103)</f>
        <v>134.86499999999998</v>
      </c>
      <c r="E27" s="136" cm="1">
        <f t="array" ref="E27">SUMPRODUCT((PARIS!$C$4:'PARIS'!$C$103=A27)*PARIS!$R$4:$R$103)+SUMPRODUCT((PARIS!$AA$4:'PARIS'!$AA$103=A27)*PARIS!$AP$4:$AP$103)+SUMPRODUCT((PARIS!$AB$4:'PARIS'!$AB$103=A27)*PARIS!$AP$4:$AP$103)</f>
        <v>1029.7599999999998</v>
      </c>
      <c r="F27" s="136" cm="1">
        <f t="array" ref="F27">SUMPRODUCT((PARIS!$C$4:'PARIS'!$C$103=A27)*PARIS!$V$4:$V$103)+SUMPRODUCT((PARIS!$AA$4:'PARIS'!$AA$103=A27)*PARIS!$AS$4:$AS$103)+SUMPRODUCT((PARIS!$AB$4:'PARIS'!$AB$103=A27)*PARIS!$AS$4:$AS$103)</f>
        <v>59.177000000000007</v>
      </c>
      <c r="G27" s="136" cm="1">
        <f t="array" ref="G27">SUMPRODUCT((PARIS!$C$4:'PARIS'!$C$103=A27)*PARIS!$W$4:$W$103)+SUMPRODUCT((PARIS!$AA$4:'PARIS'!$AA$103=A27)*PARIS!$AT$4:$AT$103)+SUMPRODUCT((PARIS!$AB$4:'PARIS'!$AB$103=A27)*PARIS!$AT$4:$AT$103)</f>
        <v>68.650666666666666</v>
      </c>
      <c r="H27" s="115"/>
      <c r="I27" s="139">
        <f t="shared" si="3"/>
        <v>4438.244099999999</v>
      </c>
      <c r="J27" s="136">
        <f t="shared" si="4"/>
        <v>1665.9601</v>
      </c>
      <c r="K27" s="136">
        <f t="shared" si="5"/>
        <v>2772.2839999999997</v>
      </c>
      <c r="L27" s="136">
        <f t="shared" si="6"/>
        <v>305.28056000000004</v>
      </c>
      <c r="M27" s="136">
        <f t="shared" si="7"/>
        <v>183.09381333333334</v>
      </c>
      <c r="N27" s="115"/>
      <c r="O27" s="131">
        <f>C27*ResourcesEmissions!B31</f>
        <v>1593.4525288123614</v>
      </c>
      <c r="P27" s="131">
        <f>C27*ResourcesEmissions!C31</f>
        <v>1713.1710375794362</v>
      </c>
      <c r="Q27" s="131">
        <f>C27*ResourcesEmissions!E31</f>
        <v>18750.511351817826</v>
      </c>
      <c r="R27" s="115"/>
      <c r="S27" s="131">
        <f t="shared" si="8"/>
        <v>6195.2511165248834</v>
      </c>
      <c r="T27" s="131">
        <f t="shared" si="9"/>
        <v>7483.8644995331424</v>
      </c>
      <c r="U27" s="131">
        <f t="shared" si="10"/>
        <v>80998.578117166835</v>
      </c>
      <c r="V27" s="115"/>
      <c r="W27" s="128"/>
      <c r="X27" s="128"/>
      <c r="Y27" s="128"/>
      <c r="Z27" s="115"/>
      <c r="AA27" s="126"/>
      <c r="AB27" s="126"/>
      <c r="AC27" s="126"/>
      <c r="AD27" s="115"/>
      <c r="AE27" s="126"/>
      <c r="AF27" s="126"/>
      <c r="AG27" s="126"/>
      <c r="AH27" s="115"/>
      <c r="AI27" s="128"/>
      <c r="AJ27" s="128"/>
      <c r="AK27" s="128"/>
      <c r="AL27" s="115"/>
      <c r="AM27" s="126"/>
      <c r="AN27" s="126"/>
      <c r="AO27" s="126"/>
      <c r="AP27" s="115"/>
      <c r="AQ27" s="126"/>
      <c r="AR27" s="126"/>
      <c r="AS27" s="126"/>
    </row>
    <row r="28" spans="1:45" x14ac:dyDescent="0.25">
      <c r="A28" s="94">
        <v>1973</v>
      </c>
      <c r="B28" s="139" cm="1">
        <f t="array" ref="B28">SUMPRODUCT((PARIS!$C$4:'PARIS'!$C$103=A28)*PARIS!$X$4:$X$103)+SUMPRODUCT((PARIS!$AA$4:'PARIS'!$AA$103=A28)*PARIS!$AQ$4:$AQ$103)+SUMPRODUCT((PARIS!$AB$4:'PARIS'!$AB$103=A28)*PARIS!$AQ$4:$AQ$103)</f>
        <v>34650</v>
      </c>
      <c r="C28" s="139" cm="1">
        <f t="array" ref="C28">SUMPRODUCT((PARIS!$C$4:'PARIS'!$C$103=A28)*PARIS!$Y$4:$Y$103)+SUMPRODUCT((PARIS!$AA$4:'PARIS'!$AA$103=A28)*PARIS!$AR$4:$AR$103)+SUMPRODUCT((PARIS!$AB$4:'PARIS'!$AB$103=A28)*PARIS!$AR$4:$AR$103)</f>
        <v>568.54999999999995</v>
      </c>
      <c r="D28" s="136" cm="1">
        <f t="array" ref="D28">SUMPRODUCT((PARIS!$C$4:'PARIS'!$C$103=A28)*PARIS!$O$4:$O$103)+SUMPRODUCT((PARIS!$AA$4:'PARIS'!$AA$103=A28)*PARIS!$AM$4:$AM$103)+SUMPRODUCT((PARIS!$AB$4:'PARIS'!$AB$103=A28)*PARIS!$AM$4:$AM$103)</f>
        <v>62.65</v>
      </c>
      <c r="E28" s="136" cm="1">
        <f t="array" ref="E28">SUMPRODUCT((PARIS!$C$4:'PARIS'!$C$103=A28)*PARIS!$R$4:$R$103)+SUMPRODUCT((PARIS!$AA$4:'PARIS'!$AA$103=A28)*PARIS!$AP$4:$AP$103)+SUMPRODUCT((PARIS!$AB$4:'PARIS'!$AB$103=A28)*PARIS!$AP$4:$AP$103)</f>
        <v>505.90000000000003</v>
      </c>
      <c r="F28" s="136" cm="1">
        <f t="array" ref="F28">SUMPRODUCT((PARIS!$C$4:'PARIS'!$C$103=A28)*PARIS!$V$4:$V$103)+SUMPRODUCT((PARIS!$AA$4:'PARIS'!$AA$103=A28)*PARIS!$AS$4:$AS$103)+SUMPRODUCT((PARIS!$AB$4:'PARIS'!$AB$103=A28)*PARIS!$AS$4:$AS$103)</f>
        <v>50.253333333333337</v>
      </c>
      <c r="G28" s="136" cm="1">
        <f t="array" ref="G28">SUMPRODUCT((PARIS!$C$4:'PARIS'!$C$103=A28)*PARIS!$W$4:$W$103)+SUMPRODUCT((PARIS!$AA$4:'PARIS'!$AA$103=A28)*PARIS!$AT$4:$AT$103)+SUMPRODUCT((PARIS!$AB$4:'PARIS'!$AB$103=A28)*PARIS!$AT$4:$AT$103)</f>
        <v>38.706666666666663</v>
      </c>
      <c r="H28" s="115"/>
      <c r="I28" s="139">
        <f t="shared" si="3"/>
        <v>5006.7940999999992</v>
      </c>
      <c r="J28" s="136">
        <f t="shared" si="4"/>
        <v>1728.6101000000001</v>
      </c>
      <c r="K28" s="136">
        <f t="shared" si="5"/>
        <v>3278.1839999999997</v>
      </c>
      <c r="L28" s="136">
        <f t="shared" si="6"/>
        <v>355.53389333333337</v>
      </c>
      <c r="M28" s="136">
        <f t="shared" si="7"/>
        <v>221.80047999999999</v>
      </c>
      <c r="N28" s="115"/>
      <c r="O28" s="131">
        <f>C28*ResourcesEmissions!B32</f>
        <v>776.82758427278941</v>
      </c>
      <c r="P28" s="131">
        <f>C28*ResourcesEmissions!C32</f>
        <v>797.27636849345311</v>
      </c>
      <c r="Q28" s="131">
        <f>C28*ResourcesEmissions!E32</f>
        <v>8801.5831833923294</v>
      </c>
      <c r="R28" s="115"/>
      <c r="S28" s="131">
        <f t="shared" si="8"/>
        <v>6972.0787007976724</v>
      </c>
      <c r="T28" s="131">
        <f t="shared" si="9"/>
        <v>8281.1408680265959</v>
      </c>
      <c r="U28" s="131">
        <f t="shared" si="10"/>
        <v>89800.161300559164</v>
      </c>
      <c r="V28" s="115"/>
      <c r="W28" s="128"/>
      <c r="X28" s="128"/>
      <c r="Y28" s="128"/>
      <c r="Z28" s="115"/>
      <c r="AA28" s="126"/>
      <c r="AB28" s="126"/>
      <c r="AC28" s="126"/>
      <c r="AD28" s="115"/>
      <c r="AE28" s="126"/>
      <c r="AF28" s="126"/>
      <c r="AG28" s="126"/>
      <c r="AH28" s="115"/>
      <c r="AI28" s="128"/>
      <c r="AJ28" s="128"/>
      <c r="AK28" s="128"/>
      <c r="AL28" s="115"/>
      <c r="AM28" s="126"/>
      <c r="AN28" s="126"/>
      <c r="AO28" s="126"/>
      <c r="AP28" s="115"/>
      <c r="AQ28" s="126"/>
      <c r="AR28" s="126"/>
      <c r="AS28" s="126"/>
    </row>
    <row r="29" spans="1:45" x14ac:dyDescent="0.25">
      <c r="A29" s="94">
        <v>1974</v>
      </c>
      <c r="B29" s="139" cm="1">
        <f t="array" ref="B29">SUMPRODUCT((PARIS!$C$4:'PARIS'!$C$103=A29)*PARIS!$X$4:$X$103)+SUMPRODUCT((PARIS!$AA$4:'PARIS'!$AA$103=A29)*PARIS!$AQ$4:$AQ$103)+SUMPRODUCT((PARIS!$AB$4:'PARIS'!$AB$103=A29)*PARIS!$AQ$4:$AQ$103)</f>
        <v>143520.48000000001</v>
      </c>
      <c r="C29" s="139" cm="1">
        <f t="array" ref="C29">SUMPRODUCT((PARIS!$C$4:'PARIS'!$C$103=A29)*PARIS!$Y$4:$Y$103)+SUMPRODUCT((PARIS!$AA$4:'PARIS'!$AA$103=A29)*PARIS!$AR$4:$AR$103)+SUMPRODUCT((PARIS!$AB$4:'PARIS'!$AB$103=A29)*PARIS!$AR$4:$AR$103)</f>
        <v>2866.2525500000002</v>
      </c>
      <c r="D29" s="136" cm="1">
        <f t="array" ref="D29">SUMPRODUCT((PARIS!$C$4:'PARIS'!$C$103=A29)*PARIS!$O$4:$O$103)+SUMPRODUCT((PARIS!$AA$4:'PARIS'!$AA$103=A29)*PARIS!$AM$4:$AM$103)+SUMPRODUCT((PARIS!$AB$4:'PARIS'!$AB$103=A29)*PARIS!$AM$4:$AM$103)</f>
        <v>410.12970000000001</v>
      </c>
      <c r="E29" s="136" cm="1">
        <f t="array" ref="E29">SUMPRODUCT((PARIS!$C$4:'PARIS'!$C$103=A29)*PARIS!$R$4:$R$103)+SUMPRODUCT((PARIS!$AA$4:'PARIS'!$AA$103=A29)*PARIS!$AP$4:$AP$103)+SUMPRODUCT((PARIS!$AB$4:'PARIS'!$AB$103=A29)*PARIS!$AP$4:$AP$103)</f>
        <v>2456.1228499999997</v>
      </c>
      <c r="F29" s="136" cm="1">
        <f t="array" ref="F29">SUMPRODUCT((PARIS!$C$4:'PARIS'!$C$103=A29)*PARIS!$V$4:$V$103)+SUMPRODUCT((PARIS!$AA$4:'PARIS'!$AA$103=A29)*PARIS!$AS$4:$AS$103)+SUMPRODUCT((PARIS!$AB$4:'PARIS'!$AB$103=A29)*PARIS!$AS$4:$AS$103)</f>
        <v>259.57946666666669</v>
      </c>
      <c r="G29" s="136" cm="1">
        <f t="array" ref="G29">SUMPRODUCT((PARIS!$C$4:'PARIS'!$C$103=A29)*PARIS!$W$4:$W$103)+SUMPRODUCT((PARIS!$AA$4:'PARIS'!$AA$103=A29)*PARIS!$AT$4:$AT$103)+SUMPRODUCT((PARIS!$AB$4:'PARIS'!$AB$103=A29)*PARIS!$AT$4:$AT$103)</f>
        <v>165.9008</v>
      </c>
      <c r="H29" s="115"/>
      <c r="I29" s="139">
        <f t="shared" si="3"/>
        <v>7873.0466499999993</v>
      </c>
      <c r="J29" s="136">
        <f t="shared" si="4"/>
        <v>2138.7398000000003</v>
      </c>
      <c r="K29" s="136">
        <f t="shared" si="5"/>
        <v>5734.306849999999</v>
      </c>
      <c r="L29" s="136">
        <f t="shared" si="6"/>
        <v>615.11336000000006</v>
      </c>
      <c r="M29" s="136">
        <f t="shared" si="7"/>
        <v>387.70128</v>
      </c>
      <c r="N29" s="115"/>
      <c r="O29" s="131">
        <f>C29*ResourcesEmissions!B33</f>
        <v>3911.1438231129755</v>
      </c>
      <c r="P29" s="131">
        <f>C29*ResourcesEmissions!C33</f>
        <v>3831.394038277213</v>
      </c>
      <c r="Q29" s="131">
        <f>C29*ResourcesEmissions!E33</f>
        <v>42704.235215151457</v>
      </c>
      <c r="R29" s="115"/>
      <c r="S29" s="131">
        <f t="shared" si="8"/>
        <v>10883.222523910648</v>
      </c>
      <c r="T29" s="131">
        <f t="shared" si="9"/>
        <v>12112.534906303808</v>
      </c>
      <c r="U29" s="131">
        <f t="shared" si="10"/>
        <v>132504.39651571063</v>
      </c>
      <c r="V29" s="115"/>
      <c r="W29" s="128"/>
      <c r="X29" s="128"/>
      <c r="Y29" s="128"/>
      <c r="Z29" s="115"/>
      <c r="AA29" s="126"/>
      <c r="AB29" s="126"/>
      <c r="AC29" s="126"/>
      <c r="AD29" s="115"/>
      <c r="AE29" s="126"/>
      <c r="AF29" s="126"/>
      <c r="AG29" s="126"/>
      <c r="AH29" s="115"/>
      <c r="AI29" s="128"/>
      <c r="AJ29" s="128"/>
      <c r="AK29" s="128"/>
      <c r="AL29" s="115"/>
      <c r="AM29" s="126"/>
      <c r="AN29" s="126"/>
      <c r="AO29" s="126"/>
      <c r="AP29" s="115"/>
      <c r="AQ29" s="126"/>
      <c r="AR29" s="126"/>
      <c r="AS29" s="126"/>
    </row>
    <row r="30" spans="1:45" x14ac:dyDescent="0.25">
      <c r="A30" s="94">
        <v>1975</v>
      </c>
      <c r="B30" s="139" cm="1">
        <f t="array" ref="B30">SUMPRODUCT((PARIS!$C$4:'PARIS'!$C$103=A30)*PARIS!$X$4:$X$103)+SUMPRODUCT((PARIS!$AA$4:'PARIS'!$AA$103=A30)*PARIS!$AQ$4:$AQ$103)+SUMPRODUCT((PARIS!$AB$4:'PARIS'!$AB$103=A30)*PARIS!$AQ$4:$AQ$103)</f>
        <v>83918.040000000008</v>
      </c>
      <c r="C30" s="139" cm="1">
        <f t="array" ref="C30">SUMPRODUCT((PARIS!$C$4:'PARIS'!$C$103=A30)*PARIS!$Y$4:$Y$103)+SUMPRODUCT((PARIS!$AA$4:'PARIS'!$AA$103=A30)*PARIS!$AR$4:$AR$103)+SUMPRODUCT((PARIS!$AB$4:'PARIS'!$AB$103=A30)*PARIS!$AR$4:$AR$103)</f>
        <v>1574.0985000000001</v>
      </c>
      <c r="D30" s="136" cm="1">
        <f t="array" ref="D30">SUMPRODUCT((PARIS!$C$4:'PARIS'!$C$103=A30)*PARIS!$O$4:$O$103)+SUMPRODUCT((PARIS!$AA$4:'PARIS'!$AA$103=A30)*PARIS!$AM$4:$AM$103)+SUMPRODUCT((PARIS!$AB$4:'PARIS'!$AB$103=A30)*PARIS!$AM$4:$AM$103)</f>
        <v>66.292500000000004</v>
      </c>
      <c r="E30" s="136" cm="1">
        <f t="array" ref="E30">SUMPRODUCT((PARIS!$C$4:'PARIS'!$C$103=A30)*PARIS!$R$4:$R$103)+SUMPRODUCT((PARIS!$AA$4:'PARIS'!$AA$103=A30)*PARIS!$AP$4:$AP$103)+SUMPRODUCT((PARIS!$AB$4:'PARIS'!$AB$103=A30)*PARIS!$AP$4:$AP$103)</f>
        <v>1507.806</v>
      </c>
      <c r="F30" s="136" cm="1">
        <f t="array" ref="F30">SUMPRODUCT((PARIS!$C$4:'PARIS'!$C$103=A30)*PARIS!$V$4:$V$103)+SUMPRODUCT((PARIS!$AA$4:'PARIS'!$AA$103=A30)*PARIS!$AS$4:$AS$103)+SUMPRODUCT((PARIS!$AB$4:'PARIS'!$AB$103=A30)*PARIS!$AS$4:$AS$103)</f>
        <v>91.237953846153843</v>
      </c>
      <c r="G30" s="136" cm="1">
        <f t="array" ref="G30">SUMPRODUCT((PARIS!$C$4:'PARIS'!$C$103=A30)*PARIS!$W$4:$W$103)+SUMPRODUCT((PARIS!$AA$4:'PARIS'!$AA$103=A30)*PARIS!$AT$4:$AT$103)+SUMPRODUCT((PARIS!$AB$4:'PARIS'!$AB$103=A30)*PARIS!$AT$4:$AT$103)</f>
        <v>74.891800000000003</v>
      </c>
      <c r="H30" s="115"/>
      <c r="I30" s="139">
        <f t="shared" si="3"/>
        <v>9447.1451500000003</v>
      </c>
      <c r="J30" s="136">
        <f t="shared" si="4"/>
        <v>2205.0323000000003</v>
      </c>
      <c r="K30" s="136">
        <f t="shared" si="5"/>
        <v>7242.1128499999995</v>
      </c>
      <c r="L30" s="136">
        <f t="shared" si="6"/>
        <v>706.35131384615386</v>
      </c>
      <c r="M30" s="136">
        <f t="shared" si="7"/>
        <v>462.59307999999999</v>
      </c>
      <c r="N30" s="115"/>
      <c r="O30" s="131">
        <f>C30*ResourcesEmissions!B34</f>
        <v>2141.961187247985</v>
      </c>
      <c r="P30" s="131">
        <f>C30*ResourcesEmissions!C34</f>
        <v>2014.84608</v>
      </c>
      <c r="Q30" s="131">
        <f>C30*ResourcesEmissions!E34</f>
        <v>22667.018399999844</v>
      </c>
      <c r="R30" s="115"/>
      <c r="S30" s="131">
        <f t="shared" si="8"/>
        <v>13025.183711158634</v>
      </c>
      <c r="T30" s="131">
        <f t="shared" si="9"/>
        <v>14127.380986303808</v>
      </c>
      <c r="U30" s="131">
        <f t="shared" si="10"/>
        <v>155171.41491571048</v>
      </c>
      <c r="V30" s="115"/>
      <c r="W30" s="128"/>
      <c r="X30" s="128"/>
      <c r="Y30" s="128"/>
      <c r="Z30" s="115"/>
      <c r="AA30" s="126"/>
      <c r="AB30" s="126"/>
      <c r="AC30" s="126"/>
      <c r="AD30" s="115"/>
      <c r="AE30" s="126"/>
      <c r="AF30" s="126"/>
      <c r="AG30" s="126"/>
      <c r="AH30" s="115"/>
      <c r="AI30" s="128"/>
      <c r="AJ30" s="128"/>
      <c r="AK30" s="128"/>
      <c r="AL30" s="115"/>
      <c r="AM30" s="126"/>
      <c r="AN30" s="126"/>
      <c r="AO30" s="126"/>
      <c r="AP30" s="115"/>
      <c r="AQ30" s="126"/>
      <c r="AR30" s="126"/>
      <c r="AS30" s="126"/>
    </row>
    <row r="31" spans="1:45" x14ac:dyDescent="0.25">
      <c r="A31" s="94">
        <v>1976</v>
      </c>
      <c r="B31" s="139" cm="1">
        <f t="array" ref="B31">SUMPRODUCT((PARIS!$C$4:'PARIS'!$C$103=A31)*PARIS!$X$4:$X$103)+SUMPRODUCT((PARIS!$AA$4:'PARIS'!$AA$103=A31)*PARIS!$AQ$4:$AQ$103)+SUMPRODUCT((PARIS!$AB$4:'PARIS'!$AB$103=A31)*PARIS!$AQ$4:$AQ$103)</f>
        <v>19733.576000000001</v>
      </c>
      <c r="C31" s="139" cm="1">
        <f t="array" ref="C31">SUMPRODUCT((PARIS!$C$4:'PARIS'!$C$103=A31)*PARIS!$Y$4:$Y$103)+SUMPRODUCT((PARIS!$AA$4:'PARIS'!$AA$103=A31)*PARIS!$AR$4:$AR$103)+SUMPRODUCT((PARIS!$AB$4:'PARIS'!$AB$103=A31)*PARIS!$AR$4:$AR$103)</f>
        <v>290.69470000000001</v>
      </c>
      <c r="D31" s="136" cm="1">
        <f t="array" ref="D31">SUMPRODUCT((PARIS!$C$4:'PARIS'!$C$103=A31)*PARIS!$O$4:$O$103)+SUMPRODUCT((PARIS!$AA$4:'PARIS'!$AA$103=A31)*PARIS!$AM$4:$AM$103)+SUMPRODUCT((PARIS!$AB$4:'PARIS'!$AB$103=A31)*PARIS!$AM$4:$AM$103)</f>
        <v>173.29470000000001</v>
      </c>
      <c r="E31" s="136" cm="1">
        <f t="array" ref="E31">SUMPRODUCT((PARIS!$C$4:'PARIS'!$C$103=A31)*PARIS!$R$4:$R$103)+SUMPRODUCT((PARIS!$AA$4:'PARIS'!$AA$103=A31)*PARIS!$AP$4:$AP$103)+SUMPRODUCT((PARIS!$AB$4:'PARIS'!$AB$103=A31)*PARIS!$AP$4:$AP$103)</f>
        <v>117.4</v>
      </c>
      <c r="F31" s="136" cm="1">
        <f t="array" ref="F31">SUMPRODUCT((PARIS!$C$4:'PARIS'!$C$103=A31)*PARIS!$V$4:$V$103)+SUMPRODUCT((PARIS!$AA$4:'PARIS'!$AA$103=A31)*PARIS!$AS$4:$AS$103)+SUMPRODUCT((PARIS!$AB$4:'PARIS'!$AB$103=A31)*PARIS!$AS$4:$AS$103)</f>
        <v>35.632972307692313</v>
      </c>
      <c r="G31" s="136" cm="1">
        <f t="array" ref="G31">SUMPRODUCT((PARIS!$C$4:'PARIS'!$C$103=A31)*PARIS!$W$4:$W$103)+SUMPRODUCT((PARIS!$AA$4:'PARIS'!$AA$103=A31)*PARIS!$AT$4:$AT$103)+SUMPRODUCT((PARIS!$AB$4:'PARIS'!$AB$103=A31)*PARIS!$AT$4:$AT$103)</f>
        <v>8.3149999999999995</v>
      </c>
      <c r="H31" s="115"/>
      <c r="I31" s="139">
        <f t="shared" si="3"/>
        <v>9737.8398500000003</v>
      </c>
      <c r="J31" s="136">
        <f t="shared" si="4"/>
        <v>2378.3270000000002</v>
      </c>
      <c r="K31" s="136">
        <f t="shared" si="5"/>
        <v>7359.5128499999992</v>
      </c>
      <c r="L31" s="136">
        <f t="shared" si="6"/>
        <v>741.98428615384614</v>
      </c>
      <c r="M31" s="136">
        <f t="shared" si="7"/>
        <v>470.90807999999998</v>
      </c>
      <c r="N31" s="115"/>
      <c r="O31" s="131">
        <f>C31*ResourcesEmissions!B35</f>
        <v>393.96053966405321</v>
      </c>
      <c r="P31" s="131">
        <f>C31*ResourcesEmissions!C35</f>
        <v>357.78449978807197</v>
      </c>
      <c r="Q31" s="131">
        <f>C31*ResourcesEmissions!E35</f>
        <v>4054.7154206646919</v>
      </c>
      <c r="R31" s="115"/>
      <c r="S31" s="131">
        <f t="shared" si="8"/>
        <v>13419.144250822686</v>
      </c>
      <c r="T31" s="131">
        <f t="shared" si="9"/>
        <v>14485.165486091879</v>
      </c>
      <c r="U31" s="131">
        <f t="shared" si="10"/>
        <v>159226.13033637518</v>
      </c>
      <c r="V31" s="115"/>
      <c r="W31" s="128"/>
      <c r="X31" s="128"/>
      <c r="Y31" s="128"/>
      <c r="Z31" s="115"/>
      <c r="AA31" s="126"/>
      <c r="AB31" s="126"/>
      <c r="AC31" s="126"/>
      <c r="AD31" s="115"/>
      <c r="AE31" s="126"/>
      <c r="AF31" s="126"/>
      <c r="AG31" s="126"/>
      <c r="AH31" s="115"/>
      <c r="AI31" s="128"/>
      <c r="AJ31" s="128"/>
      <c r="AK31" s="128"/>
      <c r="AL31" s="115"/>
      <c r="AM31" s="126"/>
      <c r="AN31" s="126"/>
      <c r="AO31" s="126"/>
      <c r="AP31" s="115"/>
      <c r="AQ31" s="126"/>
      <c r="AR31" s="126"/>
      <c r="AS31" s="126"/>
    </row>
    <row r="32" spans="1:45" x14ac:dyDescent="0.25">
      <c r="A32" s="94">
        <v>1977</v>
      </c>
      <c r="B32" s="139" cm="1">
        <f t="array" ref="B32">SUMPRODUCT((PARIS!$C$4:'PARIS'!$C$103=A32)*PARIS!$X$4:$X$103)+SUMPRODUCT((PARIS!$AA$4:'PARIS'!$AA$103=A32)*PARIS!$AQ$4:$AQ$103)+SUMPRODUCT((PARIS!$AB$4:'PARIS'!$AB$103=A32)*PARIS!$AQ$4:$AQ$103)</f>
        <v>0</v>
      </c>
      <c r="C32" s="139" cm="1">
        <f t="array" ref="C32">SUMPRODUCT((PARIS!$C$4:'PARIS'!$C$103=A32)*PARIS!$Y$4:$Y$103)+SUMPRODUCT((PARIS!$AA$4:'PARIS'!$AA$103=A32)*PARIS!$AR$4:$AR$103)+SUMPRODUCT((PARIS!$AB$4:'PARIS'!$AB$103=A32)*PARIS!$AR$4:$AR$103)</f>
        <v>0</v>
      </c>
      <c r="D32" s="136" cm="1">
        <f t="array" ref="D32">SUMPRODUCT((PARIS!$C$4:'PARIS'!$C$103=A32)*PARIS!$O$4:$O$103)+SUMPRODUCT((PARIS!$AA$4:'PARIS'!$AA$103=A32)*PARIS!$AM$4:$AM$103)+SUMPRODUCT((PARIS!$AB$4:'PARIS'!$AB$103=A32)*PARIS!$AM$4:$AM$103)</f>
        <v>0</v>
      </c>
      <c r="E32" s="136" cm="1">
        <f t="array" ref="E32">SUMPRODUCT((PARIS!$C$4:'PARIS'!$C$103=A32)*PARIS!$R$4:$R$103)+SUMPRODUCT((PARIS!$AA$4:'PARIS'!$AA$103=A32)*PARIS!$AP$4:$AP$103)+SUMPRODUCT((PARIS!$AB$4:'PARIS'!$AB$103=A32)*PARIS!$AP$4:$AP$103)</f>
        <v>0</v>
      </c>
      <c r="F32" s="136" cm="1">
        <f t="array" ref="F32">SUMPRODUCT((PARIS!$C$4:'PARIS'!$C$103=A32)*PARIS!$V$4:$V$103)+SUMPRODUCT((PARIS!$AA$4:'PARIS'!$AA$103=A32)*PARIS!$AS$4:$AS$103)+SUMPRODUCT((PARIS!$AB$4:'PARIS'!$AB$103=A32)*PARIS!$AS$4:$AS$103)</f>
        <v>0</v>
      </c>
      <c r="G32" s="136" cm="1">
        <f t="array" ref="G32">SUMPRODUCT((PARIS!$C$4:'PARIS'!$C$103=A32)*PARIS!$W$4:$W$103)+SUMPRODUCT((PARIS!$AA$4:'PARIS'!$AA$103=A32)*PARIS!$AT$4:$AT$103)+SUMPRODUCT((PARIS!$AB$4:'PARIS'!$AB$103=A32)*PARIS!$AT$4:$AT$103)</f>
        <v>0</v>
      </c>
      <c r="H32" s="115"/>
      <c r="I32" s="139">
        <f t="shared" si="3"/>
        <v>9737.8398500000003</v>
      </c>
      <c r="J32" s="136">
        <f t="shared" si="4"/>
        <v>2378.3270000000002</v>
      </c>
      <c r="K32" s="136">
        <f t="shared" si="5"/>
        <v>7359.5128499999992</v>
      </c>
      <c r="L32" s="136">
        <f t="shared" si="6"/>
        <v>741.98428615384614</v>
      </c>
      <c r="M32" s="136">
        <f t="shared" si="7"/>
        <v>470.90807999999998</v>
      </c>
      <c r="N32" s="115"/>
      <c r="O32" s="131">
        <f>C32*ResourcesEmissions!B36</f>
        <v>0</v>
      </c>
      <c r="P32" s="131">
        <f>C32*ResourcesEmissions!C36</f>
        <v>0</v>
      </c>
      <c r="Q32" s="131">
        <f>C32*ResourcesEmissions!E36</f>
        <v>0</v>
      </c>
      <c r="R32" s="115"/>
      <c r="S32" s="131">
        <f t="shared" si="8"/>
        <v>13419.144250822686</v>
      </c>
      <c r="T32" s="131">
        <f t="shared" si="9"/>
        <v>14485.165486091879</v>
      </c>
      <c r="U32" s="131">
        <f t="shared" si="10"/>
        <v>159226.13033637518</v>
      </c>
      <c r="V32" s="115"/>
      <c r="W32" s="128"/>
      <c r="X32" s="128"/>
      <c r="Y32" s="128"/>
      <c r="Z32" s="115"/>
      <c r="AA32" s="126"/>
      <c r="AB32" s="126"/>
      <c r="AC32" s="126"/>
      <c r="AD32" s="115"/>
      <c r="AE32" s="126"/>
      <c r="AF32" s="126"/>
      <c r="AG32" s="126"/>
      <c r="AH32" s="115"/>
      <c r="AI32" s="128"/>
      <c r="AJ32" s="128"/>
      <c r="AK32" s="128"/>
      <c r="AL32" s="115"/>
      <c r="AM32" s="126"/>
      <c r="AN32" s="126"/>
      <c r="AO32" s="126"/>
      <c r="AP32" s="115"/>
      <c r="AQ32" s="126"/>
      <c r="AR32" s="126"/>
      <c r="AS32" s="126"/>
    </row>
    <row r="33" spans="1:45" x14ac:dyDescent="0.25">
      <c r="A33" s="94">
        <v>1978</v>
      </c>
      <c r="B33" s="139" cm="1">
        <f t="array" ref="B33">SUMPRODUCT((PARIS!$C$4:'PARIS'!$C$103=A33)*PARIS!$X$4:$X$103)+SUMPRODUCT((PARIS!$AA$4:'PARIS'!$AA$103=A33)*PARIS!$AQ$4:$AQ$103)+SUMPRODUCT((PARIS!$AB$4:'PARIS'!$AB$103=A33)*PARIS!$AQ$4:$AQ$103)</f>
        <v>16600.5</v>
      </c>
      <c r="C33" s="139" cm="1">
        <f t="array" ref="C33">SUMPRODUCT((PARIS!$C$4:'PARIS'!$C$103=A33)*PARIS!$Y$4:$Y$103)+SUMPRODUCT((PARIS!$AA$4:'PARIS'!$AA$103=A33)*PARIS!$AR$4:$AR$103)+SUMPRODUCT((PARIS!$AB$4:'PARIS'!$AB$103=A33)*PARIS!$AR$4:$AR$103)</f>
        <v>315.94499999999999</v>
      </c>
      <c r="D33" s="136" cm="1">
        <f t="array" ref="D33">SUMPRODUCT((PARIS!$C$4:'PARIS'!$C$103=A33)*PARIS!$O$4:$O$103)+SUMPRODUCT((PARIS!$AA$4:'PARIS'!$AA$103=A33)*PARIS!$AM$4:$AM$103)+SUMPRODUCT((PARIS!$AB$4:'PARIS'!$AB$103=A33)*PARIS!$AM$4:$AM$103)</f>
        <v>48.194999999999993</v>
      </c>
      <c r="E33" s="136" cm="1">
        <f t="array" ref="E33">SUMPRODUCT((PARIS!$C$4:'PARIS'!$C$103=A33)*PARIS!$R$4:$R$103)+SUMPRODUCT((PARIS!$AA$4:'PARIS'!$AA$103=A33)*PARIS!$AP$4:$AP$103)+SUMPRODUCT((PARIS!$AB$4:'PARIS'!$AB$103=A33)*PARIS!$AP$4:$AP$103)</f>
        <v>267.75</v>
      </c>
      <c r="F33" s="136" cm="1">
        <f t="array" ref="F33">SUMPRODUCT((PARIS!$C$4:'PARIS'!$C$103=A33)*PARIS!$V$4:$V$103)+SUMPRODUCT((PARIS!$AA$4:'PARIS'!$AA$103=A33)*PARIS!$AS$4:$AS$103)+SUMPRODUCT((PARIS!$AB$4:'PARIS'!$AB$103=A33)*PARIS!$AS$4:$AS$103)</f>
        <v>29.75</v>
      </c>
      <c r="G33" s="136" cm="1">
        <f t="array" ref="G33">SUMPRODUCT((PARIS!$C$4:'PARIS'!$C$103=A33)*PARIS!$W$4:$W$103)+SUMPRODUCT((PARIS!$AA$4:'PARIS'!$AA$103=A33)*PARIS!$AT$4:$AT$103)+SUMPRODUCT((PARIS!$AB$4:'PARIS'!$AB$103=A33)*PARIS!$AT$4:$AT$103)</f>
        <v>14.875</v>
      </c>
      <c r="H33" s="115"/>
      <c r="I33" s="139">
        <f t="shared" si="3"/>
        <v>10053.78485</v>
      </c>
      <c r="J33" s="136">
        <f t="shared" si="4"/>
        <v>2426.5220000000004</v>
      </c>
      <c r="K33" s="136">
        <f t="shared" si="5"/>
        <v>7627.2628499999992</v>
      </c>
      <c r="L33" s="136">
        <f t="shared" si="6"/>
        <v>771.73428615384614</v>
      </c>
      <c r="M33" s="136">
        <f t="shared" si="7"/>
        <v>485.78307999999998</v>
      </c>
      <c r="N33" s="115"/>
      <c r="O33" s="131">
        <f>C33*ResourcesEmissions!B37</f>
        <v>423.96492237353186</v>
      </c>
      <c r="P33" s="131">
        <f>C33*ResourcesEmissions!C37</f>
        <v>360.72095517817957</v>
      </c>
      <c r="Q33" s="131">
        <f>C33*ResourcesEmissions!E37</f>
        <v>4140.6482885270452</v>
      </c>
      <c r="R33" s="115"/>
      <c r="S33" s="131">
        <f t="shared" si="8"/>
        <v>13843.109173196219</v>
      </c>
      <c r="T33" s="131">
        <f t="shared" si="9"/>
        <v>14845.886441270059</v>
      </c>
      <c r="U33" s="131">
        <f t="shared" si="10"/>
        <v>163366.77862490222</v>
      </c>
      <c r="V33" s="115"/>
      <c r="W33" s="128"/>
      <c r="X33" s="128"/>
      <c r="Y33" s="128"/>
      <c r="Z33" s="115"/>
      <c r="AA33" s="126"/>
      <c r="AB33" s="126"/>
      <c r="AC33" s="126"/>
      <c r="AD33" s="115"/>
      <c r="AE33" s="126"/>
      <c r="AF33" s="126"/>
      <c r="AG33" s="126"/>
      <c r="AH33" s="115"/>
      <c r="AI33" s="128"/>
      <c r="AJ33" s="128"/>
      <c r="AK33" s="128"/>
      <c r="AL33" s="115"/>
      <c r="AM33" s="126"/>
      <c r="AN33" s="126"/>
      <c r="AO33" s="126"/>
      <c r="AP33" s="115"/>
      <c r="AQ33" s="126"/>
      <c r="AR33" s="126"/>
      <c r="AS33" s="126"/>
    </row>
    <row r="34" spans="1:45" x14ac:dyDescent="0.25">
      <c r="A34" s="94">
        <v>1979</v>
      </c>
      <c r="B34" s="139" cm="1">
        <f t="array" ref="B34">SUMPRODUCT((PARIS!$C$4:'PARIS'!$C$103=A34)*PARIS!$X$4:$X$103)+SUMPRODUCT((PARIS!$AA$4:'PARIS'!$AA$103=A34)*PARIS!$AQ$4:$AQ$103)+SUMPRODUCT((PARIS!$AB$4:'PARIS'!$AB$103=A34)*PARIS!$AQ$4:$AQ$103)</f>
        <v>0</v>
      </c>
      <c r="C34" s="139" cm="1">
        <f t="array" ref="C34">SUMPRODUCT((PARIS!$C$4:'PARIS'!$C$103=A34)*PARIS!$Y$4:$Y$103)+SUMPRODUCT((PARIS!$AA$4:'PARIS'!$AA$103=A34)*PARIS!$AR$4:$AR$103)+SUMPRODUCT((PARIS!$AB$4:'PARIS'!$AB$103=A34)*PARIS!$AR$4:$AR$103)</f>
        <v>0</v>
      </c>
      <c r="D34" s="136" cm="1">
        <f t="array" ref="D34">SUMPRODUCT((PARIS!$C$4:'PARIS'!$C$103=A34)*PARIS!$O$4:$O$103)+SUMPRODUCT((PARIS!$AA$4:'PARIS'!$AA$103=A34)*PARIS!$AM$4:$AM$103)+SUMPRODUCT((PARIS!$AB$4:'PARIS'!$AB$103=A34)*PARIS!$AM$4:$AM$103)</f>
        <v>0</v>
      </c>
      <c r="E34" s="136" cm="1">
        <f t="array" ref="E34">SUMPRODUCT((PARIS!$C$4:'PARIS'!$C$103=A34)*PARIS!$R$4:$R$103)+SUMPRODUCT((PARIS!$AA$4:'PARIS'!$AA$103=A34)*PARIS!$AP$4:$AP$103)+SUMPRODUCT((PARIS!$AB$4:'PARIS'!$AB$103=A34)*PARIS!$AP$4:$AP$103)</f>
        <v>0</v>
      </c>
      <c r="F34" s="136" cm="1">
        <f t="array" ref="F34">SUMPRODUCT((PARIS!$C$4:'PARIS'!$C$103=A34)*PARIS!$V$4:$V$103)+SUMPRODUCT((PARIS!$AA$4:'PARIS'!$AA$103=A34)*PARIS!$AS$4:$AS$103)+SUMPRODUCT((PARIS!$AB$4:'PARIS'!$AB$103=A34)*PARIS!$AS$4:$AS$103)</f>
        <v>0</v>
      </c>
      <c r="G34" s="136" cm="1">
        <f t="array" ref="G34">SUMPRODUCT((PARIS!$C$4:'PARIS'!$C$103=A34)*PARIS!$W$4:$W$103)+SUMPRODUCT((PARIS!$AA$4:'PARIS'!$AA$103=A34)*PARIS!$AT$4:$AT$103)+SUMPRODUCT((PARIS!$AB$4:'PARIS'!$AB$103=A34)*PARIS!$AT$4:$AT$103)</f>
        <v>0</v>
      </c>
      <c r="H34" s="115"/>
      <c r="I34" s="139">
        <f t="shared" si="3"/>
        <v>10053.78485</v>
      </c>
      <c r="J34" s="136">
        <f t="shared" si="4"/>
        <v>2426.5220000000004</v>
      </c>
      <c r="K34" s="136">
        <f t="shared" si="5"/>
        <v>7627.2628499999992</v>
      </c>
      <c r="L34" s="136">
        <f t="shared" si="6"/>
        <v>771.73428615384614</v>
      </c>
      <c r="M34" s="136">
        <f t="shared" si="7"/>
        <v>485.78307999999998</v>
      </c>
      <c r="N34" s="115"/>
      <c r="O34" s="131">
        <f>C34*ResourcesEmissions!B38</f>
        <v>0</v>
      </c>
      <c r="P34" s="131">
        <f>C34*ResourcesEmissions!C38</f>
        <v>0</v>
      </c>
      <c r="Q34" s="131">
        <f>C34*ResourcesEmissions!E38</f>
        <v>0</v>
      </c>
      <c r="R34" s="115"/>
      <c r="S34" s="131">
        <f t="shared" si="8"/>
        <v>13843.109173196219</v>
      </c>
      <c r="T34" s="131">
        <f t="shared" si="9"/>
        <v>14845.886441270059</v>
      </c>
      <c r="U34" s="131">
        <f t="shared" si="10"/>
        <v>163366.77862490222</v>
      </c>
      <c r="V34" s="115"/>
      <c r="W34" s="128"/>
      <c r="X34" s="128"/>
      <c r="Y34" s="128"/>
      <c r="Z34" s="115"/>
      <c r="AA34" s="126"/>
      <c r="AB34" s="126"/>
      <c r="AC34" s="126"/>
      <c r="AD34" s="115"/>
      <c r="AE34" s="126"/>
      <c r="AF34" s="126"/>
      <c r="AG34" s="126"/>
      <c r="AH34" s="115"/>
      <c r="AI34" s="128"/>
      <c r="AJ34" s="128"/>
      <c r="AK34" s="128"/>
      <c r="AL34" s="115"/>
      <c r="AM34" s="126"/>
      <c r="AN34" s="126"/>
      <c r="AO34" s="126"/>
      <c r="AP34" s="115"/>
      <c r="AQ34" s="126"/>
      <c r="AR34" s="126"/>
      <c r="AS34" s="126"/>
    </row>
    <row r="35" spans="1:45" x14ac:dyDescent="0.25">
      <c r="A35" s="94">
        <v>1980</v>
      </c>
      <c r="B35" s="139" cm="1">
        <f t="array" ref="B35">SUMPRODUCT((PARIS!$C$4:'PARIS'!$C$103=A35)*PARIS!$X$4:$X$103)+SUMPRODUCT((PARIS!$AA$4:'PARIS'!$AA$103=A35)*PARIS!$AQ$4:$AQ$103)+SUMPRODUCT((PARIS!$AB$4:'PARIS'!$AB$103=A35)*PARIS!$AQ$4:$AQ$103)</f>
        <v>6966.5399999999991</v>
      </c>
      <c r="C35" s="139" cm="1">
        <f t="array" ref="C35">SUMPRODUCT((PARIS!$C$4:'PARIS'!$C$103=A35)*PARIS!$Y$4:$Y$103)+SUMPRODUCT((PARIS!$AA$4:'PARIS'!$AA$103=A35)*PARIS!$AR$4:$AR$103)+SUMPRODUCT((PARIS!$AB$4:'PARIS'!$AB$103=A35)*PARIS!$AR$4:$AR$103)</f>
        <v>127.7199</v>
      </c>
      <c r="D35" s="136" cm="1">
        <f t="array" ref="D35">SUMPRODUCT((PARIS!$C$4:'PARIS'!$C$103=A35)*PARIS!$O$4:$O$103)+SUMPRODUCT((PARIS!$AA$4:'PARIS'!$AA$103=A35)*PARIS!$AM$4:$AM$103)+SUMPRODUCT((PARIS!$AB$4:'PARIS'!$AB$103=A35)*PARIS!$AM$4:$AM$103)</f>
        <v>34.832699999999996</v>
      </c>
      <c r="E35" s="136" cm="1">
        <f t="array" ref="E35">SUMPRODUCT((PARIS!$C$4:'PARIS'!$C$103=A35)*PARIS!$R$4:$R$103)+SUMPRODUCT((PARIS!$AA$4:'PARIS'!$AA$103=A35)*PARIS!$AP$4:$AP$103)+SUMPRODUCT((PARIS!$AB$4:'PARIS'!$AB$103=A35)*PARIS!$AP$4:$AP$103)</f>
        <v>92.887199999999993</v>
      </c>
      <c r="F35" s="136" cm="1">
        <f t="array" ref="F35">SUMPRODUCT((PARIS!$C$4:'PARIS'!$C$103=A35)*PARIS!$V$4:$V$103)+SUMPRODUCT((PARIS!$AA$4:'PARIS'!$AA$103=A35)*PARIS!$AS$4:$AS$103)+SUMPRODUCT((PARIS!$AB$4:'PARIS'!$AB$103=A35)*PARIS!$AS$4:$AS$103)</f>
        <v>10.5924</v>
      </c>
      <c r="G35" s="136" cm="1">
        <f t="array" ref="G35">SUMPRODUCT((PARIS!$C$4:'PARIS'!$C$103=A35)*PARIS!$W$4:$W$103)+SUMPRODUCT((PARIS!$AA$4:'PARIS'!$AA$103=A35)*PARIS!$AT$4:$AT$103)+SUMPRODUCT((PARIS!$AB$4:'PARIS'!$AB$103=A35)*PARIS!$AT$4:$AT$103)</f>
        <v>5.2961999999999998</v>
      </c>
      <c r="H35" s="115"/>
      <c r="I35" s="139">
        <f t="shared" si="3"/>
        <v>10181.50475</v>
      </c>
      <c r="J35" s="136">
        <f t="shared" si="4"/>
        <v>2461.3547000000003</v>
      </c>
      <c r="K35" s="136">
        <f t="shared" si="5"/>
        <v>7720.1500499999993</v>
      </c>
      <c r="L35" s="136">
        <f t="shared" si="6"/>
        <v>782.32668615384614</v>
      </c>
      <c r="M35" s="136">
        <f t="shared" si="7"/>
        <v>491.07927999999998</v>
      </c>
      <c r="N35" s="115"/>
      <c r="O35" s="131">
        <f>C35*ResourcesEmissions!B39</f>
        <v>169.15780530139514</v>
      </c>
      <c r="P35" s="131">
        <f>C35*ResourcesEmissions!C39</f>
        <v>136.660293</v>
      </c>
      <c r="Q35" s="131">
        <f>C35*ResourcesEmissions!E39</f>
        <v>1609.2707399999999</v>
      </c>
      <c r="R35" s="115"/>
      <c r="S35" s="131">
        <f t="shared" si="8"/>
        <v>14012.266978497613</v>
      </c>
      <c r="T35" s="131">
        <f t="shared" si="9"/>
        <v>14982.546734270059</v>
      </c>
      <c r="U35" s="131">
        <f t="shared" si="10"/>
        <v>164976.04936490222</v>
      </c>
      <c r="V35" s="115"/>
      <c r="W35" s="128"/>
      <c r="X35" s="128"/>
      <c r="Y35" s="128"/>
      <c r="Z35" s="115"/>
      <c r="AA35" s="126"/>
      <c r="AB35" s="126"/>
      <c r="AC35" s="126"/>
      <c r="AD35" s="115"/>
      <c r="AE35" s="126"/>
      <c r="AF35" s="126"/>
      <c r="AG35" s="126"/>
      <c r="AH35" s="115"/>
      <c r="AI35" s="128"/>
      <c r="AJ35" s="128"/>
      <c r="AK35" s="128"/>
      <c r="AL35" s="115"/>
      <c r="AM35" s="126"/>
      <c r="AN35" s="126"/>
      <c r="AO35" s="126"/>
      <c r="AP35" s="115"/>
      <c r="AQ35" s="126"/>
      <c r="AR35" s="126"/>
      <c r="AS35" s="126"/>
    </row>
    <row r="36" spans="1:45" x14ac:dyDescent="0.25">
      <c r="A36" s="94">
        <v>1981</v>
      </c>
      <c r="B36" s="139" cm="1">
        <f t="array" ref="B36">SUMPRODUCT((PARIS!$C$4:'PARIS'!$C$103=A36)*PARIS!$X$4:$X$103)+SUMPRODUCT((PARIS!$AA$4:'PARIS'!$AA$103=A36)*PARIS!$AQ$4:$AQ$103)+SUMPRODUCT((PARIS!$AB$4:'PARIS'!$AB$103=A36)*PARIS!$AQ$4:$AQ$103)</f>
        <v>27760.250000000004</v>
      </c>
      <c r="C36" s="139" cm="1">
        <f t="array" ref="C36">SUMPRODUCT((PARIS!$C$4:'PARIS'!$C$103=A36)*PARIS!$Y$4:$Y$103)+SUMPRODUCT((PARIS!$AA$4:'PARIS'!$AA$103=A36)*PARIS!$AR$4:$AR$103)+SUMPRODUCT((PARIS!$AB$4:'PARIS'!$AB$103=A36)*PARIS!$AR$4:$AR$103)</f>
        <v>549.29875000000004</v>
      </c>
      <c r="D36" s="136" cm="1">
        <f t="array" ref="D36">SUMPRODUCT((PARIS!$C$4:'PARIS'!$C$103=A36)*PARIS!$O$4:$O$103)+SUMPRODUCT((PARIS!$AA$4:'PARIS'!$AA$103=A36)*PARIS!$AM$4:$AM$103)+SUMPRODUCT((PARIS!$AB$4:'PARIS'!$AB$103=A36)*PARIS!$AM$4:$AM$103)</f>
        <v>17.71875</v>
      </c>
      <c r="E36" s="136" cm="1">
        <f t="array" ref="E36">SUMPRODUCT((PARIS!$C$4:'PARIS'!$C$103=A36)*PARIS!$R$4:$R$103)+SUMPRODUCT((PARIS!$AA$4:'PARIS'!$AA$103=A36)*PARIS!$AP$4:$AP$103)+SUMPRODUCT((PARIS!$AB$4:'PARIS'!$AB$103=A36)*PARIS!$AP$4:$AP$103)</f>
        <v>531.58000000000004</v>
      </c>
      <c r="F36" s="136" cm="1">
        <f t="array" ref="F36">SUMPRODUCT((PARIS!$C$4:'PARIS'!$C$103=A36)*PARIS!$V$4:$V$103)+SUMPRODUCT((PARIS!$AA$4:'PARIS'!$AA$103=A36)*PARIS!$AS$4:$AS$103)+SUMPRODUCT((PARIS!$AB$4:'PARIS'!$AB$103=A36)*PARIS!$AS$4:$AS$103)</f>
        <v>25.824999999999999</v>
      </c>
      <c r="G36" s="136" cm="1">
        <f t="array" ref="G36">SUMPRODUCT((PARIS!$C$4:'PARIS'!$C$103=A36)*PARIS!$W$4:$W$103)+SUMPRODUCT((PARIS!$AA$4:'PARIS'!$AA$103=A36)*PARIS!$AT$4:$AT$103)+SUMPRODUCT((PARIS!$AB$4:'PARIS'!$AB$103=A36)*PARIS!$AT$4:$AT$103)</f>
        <v>21.85</v>
      </c>
      <c r="H36" s="115"/>
      <c r="I36" s="139">
        <f t="shared" si="3"/>
        <v>10730.8035</v>
      </c>
      <c r="J36" s="136">
        <f t="shared" si="4"/>
        <v>2479.0734500000003</v>
      </c>
      <c r="K36" s="136">
        <f t="shared" si="5"/>
        <v>8251.7300500000001</v>
      </c>
      <c r="L36" s="136">
        <f t="shared" si="6"/>
        <v>808.15168615384619</v>
      </c>
      <c r="M36" s="136">
        <f t="shared" si="7"/>
        <v>512.92927999999995</v>
      </c>
      <c r="N36" s="115"/>
      <c r="O36" s="131">
        <f>C36*ResourcesEmissions!B40</f>
        <v>721.97955263410267</v>
      </c>
      <c r="P36" s="131">
        <f>C36*ResourcesEmissions!C40</f>
        <v>572.34980238799506</v>
      </c>
      <c r="Q36" s="131">
        <f>C36*ResourcesEmissions!E40</f>
        <v>6869.7664565655941</v>
      </c>
      <c r="R36" s="115"/>
      <c r="S36" s="131">
        <f t="shared" si="8"/>
        <v>14734.246531131716</v>
      </c>
      <c r="T36" s="131">
        <f t="shared" si="9"/>
        <v>15554.896536658054</v>
      </c>
      <c r="U36" s="131">
        <f t="shared" si="10"/>
        <v>171845.81582146781</v>
      </c>
      <c r="V36" s="115"/>
      <c r="W36" s="128"/>
      <c r="X36" s="128"/>
      <c r="Y36" s="128"/>
      <c r="Z36" s="115"/>
      <c r="AA36" s="126"/>
      <c r="AB36" s="126"/>
      <c r="AC36" s="126"/>
      <c r="AD36" s="115"/>
      <c r="AE36" s="126"/>
      <c r="AF36" s="126"/>
      <c r="AG36" s="126"/>
      <c r="AH36" s="115"/>
      <c r="AI36" s="128"/>
      <c r="AJ36" s="128"/>
      <c r="AK36" s="128"/>
      <c r="AL36" s="115"/>
      <c r="AM36" s="126"/>
      <c r="AN36" s="126"/>
      <c r="AO36" s="126"/>
      <c r="AP36" s="115"/>
      <c r="AQ36" s="126"/>
      <c r="AR36" s="126"/>
      <c r="AS36" s="126"/>
    </row>
    <row r="37" spans="1:45" x14ac:dyDescent="0.25">
      <c r="A37" s="94">
        <v>1982</v>
      </c>
      <c r="B37" s="139" cm="1">
        <f t="array" ref="B37">SUMPRODUCT((PARIS!$C$4:'PARIS'!$C$103=A37)*PARIS!$X$4:$X$103)+SUMPRODUCT((PARIS!$AA$4:'PARIS'!$AA$103=A37)*PARIS!$AQ$4:$AQ$103)+SUMPRODUCT((PARIS!$AB$4:'PARIS'!$AB$103=A37)*PARIS!$AQ$4:$AQ$103)</f>
        <v>27091.54</v>
      </c>
      <c r="C37" s="139" cm="1">
        <f t="array" ref="C37">SUMPRODUCT((PARIS!$C$4:'PARIS'!$C$103=A37)*PARIS!$Y$4:$Y$103)+SUMPRODUCT((PARIS!$AA$4:'PARIS'!$AA$103=A37)*PARIS!$AR$4:$AR$103)+SUMPRODUCT((PARIS!$AB$4:'PARIS'!$AB$103=A37)*PARIS!$AR$4:$AR$103)</f>
        <v>541.83079999999995</v>
      </c>
      <c r="D37" s="136" cm="1">
        <f t="array" ref="D37">SUMPRODUCT((PARIS!$C$4:'PARIS'!$C$103=A37)*PARIS!$O$4:$O$103)+SUMPRODUCT((PARIS!$AA$4:'PARIS'!$AA$103=A37)*PARIS!$AM$4:$AM$103)+SUMPRODUCT((PARIS!$AB$4:'PARIS'!$AB$103=A37)*PARIS!$AM$4:$AM$103)</f>
        <v>0</v>
      </c>
      <c r="E37" s="136" cm="1">
        <f t="array" ref="E37">SUMPRODUCT((PARIS!$C$4:'PARIS'!$C$103=A37)*PARIS!$R$4:$R$103)+SUMPRODUCT((PARIS!$AA$4:'PARIS'!$AA$103=A37)*PARIS!$AP$4:$AP$103)+SUMPRODUCT((PARIS!$AB$4:'PARIS'!$AB$103=A37)*PARIS!$AP$4:$AP$103)</f>
        <v>541.83079999999995</v>
      </c>
      <c r="F37" s="136" cm="1">
        <f t="array" ref="F37">SUMPRODUCT((PARIS!$C$4:'PARIS'!$C$103=A37)*PARIS!$V$4:$V$103)+SUMPRODUCT((PARIS!$AA$4:'PARIS'!$AA$103=A37)*PARIS!$AS$4:$AS$103)+SUMPRODUCT((PARIS!$AB$4:'PARIS'!$AB$103=A37)*PARIS!$AS$4:$AS$103)</f>
        <v>40.691900000000004</v>
      </c>
      <c r="G37" s="136" cm="1">
        <f t="array" ref="G37">SUMPRODUCT((PARIS!$C$4:'PARIS'!$C$103=A37)*PARIS!$W$4:$W$103)+SUMPRODUCT((PARIS!$AA$4:'PARIS'!$AA$103=A37)*PARIS!$AT$4:$AT$103)+SUMPRODUCT((PARIS!$AB$4:'PARIS'!$AB$103=A37)*PARIS!$AT$4:$AT$103)</f>
        <v>40.691900000000004</v>
      </c>
      <c r="H37" s="115"/>
      <c r="I37" s="139">
        <f t="shared" si="3"/>
        <v>11272.6343</v>
      </c>
      <c r="J37" s="136">
        <f t="shared" si="4"/>
        <v>2479.0734500000003</v>
      </c>
      <c r="K37" s="136">
        <f t="shared" si="5"/>
        <v>8793.5608499999998</v>
      </c>
      <c r="L37" s="136">
        <f t="shared" si="6"/>
        <v>848.84358615384622</v>
      </c>
      <c r="M37" s="136">
        <f t="shared" si="7"/>
        <v>553.62117999999998</v>
      </c>
      <c r="N37" s="115"/>
      <c r="O37" s="131">
        <f>C37*ResourcesEmissions!B41</f>
        <v>706.33646994556977</v>
      </c>
      <c r="P37" s="131">
        <f>C37*ResourcesEmissions!C41</f>
        <v>551.44725244427491</v>
      </c>
      <c r="Q37" s="131">
        <f>C37*ResourcesEmissions!E41</f>
        <v>6743.5945251017329</v>
      </c>
      <c r="R37" s="115"/>
      <c r="S37" s="131">
        <f t="shared" si="8"/>
        <v>15440.583001077286</v>
      </c>
      <c r="T37" s="131">
        <f t="shared" si="9"/>
        <v>16106.34378910233</v>
      </c>
      <c r="U37" s="131">
        <f t="shared" si="10"/>
        <v>178589.41034656955</v>
      </c>
      <c r="V37" s="115"/>
      <c r="W37" s="128"/>
      <c r="X37" s="128"/>
      <c r="Y37" s="128"/>
      <c r="Z37" s="115"/>
      <c r="AA37" s="126"/>
      <c r="AB37" s="126"/>
      <c r="AC37" s="126"/>
      <c r="AD37" s="115"/>
      <c r="AE37" s="126"/>
      <c r="AF37" s="126"/>
      <c r="AG37" s="126"/>
      <c r="AH37" s="115"/>
      <c r="AI37" s="128"/>
      <c r="AJ37" s="128"/>
      <c r="AK37" s="128"/>
      <c r="AL37" s="115"/>
      <c r="AM37" s="126"/>
      <c r="AN37" s="126"/>
      <c r="AO37" s="126"/>
      <c r="AP37" s="115"/>
      <c r="AQ37" s="126"/>
      <c r="AR37" s="126"/>
      <c r="AS37" s="126"/>
    </row>
    <row r="38" spans="1:45" x14ac:dyDescent="0.25">
      <c r="A38" s="94">
        <v>1983</v>
      </c>
      <c r="B38" s="139" cm="1">
        <f t="array" ref="B38">SUMPRODUCT((PARIS!$C$4:'PARIS'!$C$103=A38)*PARIS!$X$4:$X$103)+SUMPRODUCT((PARIS!$AA$4:'PARIS'!$AA$103=A38)*PARIS!$AQ$4:$AQ$103)+SUMPRODUCT((PARIS!$AB$4:'PARIS'!$AB$103=A38)*PARIS!$AQ$4:$AQ$103)</f>
        <v>33631.440000000002</v>
      </c>
      <c r="C38" s="139" cm="1">
        <f t="array" ref="C38">SUMPRODUCT((PARIS!$C$4:'PARIS'!$C$103=A38)*PARIS!$Y$4:$Y$103)+SUMPRODUCT((PARIS!$AA$4:'PARIS'!$AA$103=A38)*PARIS!$AR$4:$AR$103)+SUMPRODUCT((PARIS!$AB$4:'PARIS'!$AB$103=A38)*PARIS!$AR$4:$AR$103)</f>
        <v>711.39540000000011</v>
      </c>
      <c r="D38" s="136" cm="1">
        <f t="array" ref="D38">SUMPRODUCT((PARIS!$C$4:'PARIS'!$C$103=A38)*PARIS!$O$4:$O$103)+SUMPRODUCT((PARIS!$AA$4:'PARIS'!$AA$103=A38)*PARIS!$AM$4:$AM$103)+SUMPRODUCT((PARIS!$AB$4:'PARIS'!$AB$103=A38)*PARIS!$AM$4:$AM$103)</f>
        <v>0</v>
      </c>
      <c r="E38" s="136" cm="1">
        <f t="array" ref="E38">SUMPRODUCT((PARIS!$C$4:'PARIS'!$C$103=A38)*PARIS!$R$4:$R$103)+SUMPRODUCT((PARIS!$AA$4:'PARIS'!$AA$103=A38)*PARIS!$AP$4:$AP$103)+SUMPRODUCT((PARIS!$AB$4:'PARIS'!$AB$103=A38)*PARIS!$AP$4:$AP$103)</f>
        <v>711.39540000000011</v>
      </c>
      <c r="F38" s="136" cm="1">
        <f t="array" ref="F38">SUMPRODUCT((PARIS!$C$4:'PARIS'!$C$103=A38)*PARIS!$V$4:$V$103)+SUMPRODUCT((PARIS!$AA$4:'PARIS'!$AA$103=A38)*PARIS!$AS$4:$AS$103)+SUMPRODUCT((PARIS!$AB$4:'PARIS'!$AB$103=A38)*PARIS!$AS$4:$AS$103)</f>
        <v>41.081531764705879</v>
      </c>
      <c r="G38" s="136" cm="1">
        <f t="array" ref="G38">SUMPRODUCT((PARIS!$C$4:'PARIS'!$C$103=A38)*PARIS!$W$4:$W$103)+SUMPRODUCT((PARIS!$AA$4:'PARIS'!$AA$103=A38)*PARIS!$AT$4:$AT$103)+SUMPRODUCT((PARIS!$AB$4:'PARIS'!$AB$103=A38)*PARIS!$AT$4:$AT$103)</f>
        <v>41.081531764705879</v>
      </c>
      <c r="H38" s="115"/>
      <c r="I38" s="139">
        <f t="shared" si="3"/>
        <v>11984.029699999999</v>
      </c>
      <c r="J38" s="136">
        <f t="shared" si="4"/>
        <v>2479.0734500000003</v>
      </c>
      <c r="K38" s="136">
        <f t="shared" si="5"/>
        <v>9504.9562499999993</v>
      </c>
      <c r="L38" s="136">
        <f t="shared" si="6"/>
        <v>889.92511791855213</v>
      </c>
      <c r="M38" s="136">
        <f t="shared" si="7"/>
        <v>594.7027117647059</v>
      </c>
      <c r="N38" s="115"/>
      <c r="O38" s="131">
        <f>C38*ResourcesEmissions!B42</f>
        <v>919.36914001112495</v>
      </c>
      <c r="P38" s="131">
        <f>C38*ResourcesEmissions!C42</f>
        <v>708.22925069829773</v>
      </c>
      <c r="Q38" s="131">
        <f>C38*ResourcesEmissions!E42</f>
        <v>8819.3381341561635</v>
      </c>
      <c r="R38" s="115"/>
      <c r="S38" s="131">
        <f t="shared" si="8"/>
        <v>16359.952141088412</v>
      </c>
      <c r="T38" s="131">
        <f t="shared" si="9"/>
        <v>16814.573039800627</v>
      </c>
      <c r="U38" s="131">
        <f t="shared" si="10"/>
        <v>187408.74848072571</v>
      </c>
      <c r="V38" s="115"/>
      <c r="W38" s="128"/>
      <c r="X38" s="128"/>
      <c r="Y38" s="128"/>
      <c r="Z38" s="115"/>
      <c r="AA38" s="126"/>
      <c r="AB38" s="126"/>
      <c r="AC38" s="126"/>
      <c r="AD38" s="115"/>
      <c r="AE38" s="126"/>
      <c r="AF38" s="126"/>
      <c r="AG38" s="126"/>
      <c r="AH38" s="115"/>
      <c r="AI38" s="128"/>
      <c r="AJ38" s="128"/>
      <c r="AK38" s="128"/>
      <c r="AL38" s="115"/>
      <c r="AM38" s="126"/>
      <c r="AN38" s="126"/>
      <c r="AO38" s="126"/>
      <c r="AP38" s="115"/>
      <c r="AQ38" s="126"/>
      <c r="AR38" s="126"/>
      <c r="AS38" s="126"/>
    </row>
    <row r="39" spans="1:45" x14ac:dyDescent="0.25">
      <c r="A39" s="94">
        <v>1984</v>
      </c>
      <c r="B39" s="139" cm="1">
        <f t="array" ref="B39">SUMPRODUCT((PARIS!$C$4:'PARIS'!$C$103=A39)*PARIS!$X$4:$X$103)+SUMPRODUCT((PARIS!$AA$4:'PARIS'!$AA$103=A39)*PARIS!$AQ$4:$AQ$103)+SUMPRODUCT((PARIS!$AB$4:'PARIS'!$AB$103=A39)*PARIS!$AQ$4:$AQ$103)</f>
        <v>46518</v>
      </c>
      <c r="C39" s="139" cm="1">
        <f t="array" ref="C39">SUMPRODUCT((PARIS!$C$4:'PARIS'!$C$103=A39)*PARIS!$Y$4:$Y$103)+SUMPRODUCT((PARIS!$AA$4:'PARIS'!$AA$103=A39)*PARIS!$AR$4:$AR$103)+SUMPRODUCT((PARIS!$AB$4:'PARIS'!$AB$103=A39)*PARIS!$AR$4:$AR$103)</f>
        <v>941.15499999999997</v>
      </c>
      <c r="D39" s="136" cm="1">
        <f t="array" ref="D39">SUMPRODUCT((PARIS!$C$4:'PARIS'!$C$103=A39)*PARIS!$O$4:$O$103)+SUMPRODUCT((PARIS!$AA$4:'PARIS'!$AA$103=A39)*PARIS!$AM$4:$AM$103)+SUMPRODUCT((PARIS!$AB$4:'PARIS'!$AB$103=A39)*PARIS!$AM$4:$AM$103)</f>
        <v>96</v>
      </c>
      <c r="E39" s="136" cm="1">
        <f t="array" ref="E39">SUMPRODUCT((PARIS!$C$4:'PARIS'!$C$103=A39)*PARIS!$R$4:$R$103)+SUMPRODUCT((PARIS!$AA$4:'PARIS'!$AA$103=A39)*PARIS!$AP$4:$AP$103)+SUMPRODUCT((PARIS!$AB$4:'PARIS'!$AB$103=A39)*PARIS!$AP$4:$AP$103)</f>
        <v>845.15499999999997</v>
      </c>
      <c r="F39" s="136" cm="1">
        <f t="array" ref="F39">SUMPRODUCT((PARIS!$C$4:'PARIS'!$C$103=A39)*PARIS!$V$4:$V$103)+SUMPRODUCT((PARIS!$AA$4:'PARIS'!$AA$103=A39)*PARIS!$AS$4:$AS$103)+SUMPRODUCT((PARIS!$AB$4:'PARIS'!$AB$103=A39)*PARIS!$AS$4:$AS$103)</f>
        <v>41.762285714285717</v>
      </c>
      <c r="G39" s="136" cm="1">
        <f t="array" ref="G39">SUMPRODUCT((PARIS!$C$4:'PARIS'!$C$103=A39)*PARIS!$W$4:$W$103)+SUMPRODUCT((PARIS!$AA$4:'PARIS'!$AA$103=A39)*PARIS!$AT$4:$AT$103)+SUMPRODUCT((PARIS!$AB$4:'PARIS'!$AB$103=A39)*PARIS!$AT$4:$AT$103)</f>
        <v>41.762285714285717</v>
      </c>
      <c r="H39" s="115"/>
      <c r="I39" s="139">
        <f t="shared" ref="I39:I70" si="11">C39+I38</f>
        <v>12925.1847</v>
      </c>
      <c r="J39" s="136">
        <f t="shared" si="4"/>
        <v>2575.0734500000003</v>
      </c>
      <c r="K39" s="136">
        <f t="shared" si="5"/>
        <v>10350.11125</v>
      </c>
      <c r="L39" s="136">
        <f t="shared" si="6"/>
        <v>931.6874036328378</v>
      </c>
      <c r="M39" s="136">
        <f t="shared" si="7"/>
        <v>636.46499747899156</v>
      </c>
      <c r="N39" s="115"/>
      <c r="O39" s="131">
        <f>C39*ResourcesEmissions!B43</f>
        <v>1205.3750147666544</v>
      </c>
      <c r="P39" s="131">
        <f>C39*ResourcesEmissions!C43</f>
        <v>916.2775696683633</v>
      </c>
      <c r="Q39" s="131">
        <f>C39*ResourcesEmissions!E43</f>
        <v>11612.933177781031</v>
      </c>
      <c r="R39" s="115"/>
      <c r="S39" s="131">
        <f t="shared" si="8"/>
        <v>17565.327155855066</v>
      </c>
      <c r="T39" s="131">
        <f t="shared" si="9"/>
        <v>17730.850609468991</v>
      </c>
      <c r="U39" s="131">
        <f t="shared" si="10"/>
        <v>199021.68165850674</v>
      </c>
      <c r="V39" s="115"/>
      <c r="W39" s="128"/>
      <c r="X39" s="128"/>
      <c r="Y39" s="128"/>
      <c r="Z39" s="115"/>
      <c r="AA39" s="126"/>
      <c r="AB39" s="126"/>
      <c r="AC39" s="126"/>
      <c r="AD39" s="115"/>
      <c r="AE39" s="126"/>
      <c r="AF39" s="126"/>
      <c r="AG39" s="126"/>
      <c r="AH39" s="115"/>
      <c r="AI39" s="128"/>
      <c r="AJ39" s="128"/>
      <c r="AK39" s="128"/>
      <c r="AL39" s="115"/>
      <c r="AM39" s="126"/>
      <c r="AN39" s="126"/>
      <c r="AO39" s="126"/>
      <c r="AP39" s="115"/>
      <c r="AQ39" s="126"/>
      <c r="AR39" s="126"/>
      <c r="AS39" s="126"/>
    </row>
    <row r="40" spans="1:45" x14ac:dyDescent="0.25">
      <c r="A40" s="94">
        <v>1985</v>
      </c>
      <c r="B40" s="139" cm="1">
        <f t="array" ref="B40">SUMPRODUCT((PARIS!$C$4:'PARIS'!$C$103=A40)*PARIS!$X$4:$X$103)+SUMPRODUCT((PARIS!$AA$4:'PARIS'!$AA$103=A40)*PARIS!$AQ$4:$AQ$103)+SUMPRODUCT((PARIS!$AB$4:'PARIS'!$AB$103=A40)*PARIS!$AQ$4:$AQ$103)</f>
        <v>98689.391999999993</v>
      </c>
      <c r="C40" s="139" cm="1">
        <f t="array" ref="C40">SUMPRODUCT((PARIS!$C$4:'PARIS'!$C$103=A40)*PARIS!$Y$4:$Y$103)+SUMPRODUCT((PARIS!$AA$4:'PARIS'!$AA$103=A40)*PARIS!$AR$4:$AR$103)+SUMPRODUCT((PARIS!$AB$4:'PARIS'!$AB$103=A40)*PARIS!$AR$4:$AR$103)</f>
        <v>2160.8863200000001</v>
      </c>
      <c r="D40" s="136" cm="1">
        <f t="array" ref="D40">SUMPRODUCT((PARIS!$C$4:'PARIS'!$C$103=A40)*PARIS!$O$4:$O$103)+SUMPRODUCT((PARIS!$AA$4:'PARIS'!$AA$103=A40)*PARIS!$AM$4:$AM$103)+SUMPRODUCT((PARIS!$AB$4:'PARIS'!$AB$103=A40)*PARIS!$AM$4:$AM$103)</f>
        <v>477</v>
      </c>
      <c r="E40" s="136" cm="1">
        <f t="array" ref="E40">SUMPRODUCT((PARIS!$C$4:'PARIS'!$C$103=A40)*PARIS!$R$4:$R$103)+SUMPRODUCT((PARIS!$AA$4:'PARIS'!$AA$103=A40)*PARIS!$AP$4:$AP$103)+SUMPRODUCT((PARIS!$AB$4:'PARIS'!$AB$103=A40)*PARIS!$AP$4:$AP$103)</f>
        <v>1683.8863200000001</v>
      </c>
      <c r="F40" s="136" cm="1">
        <f t="array" ref="F40">SUMPRODUCT((PARIS!$C$4:'PARIS'!$C$103=A40)*PARIS!$V$4:$V$103)+SUMPRODUCT((PARIS!$AA$4:'PARIS'!$AA$103=A40)*PARIS!$AS$4:$AS$103)+SUMPRODUCT((PARIS!$AB$4:'PARIS'!$AB$103=A40)*PARIS!$AS$4:$AS$103)</f>
        <v>242.43727999999999</v>
      </c>
      <c r="G40" s="136" cm="1">
        <f t="array" ref="G40">SUMPRODUCT((PARIS!$C$4:'PARIS'!$C$103=A40)*PARIS!$W$4:$W$103)+SUMPRODUCT((PARIS!$AA$4:'PARIS'!$AA$103=A40)*PARIS!$AT$4:$AT$103)+SUMPRODUCT((PARIS!$AB$4:'PARIS'!$AB$103=A40)*PARIS!$AT$4:$AT$103)</f>
        <v>142.80568</v>
      </c>
      <c r="H40" s="115"/>
      <c r="I40" s="139">
        <f t="shared" si="11"/>
        <v>15086.071019999999</v>
      </c>
      <c r="J40" s="136">
        <f t="shared" si="4"/>
        <v>3052.0734500000003</v>
      </c>
      <c r="K40" s="136">
        <f t="shared" si="5"/>
        <v>12033.99757</v>
      </c>
      <c r="L40" s="136">
        <f t="shared" si="6"/>
        <v>1174.1246836328378</v>
      </c>
      <c r="M40" s="136">
        <f t="shared" si="7"/>
        <v>779.2706774789915</v>
      </c>
      <c r="N40" s="115"/>
      <c r="O40" s="131">
        <f>C40*ResourcesEmissions!B44</f>
        <v>2742.0797958102271</v>
      </c>
      <c r="P40" s="131">
        <f>C40*ResourcesEmissions!C44</f>
        <v>2052.8420040000001</v>
      </c>
      <c r="Q40" s="131">
        <f>C40*ResourcesEmissions!E44</f>
        <v>26470.85742</v>
      </c>
      <c r="R40" s="115"/>
      <c r="S40" s="131">
        <f t="shared" si="8"/>
        <v>20307.406951665293</v>
      </c>
      <c r="T40" s="131">
        <f t="shared" si="9"/>
        <v>19783.692613468993</v>
      </c>
      <c r="U40" s="131">
        <f t="shared" si="10"/>
        <v>225492.53907850676</v>
      </c>
      <c r="V40" s="115"/>
      <c r="W40" s="128"/>
      <c r="X40" s="128"/>
      <c r="Y40" s="128"/>
      <c r="Z40" s="115"/>
      <c r="AA40" s="126"/>
      <c r="AB40" s="126"/>
      <c r="AC40" s="126"/>
      <c r="AD40" s="115"/>
      <c r="AE40" s="126"/>
      <c r="AF40" s="126"/>
      <c r="AG40" s="126"/>
      <c r="AH40" s="115"/>
      <c r="AI40" s="128"/>
      <c r="AJ40" s="128"/>
      <c r="AK40" s="128"/>
      <c r="AL40" s="115"/>
      <c r="AM40" s="126"/>
      <c r="AN40" s="126"/>
      <c r="AO40" s="126"/>
      <c r="AP40" s="115"/>
      <c r="AQ40" s="126"/>
      <c r="AR40" s="126"/>
      <c r="AS40" s="126"/>
    </row>
    <row r="41" spans="1:45" x14ac:dyDescent="0.25">
      <c r="A41" s="94">
        <v>1986</v>
      </c>
      <c r="B41" s="139" cm="1">
        <f t="array" ref="B41">SUMPRODUCT((PARIS!$C$4:'PARIS'!$C$103=A41)*PARIS!$X$4:$X$103)+SUMPRODUCT((PARIS!$AA$4:'PARIS'!$AA$103=A41)*PARIS!$AQ$4:$AQ$103)+SUMPRODUCT((PARIS!$AB$4:'PARIS'!$AB$103=A41)*PARIS!$AQ$4:$AQ$103)</f>
        <v>55542.712500000001</v>
      </c>
      <c r="C41" s="139" cm="1">
        <f t="array" ref="C41">SUMPRODUCT((PARIS!$C$4:'PARIS'!$C$103=A41)*PARIS!$Y$4:$Y$103)+SUMPRODUCT((PARIS!$AA$4:'PARIS'!$AA$103=A41)*PARIS!$AR$4:$AR$103)+SUMPRODUCT((PARIS!$AB$4:'PARIS'!$AB$103=A41)*PARIS!$AR$4:$AR$103)</f>
        <v>1126.2999374999999</v>
      </c>
      <c r="D41" s="136" cm="1">
        <f t="array" ref="D41">SUMPRODUCT((PARIS!$C$4:'PARIS'!$C$103=A41)*PARIS!$O$4:$O$103)+SUMPRODUCT((PARIS!$AA$4:'PARIS'!$AA$103=A41)*PARIS!$AM$4:$AM$103)+SUMPRODUCT((PARIS!$AB$4:'PARIS'!$AB$103=A41)*PARIS!$AM$4:$AM$103)</f>
        <v>261.93375000000003</v>
      </c>
      <c r="E41" s="136" cm="1">
        <f t="array" ref="E41">SUMPRODUCT((PARIS!$C$4:'PARIS'!$C$103=A41)*PARIS!$R$4:$R$103)+SUMPRODUCT((PARIS!$AA$4:'PARIS'!$AA$103=A41)*PARIS!$AP$4:$AP$103)+SUMPRODUCT((PARIS!$AB$4:'PARIS'!$AB$103=A41)*PARIS!$AP$4:$AP$103)</f>
        <v>864.36618750000002</v>
      </c>
      <c r="F41" s="136" cm="1">
        <f t="array" ref="F41">SUMPRODUCT((PARIS!$C$4:'PARIS'!$C$103=A41)*PARIS!$V$4:$V$103)+SUMPRODUCT((PARIS!$AA$4:'PARIS'!$AA$103=A41)*PARIS!$AS$4:$AS$103)+SUMPRODUCT((PARIS!$AB$4:'PARIS'!$AB$103=A41)*PARIS!$AS$4:$AS$103)</f>
        <v>120.66305000000001</v>
      </c>
      <c r="G41" s="136" cm="1">
        <f t="array" ref="G41">SUMPRODUCT((PARIS!$C$4:'PARIS'!$C$103=A41)*PARIS!$W$4:$W$103)+SUMPRODUCT((PARIS!$AA$4:'PARIS'!$AA$103=A41)*PARIS!$AT$4:$AT$103)+SUMPRODUCT((PARIS!$AB$4:'PARIS'!$AB$103=A41)*PARIS!$AT$4:$AT$103)</f>
        <v>65.938050000000004</v>
      </c>
      <c r="H41" s="115"/>
      <c r="I41" s="139">
        <f t="shared" si="11"/>
        <v>16212.370957499999</v>
      </c>
      <c r="J41" s="136">
        <f t="shared" si="4"/>
        <v>3314.0072000000005</v>
      </c>
      <c r="K41" s="136">
        <f t="shared" si="5"/>
        <v>12898.363757499999</v>
      </c>
      <c r="L41" s="136">
        <f t="shared" si="6"/>
        <v>1294.7877336328379</v>
      </c>
      <c r="M41" s="136">
        <f t="shared" si="7"/>
        <v>845.20872747899148</v>
      </c>
      <c r="N41" s="115"/>
      <c r="O41" s="131">
        <f>C41*ResourcesEmissions!B45</f>
        <v>1415.9569717725378</v>
      </c>
      <c r="P41" s="131">
        <f>C41*ResourcesEmissions!C45</f>
        <v>1036.7653997483999</v>
      </c>
      <c r="Q41" s="131">
        <f>C41*ResourcesEmissions!E45</f>
        <v>13578.977651046349</v>
      </c>
      <c r="R41" s="115"/>
      <c r="S41" s="131">
        <f t="shared" si="8"/>
        <v>21723.363923437832</v>
      </c>
      <c r="T41" s="131">
        <f t="shared" si="9"/>
        <v>20820.458013217394</v>
      </c>
      <c r="U41" s="131">
        <f t="shared" si="10"/>
        <v>239071.51672955311</v>
      </c>
      <c r="V41" s="115"/>
      <c r="W41" s="128"/>
      <c r="X41" s="128"/>
      <c r="Y41" s="128"/>
      <c r="Z41" s="115"/>
      <c r="AA41" s="126"/>
      <c r="AB41" s="126"/>
      <c r="AC41" s="126"/>
      <c r="AD41" s="115"/>
      <c r="AE41" s="126"/>
      <c r="AF41" s="126"/>
      <c r="AG41" s="126"/>
      <c r="AH41" s="115"/>
      <c r="AI41" s="128"/>
      <c r="AJ41" s="128"/>
      <c r="AK41" s="128"/>
      <c r="AL41" s="115"/>
      <c r="AM41" s="126"/>
      <c r="AN41" s="126"/>
      <c r="AO41" s="126"/>
      <c r="AP41" s="115"/>
      <c r="AQ41" s="126"/>
      <c r="AR41" s="126"/>
      <c r="AS41" s="126"/>
    </row>
    <row r="42" spans="1:45" x14ac:dyDescent="0.25">
      <c r="A42" s="94">
        <v>1987</v>
      </c>
      <c r="B42" s="139" cm="1">
        <f t="array" ref="B42">SUMPRODUCT((PARIS!$C$4:'PARIS'!$C$103=A42)*PARIS!$X$4:$X$103)+SUMPRODUCT((PARIS!$AA$4:'PARIS'!$AA$103=A42)*PARIS!$AQ$4:$AQ$103)+SUMPRODUCT((PARIS!$AB$4:'PARIS'!$AB$103=A42)*PARIS!$AQ$4:$AQ$103)</f>
        <v>0</v>
      </c>
      <c r="C42" s="139" cm="1">
        <f t="array" ref="C42">SUMPRODUCT((PARIS!$C$4:'PARIS'!$C$103=A42)*PARIS!$Y$4:$Y$103)+SUMPRODUCT((PARIS!$AA$4:'PARIS'!$AA$103=A42)*PARIS!$AR$4:$AR$103)+SUMPRODUCT((PARIS!$AB$4:'PARIS'!$AB$103=A42)*PARIS!$AR$4:$AR$103)</f>
        <v>0</v>
      </c>
      <c r="D42" s="136" cm="1">
        <f t="array" ref="D42">SUMPRODUCT((PARIS!$C$4:'PARIS'!$C$103=A42)*PARIS!$O$4:$O$103)+SUMPRODUCT((PARIS!$AA$4:'PARIS'!$AA$103=A42)*PARIS!$AM$4:$AM$103)+SUMPRODUCT((PARIS!$AB$4:'PARIS'!$AB$103=A42)*PARIS!$AM$4:$AM$103)</f>
        <v>0</v>
      </c>
      <c r="E42" s="136" cm="1">
        <f t="array" ref="E42">SUMPRODUCT((PARIS!$C$4:'PARIS'!$C$103=A42)*PARIS!$R$4:$R$103)+SUMPRODUCT((PARIS!$AA$4:'PARIS'!$AA$103=A42)*PARIS!$AP$4:$AP$103)+SUMPRODUCT((PARIS!$AB$4:'PARIS'!$AB$103=A42)*PARIS!$AP$4:$AP$103)</f>
        <v>0</v>
      </c>
      <c r="F42" s="136" cm="1">
        <f t="array" ref="F42">SUMPRODUCT((PARIS!$C$4:'PARIS'!$C$103=A42)*PARIS!$V$4:$V$103)+SUMPRODUCT((PARIS!$AA$4:'PARIS'!$AA$103=A42)*PARIS!$AS$4:$AS$103)+SUMPRODUCT((PARIS!$AB$4:'PARIS'!$AB$103=A42)*PARIS!$AS$4:$AS$103)</f>
        <v>0</v>
      </c>
      <c r="G42" s="136" cm="1">
        <f t="array" ref="G42">SUMPRODUCT((PARIS!$C$4:'PARIS'!$C$103=A42)*PARIS!$W$4:$W$103)+SUMPRODUCT((PARIS!$AA$4:'PARIS'!$AA$103=A42)*PARIS!$AT$4:$AT$103)+SUMPRODUCT((PARIS!$AB$4:'PARIS'!$AB$103=A42)*PARIS!$AT$4:$AT$103)</f>
        <v>0</v>
      </c>
      <c r="H42" s="115"/>
      <c r="I42" s="139">
        <f t="shared" si="11"/>
        <v>16212.370957499999</v>
      </c>
      <c r="J42" s="136">
        <f t="shared" si="4"/>
        <v>3314.0072000000005</v>
      </c>
      <c r="K42" s="136">
        <f t="shared" si="5"/>
        <v>12898.363757499999</v>
      </c>
      <c r="L42" s="136">
        <f t="shared" si="6"/>
        <v>1294.7877336328379</v>
      </c>
      <c r="M42" s="136">
        <f t="shared" si="7"/>
        <v>845.20872747899148</v>
      </c>
      <c r="N42" s="115"/>
      <c r="O42" s="131">
        <f>C42*ResourcesEmissions!B46</f>
        <v>0</v>
      </c>
      <c r="P42" s="131">
        <f>C42*ResourcesEmissions!C46</f>
        <v>0</v>
      </c>
      <c r="Q42" s="131">
        <f>C42*ResourcesEmissions!E46</f>
        <v>0</v>
      </c>
      <c r="R42" s="115"/>
      <c r="S42" s="131">
        <f t="shared" si="8"/>
        <v>21723.363923437832</v>
      </c>
      <c r="T42" s="131">
        <f t="shared" si="9"/>
        <v>20820.458013217394</v>
      </c>
      <c r="U42" s="131">
        <f t="shared" si="10"/>
        <v>239071.51672955311</v>
      </c>
      <c r="V42" s="115"/>
      <c r="W42" s="128"/>
      <c r="X42" s="128"/>
      <c r="Y42" s="128"/>
      <c r="Z42" s="115"/>
      <c r="AA42" s="126"/>
      <c r="AB42" s="126"/>
      <c r="AC42" s="126"/>
      <c r="AD42" s="115"/>
      <c r="AE42" s="126"/>
      <c r="AF42" s="126"/>
      <c r="AG42" s="126"/>
      <c r="AH42" s="115"/>
      <c r="AI42" s="128"/>
      <c r="AJ42" s="128"/>
      <c r="AK42" s="128"/>
      <c r="AL42" s="115"/>
      <c r="AM42" s="126"/>
      <c r="AN42" s="126"/>
      <c r="AO42" s="126"/>
      <c r="AP42" s="115"/>
      <c r="AQ42" s="126"/>
      <c r="AR42" s="126"/>
      <c r="AS42" s="126"/>
    </row>
    <row r="43" spans="1:45" x14ac:dyDescent="0.25">
      <c r="A43" s="94">
        <v>1988</v>
      </c>
      <c r="B43" s="139" cm="1">
        <f t="array" ref="B43">SUMPRODUCT((PARIS!$C$4:'PARIS'!$C$103=A43)*PARIS!$X$4:$X$103)+SUMPRODUCT((PARIS!$AA$4:'PARIS'!$AA$103=A43)*PARIS!$AQ$4:$AQ$103)+SUMPRODUCT((PARIS!$AB$4:'PARIS'!$AB$103=A43)*PARIS!$AQ$4:$AQ$103)</f>
        <v>45452.34</v>
      </c>
      <c r="C43" s="139" cm="1">
        <f t="array" ref="C43">SUMPRODUCT((PARIS!$C$4:'PARIS'!$C$103=A43)*PARIS!$Y$4:$Y$103)+SUMPRODUCT((PARIS!$AA$4:'PARIS'!$AA$103=A43)*PARIS!$AR$4:$AR$103)+SUMPRODUCT((PARIS!$AB$4:'PARIS'!$AB$103=A43)*PARIS!$AR$4:$AR$103)</f>
        <v>993.61889999999994</v>
      </c>
      <c r="D43" s="136" cm="1">
        <f t="array" ref="D43">SUMPRODUCT((PARIS!$C$4:'PARIS'!$C$103=A43)*PARIS!$O$4:$O$103)+SUMPRODUCT((PARIS!$AA$4:'PARIS'!$AA$103=A43)*PARIS!$AM$4:$AM$103)+SUMPRODUCT((PARIS!$AB$4:'PARIS'!$AB$103=A43)*PARIS!$AM$4:$AM$103)</f>
        <v>290.58749999999998</v>
      </c>
      <c r="E43" s="136" cm="1">
        <f t="array" ref="E43">SUMPRODUCT((PARIS!$C$4:'PARIS'!$C$103=A43)*PARIS!$R$4:$R$103)+SUMPRODUCT((PARIS!$AA$4:'PARIS'!$AA$103=A43)*PARIS!$AP$4:$AP$103)+SUMPRODUCT((PARIS!$AB$4:'PARIS'!$AB$103=A43)*PARIS!$AP$4:$AP$103)</f>
        <v>703.03139999999996</v>
      </c>
      <c r="F43" s="136" cm="1">
        <f t="array" ref="F43">SUMPRODUCT((PARIS!$C$4:'PARIS'!$C$103=A43)*PARIS!$V$4:$V$103)+SUMPRODUCT((PARIS!$AA$4:'PARIS'!$AA$103=A43)*PARIS!$AS$4:$AS$103)+SUMPRODUCT((PARIS!$AB$4:'PARIS'!$AB$103=A43)*PARIS!$AS$4:$AS$103)</f>
        <v>77.58972</v>
      </c>
      <c r="G43" s="136" cm="1">
        <f t="array" ref="G43">SUMPRODUCT((PARIS!$C$4:'PARIS'!$C$103=A43)*PARIS!$W$4:$W$103)+SUMPRODUCT((PARIS!$AA$4:'PARIS'!$AA$103=A43)*PARIS!$AT$4:$AT$103)+SUMPRODUCT((PARIS!$AB$4:'PARIS'!$AB$103=A43)*PARIS!$AT$4:$AT$103)</f>
        <v>44.379719999999999</v>
      </c>
      <c r="H43" s="115"/>
      <c r="I43" s="139">
        <f t="shared" si="11"/>
        <v>17205.989857500001</v>
      </c>
      <c r="J43" s="136">
        <f t="shared" si="4"/>
        <v>3604.5947000000006</v>
      </c>
      <c r="K43" s="136">
        <f t="shared" si="5"/>
        <v>13601.395157499999</v>
      </c>
      <c r="L43" s="136">
        <f t="shared" si="6"/>
        <v>1372.3774536328378</v>
      </c>
      <c r="M43" s="136">
        <f t="shared" si="7"/>
        <v>889.5884474789915</v>
      </c>
      <c r="N43" s="115"/>
      <c r="O43" s="131">
        <f>C43*ResourcesEmissions!B47</f>
        <v>1226.3855418143371</v>
      </c>
      <c r="P43" s="131">
        <f>C43*ResourcesEmissions!C47</f>
        <v>848.33114954687994</v>
      </c>
      <c r="Q43" s="131">
        <f>C43*ResourcesEmissions!E47</f>
        <v>11284.969453480073</v>
      </c>
      <c r="R43" s="115"/>
      <c r="S43" s="131">
        <f t="shared" si="8"/>
        <v>22949.749465252167</v>
      </c>
      <c r="T43" s="131">
        <f t="shared" si="9"/>
        <v>21668.789162764275</v>
      </c>
      <c r="U43" s="131">
        <f t="shared" si="10"/>
        <v>250356.48618303318</v>
      </c>
      <c r="V43" s="115"/>
      <c r="W43" s="128"/>
      <c r="X43" s="128"/>
      <c r="Y43" s="128"/>
      <c r="Z43" s="115"/>
      <c r="AA43" s="126"/>
      <c r="AB43" s="126"/>
      <c r="AC43" s="126"/>
      <c r="AD43" s="115"/>
      <c r="AE43" s="126"/>
      <c r="AF43" s="126"/>
      <c r="AG43" s="126"/>
      <c r="AH43" s="115"/>
      <c r="AI43" s="128"/>
      <c r="AJ43" s="128"/>
      <c r="AK43" s="128"/>
      <c r="AL43" s="115"/>
      <c r="AM43" s="126"/>
      <c r="AN43" s="126"/>
      <c r="AO43" s="126"/>
      <c r="AP43" s="115"/>
      <c r="AQ43" s="126"/>
      <c r="AR43" s="126"/>
      <c r="AS43" s="126"/>
    </row>
    <row r="44" spans="1:45" x14ac:dyDescent="0.25">
      <c r="A44" s="94">
        <v>1989</v>
      </c>
      <c r="B44" s="139" cm="1">
        <f t="array" ref="B44">SUMPRODUCT((PARIS!$C$4:'PARIS'!$C$103=A44)*PARIS!$X$4:$X$103)+SUMPRODUCT((PARIS!$AA$4:'PARIS'!$AA$103=A44)*PARIS!$AQ$4:$AQ$103)+SUMPRODUCT((PARIS!$AB$4:'PARIS'!$AB$103=A44)*PARIS!$AQ$4:$AQ$103)</f>
        <v>30074.239999999998</v>
      </c>
      <c r="C44" s="139" cm="1">
        <f t="array" ref="C44">SUMPRODUCT((PARIS!$C$4:'PARIS'!$C$103=A44)*PARIS!$Y$4:$Y$103)+SUMPRODUCT((PARIS!$AA$4:'PARIS'!$AA$103=A44)*PARIS!$AR$4:$AR$103)+SUMPRODUCT((PARIS!$AB$4:'PARIS'!$AB$103=A44)*PARIS!$AR$4:$AR$103)</f>
        <v>1015.5347999999999</v>
      </c>
      <c r="D44" s="136" cm="1">
        <f t="array" ref="D44">SUMPRODUCT((PARIS!$C$4:'PARIS'!$C$103=A44)*PARIS!$O$4:$O$103)+SUMPRODUCT((PARIS!$AA$4:'PARIS'!$AA$103=A44)*PARIS!$AM$4:$AM$103)+SUMPRODUCT((PARIS!$AB$4:'PARIS'!$AB$103=A44)*PARIS!$AM$4:$AM$103)</f>
        <v>745.29</v>
      </c>
      <c r="E44" s="136" cm="1">
        <f t="array" ref="E44">SUMPRODUCT((PARIS!$C$4:'PARIS'!$C$103=A44)*PARIS!$R$4:$R$103)+SUMPRODUCT((PARIS!$AA$4:'PARIS'!$AA$103=A44)*PARIS!$AP$4:$AP$103)+SUMPRODUCT((PARIS!$AB$4:'PARIS'!$AB$103=A44)*PARIS!$AP$4:$AP$103)</f>
        <v>270.2448</v>
      </c>
      <c r="F44" s="136" cm="1">
        <f t="array" ref="F44">SUMPRODUCT((PARIS!$C$4:'PARIS'!$C$103=A44)*PARIS!$V$4:$V$103)+SUMPRODUCT((PARIS!$AA$4:'PARIS'!$AA$103=A44)*PARIS!$AS$4:$AS$103)+SUMPRODUCT((PARIS!$AB$4:'PARIS'!$AB$103=A44)*PARIS!$AS$4:$AS$103)</f>
        <v>77.212800000000001</v>
      </c>
      <c r="G44" s="136" cm="1">
        <f t="array" ref="G44">SUMPRODUCT((PARIS!$C$4:'PARIS'!$C$103=A44)*PARIS!$W$4:$W$103)+SUMPRODUCT((PARIS!$AA$4:'PARIS'!$AA$103=A44)*PARIS!$AT$4:$AT$103)+SUMPRODUCT((PARIS!$AB$4:'PARIS'!$AB$103=A44)*PARIS!$AT$4:$AT$103)</f>
        <v>38.606400000000001</v>
      </c>
      <c r="H44" s="115"/>
      <c r="I44" s="139">
        <f t="shared" si="11"/>
        <v>18221.524657500002</v>
      </c>
      <c r="J44" s="136">
        <f t="shared" si="4"/>
        <v>4349.8847000000005</v>
      </c>
      <c r="K44" s="136">
        <f t="shared" si="5"/>
        <v>13871.6399575</v>
      </c>
      <c r="L44" s="136">
        <f t="shared" si="6"/>
        <v>1449.5902536328379</v>
      </c>
      <c r="M44" s="136">
        <f t="shared" si="7"/>
        <v>928.19484747899151</v>
      </c>
      <c r="N44" s="115"/>
      <c r="O44" s="131">
        <f>C44*ResourcesEmissions!B48</f>
        <v>1242.4744839455905</v>
      </c>
      <c r="P44" s="131">
        <f>C44*ResourcesEmissions!C48</f>
        <v>842.41292671871997</v>
      </c>
      <c r="Q44" s="131">
        <f>C44*ResourcesEmissions!E48</f>
        <v>11144.045097176509</v>
      </c>
      <c r="R44" s="115"/>
      <c r="S44" s="131">
        <f t="shared" si="8"/>
        <v>24192.223949197756</v>
      </c>
      <c r="T44" s="131">
        <f t="shared" si="9"/>
        <v>22511.202089482995</v>
      </c>
      <c r="U44" s="131">
        <f t="shared" si="10"/>
        <v>261500.53128020969</v>
      </c>
      <c r="V44" s="115"/>
      <c r="W44" s="128"/>
      <c r="X44" s="128"/>
      <c r="Y44" s="128"/>
      <c r="Z44" s="115"/>
      <c r="AA44" s="126"/>
      <c r="AB44" s="126"/>
      <c r="AC44" s="126"/>
      <c r="AD44" s="115"/>
      <c r="AE44" s="126"/>
      <c r="AF44" s="126"/>
      <c r="AG44" s="126"/>
      <c r="AH44" s="115"/>
      <c r="AI44" s="128"/>
      <c r="AJ44" s="128"/>
      <c r="AK44" s="128"/>
      <c r="AL44" s="115"/>
      <c r="AM44" s="126"/>
      <c r="AN44" s="126"/>
      <c r="AO44" s="126"/>
      <c r="AP44" s="115"/>
      <c r="AQ44" s="126"/>
      <c r="AR44" s="126"/>
      <c r="AS44" s="126"/>
    </row>
    <row r="45" spans="1:45" x14ac:dyDescent="0.25">
      <c r="A45" s="94">
        <v>1990</v>
      </c>
      <c r="B45" s="139" cm="1">
        <f t="array" ref="B45">SUMPRODUCT((PARIS!$C$4:'PARIS'!$C$103=A45)*PARIS!$X$4:$X$103)+SUMPRODUCT((PARIS!$AA$4:'PARIS'!$AA$103=A45)*PARIS!$AQ$4:$AQ$103)+SUMPRODUCT((PARIS!$AB$4:'PARIS'!$AB$103=A45)*PARIS!$AQ$4:$AQ$103)</f>
        <v>44231.25</v>
      </c>
      <c r="C45" s="139" cm="1">
        <f t="array" ref="C45">SUMPRODUCT((PARIS!$C$4:'PARIS'!$C$103=A45)*PARIS!$Y$4:$Y$103)+SUMPRODUCT((PARIS!$AA$4:'PARIS'!$AA$103=A45)*PARIS!$AR$4:$AR$103)+SUMPRODUCT((PARIS!$AB$4:'PARIS'!$AB$103=A45)*PARIS!$AR$4:$AR$103)</f>
        <v>998.36249999999995</v>
      </c>
      <c r="D45" s="136" cm="1">
        <f t="array" ref="D45">SUMPRODUCT((PARIS!$C$4:'PARIS'!$C$103=A45)*PARIS!$O$4:$O$103)+SUMPRODUCT((PARIS!$AA$4:'PARIS'!$AA$103=A45)*PARIS!$AM$4:$AM$103)+SUMPRODUCT((PARIS!$AB$4:'PARIS'!$AB$103=A45)*PARIS!$AM$4:$AM$103)</f>
        <v>568.6875</v>
      </c>
      <c r="E45" s="136" cm="1">
        <f t="array" ref="E45">SUMPRODUCT((PARIS!$C$4:'PARIS'!$C$103=A45)*PARIS!$R$4:$R$103)+SUMPRODUCT((PARIS!$AA$4:'PARIS'!$AA$103=A45)*PARIS!$AP$4:$AP$103)+SUMPRODUCT((PARIS!$AB$4:'PARIS'!$AB$103=A45)*PARIS!$AP$4:$AP$103)</f>
        <v>429.67500000000001</v>
      </c>
      <c r="F45" s="136" cm="1">
        <f t="array" ref="F45">SUMPRODUCT((PARIS!$C$4:'PARIS'!$C$103=A45)*PARIS!$V$4:$V$103)+SUMPRODUCT((PARIS!$AA$4:'PARIS'!$AA$103=A45)*PARIS!$AS$4:$AS$103)+SUMPRODUCT((PARIS!$AB$4:'PARIS'!$AB$103=A45)*PARIS!$AS$4:$AS$103)</f>
        <v>67.356233766233771</v>
      </c>
      <c r="G45" s="136" cm="1">
        <f t="array" ref="G45">SUMPRODUCT((PARIS!$C$4:'PARIS'!$C$103=A45)*PARIS!$W$4:$W$103)+SUMPRODUCT((PARIS!$AA$4:'PARIS'!$AA$103=A45)*PARIS!$AT$4:$AT$103)+SUMPRODUCT((PARIS!$AB$4:'PARIS'!$AB$103=A45)*PARIS!$AT$4:$AT$103)</f>
        <v>33.678116883116886</v>
      </c>
      <c r="H45" s="115"/>
      <c r="I45" s="139">
        <f t="shared" si="11"/>
        <v>19219.887157500001</v>
      </c>
      <c r="J45" s="136">
        <f t="shared" si="4"/>
        <v>4918.5722000000005</v>
      </c>
      <c r="K45" s="136">
        <f t="shared" si="5"/>
        <v>14301.314957499999</v>
      </c>
      <c r="L45" s="136">
        <f t="shared" si="6"/>
        <v>1516.9464873990717</v>
      </c>
      <c r="M45" s="136">
        <f t="shared" si="7"/>
        <v>961.87296436210841</v>
      </c>
      <c r="N45" s="115"/>
      <c r="O45" s="131">
        <f>C45*ResourcesEmissions!B49</f>
        <v>1211.3544918595621</v>
      </c>
      <c r="P45" s="131">
        <f>C45*ResourcesEmissions!C49</f>
        <v>818.65724999999986</v>
      </c>
      <c r="Q45" s="131">
        <f>C45*ResourcesEmissions!E49</f>
        <v>10630.118217561809</v>
      </c>
      <c r="R45" s="115"/>
      <c r="S45" s="131">
        <f t="shared" si="8"/>
        <v>25403.578441057318</v>
      </c>
      <c r="T45" s="131">
        <f t="shared" si="9"/>
        <v>23329.859339482995</v>
      </c>
      <c r="U45" s="131">
        <f t="shared" si="10"/>
        <v>272130.64949777152</v>
      </c>
      <c r="V45" s="115"/>
      <c r="W45" s="128"/>
      <c r="X45" s="128"/>
      <c r="Y45" s="128"/>
      <c r="Z45" s="115"/>
      <c r="AA45" s="126"/>
      <c r="AB45" s="126"/>
      <c r="AC45" s="126"/>
      <c r="AD45" s="115"/>
      <c r="AE45" s="126"/>
      <c r="AF45" s="126"/>
      <c r="AG45" s="126"/>
      <c r="AH45" s="115"/>
      <c r="AI45" s="128"/>
      <c r="AJ45" s="128"/>
      <c r="AK45" s="128"/>
      <c r="AL45" s="115"/>
      <c r="AM45" s="126"/>
      <c r="AN45" s="126"/>
      <c r="AO45" s="126"/>
      <c r="AP45" s="115"/>
      <c r="AQ45" s="126"/>
      <c r="AR45" s="126"/>
      <c r="AS45" s="126"/>
    </row>
    <row r="46" spans="1:45" x14ac:dyDescent="0.25">
      <c r="A46" s="94">
        <v>1991</v>
      </c>
      <c r="B46" s="139" cm="1">
        <f t="array" ref="B46">SUMPRODUCT((PARIS!$C$4:'PARIS'!$C$103=A46)*PARIS!$X$4:$X$103)+SUMPRODUCT((PARIS!$AA$4:'PARIS'!$AA$103=A46)*PARIS!$AQ$4:$AQ$103)+SUMPRODUCT((PARIS!$AB$4:'PARIS'!$AB$103=A46)*PARIS!$AQ$4:$AQ$103)</f>
        <v>0</v>
      </c>
      <c r="C46" s="139" cm="1">
        <f t="array" ref="C46">SUMPRODUCT((PARIS!$C$4:'PARIS'!$C$103=A46)*PARIS!$Y$4:$Y$103)+SUMPRODUCT((PARIS!$AA$4:'PARIS'!$AA$103=A46)*PARIS!$AR$4:$AR$103)+SUMPRODUCT((PARIS!$AB$4:'PARIS'!$AB$103=A46)*PARIS!$AR$4:$AR$103)</f>
        <v>0</v>
      </c>
      <c r="D46" s="136" cm="1">
        <f t="array" ref="D46">SUMPRODUCT((PARIS!$C$4:'PARIS'!$C$103=A46)*PARIS!$O$4:$O$103)+SUMPRODUCT((PARIS!$AA$4:'PARIS'!$AA$103=A46)*PARIS!$AM$4:$AM$103)+SUMPRODUCT((PARIS!$AB$4:'PARIS'!$AB$103=A46)*PARIS!$AM$4:$AM$103)</f>
        <v>0</v>
      </c>
      <c r="E46" s="136" cm="1">
        <f t="array" ref="E46">SUMPRODUCT((PARIS!$C$4:'PARIS'!$C$103=A46)*PARIS!$R$4:$R$103)+SUMPRODUCT((PARIS!$AA$4:'PARIS'!$AA$103=A46)*PARIS!$AP$4:$AP$103)+SUMPRODUCT((PARIS!$AB$4:'PARIS'!$AB$103=A46)*PARIS!$AP$4:$AP$103)</f>
        <v>0</v>
      </c>
      <c r="F46" s="136" cm="1">
        <f t="array" ref="F46">SUMPRODUCT((PARIS!$C$4:'PARIS'!$C$103=A46)*PARIS!$V$4:$V$103)+SUMPRODUCT((PARIS!$AA$4:'PARIS'!$AA$103=A46)*PARIS!$AS$4:$AS$103)+SUMPRODUCT((PARIS!$AB$4:'PARIS'!$AB$103=A46)*PARIS!$AS$4:$AS$103)</f>
        <v>0</v>
      </c>
      <c r="G46" s="136" cm="1">
        <f t="array" ref="G46">SUMPRODUCT((PARIS!$C$4:'PARIS'!$C$103=A46)*PARIS!$W$4:$W$103)+SUMPRODUCT((PARIS!$AA$4:'PARIS'!$AA$103=A46)*PARIS!$AT$4:$AT$103)+SUMPRODUCT((PARIS!$AB$4:'PARIS'!$AB$103=A46)*PARIS!$AT$4:$AT$103)</f>
        <v>0</v>
      </c>
      <c r="H46" s="115"/>
      <c r="I46" s="139">
        <f t="shared" si="11"/>
        <v>19219.887157500001</v>
      </c>
      <c r="J46" s="136">
        <f t="shared" si="4"/>
        <v>4918.5722000000005</v>
      </c>
      <c r="K46" s="136">
        <f t="shared" si="5"/>
        <v>14301.314957499999</v>
      </c>
      <c r="L46" s="136">
        <f t="shared" si="6"/>
        <v>1516.9464873990717</v>
      </c>
      <c r="M46" s="136">
        <f t="shared" si="7"/>
        <v>961.87296436210841</v>
      </c>
      <c r="N46" s="115"/>
      <c r="O46" s="131">
        <f>C46*ResourcesEmissions!B50</f>
        <v>0</v>
      </c>
      <c r="P46" s="131">
        <f>C46*ResourcesEmissions!C50</f>
        <v>0</v>
      </c>
      <c r="Q46" s="131">
        <f>C46*ResourcesEmissions!E50</f>
        <v>0</v>
      </c>
      <c r="R46" s="115"/>
      <c r="S46" s="131">
        <f t="shared" si="8"/>
        <v>25403.578441057318</v>
      </c>
      <c r="T46" s="131">
        <f t="shared" si="9"/>
        <v>23329.859339482995</v>
      </c>
      <c r="U46" s="131">
        <f t="shared" si="10"/>
        <v>272130.64949777152</v>
      </c>
      <c r="V46" s="115"/>
      <c r="W46" s="128"/>
      <c r="X46" s="128"/>
      <c r="Y46" s="128"/>
      <c r="Z46" s="115"/>
      <c r="AA46" s="126"/>
      <c r="AB46" s="126"/>
      <c r="AC46" s="126"/>
      <c r="AD46" s="115"/>
      <c r="AE46" s="126"/>
      <c r="AF46" s="126"/>
      <c r="AG46" s="126"/>
      <c r="AH46" s="115"/>
      <c r="AI46" s="128"/>
      <c r="AJ46" s="128"/>
      <c r="AK46" s="128"/>
      <c r="AL46" s="115"/>
      <c r="AM46" s="126"/>
      <c r="AN46" s="126"/>
      <c r="AO46" s="126"/>
      <c r="AP46" s="115"/>
      <c r="AQ46" s="126"/>
      <c r="AR46" s="126"/>
      <c r="AS46" s="126"/>
    </row>
    <row r="47" spans="1:45" x14ac:dyDescent="0.25">
      <c r="A47" s="94">
        <v>1992</v>
      </c>
      <c r="B47" s="139" cm="1">
        <f t="array" ref="B47">SUMPRODUCT((PARIS!$C$4:'PARIS'!$C$103=A47)*PARIS!$X$4:$X$103)+SUMPRODUCT((PARIS!$AA$4:'PARIS'!$AA$103=A47)*PARIS!$AQ$4:$AQ$103)+SUMPRODUCT((PARIS!$AB$4:'PARIS'!$AB$103=A47)*PARIS!$AQ$4:$AQ$103)</f>
        <v>60264.495999999999</v>
      </c>
      <c r="C47" s="139" cm="1">
        <f t="array" ref="C47">SUMPRODUCT((PARIS!$C$4:'PARIS'!$C$103=A47)*PARIS!$Y$4:$Y$103)+SUMPRODUCT((PARIS!$AA$4:'PARIS'!$AA$103=A47)*PARIS!$AR$4:$AR$103)+SUMPRODUCT((PARIS!$AB$4:'PARIS'!$AB$103=A47)*PARIS!$AR$4:$AR$103)</f>
        <v>1352.5805600000001</v>
      </c>
      <c r="D47" s="136" cm="1">
        <f t="array" ref="D47">SUMPRODUCT((PARIS!$C$4:'PARIS'!$C$103=A47)*PARIS!$O$4:$O$103)+SUMPRODUCT((PARIS!$AA$4:'PARIS'!$AA$103=A47)*PARIS!$AM$4:$AM$103)+SUMPRODUCT((PARIS!$AB$4:'PARIS'!$AB$103=A47)*PARIS!$AM$4:$AM$103)</f>
        <v>736.45320000000004</v>
      </c>
      <c r="E47" s="136" cm="1">
        <f t="array" ref="E47">SUMPRODUCT((PARIS!$C$4:'PARIS'!$C$103=A47)*PARIS!$R$4:$R$103)+SUMPRODUCT((PARIS!$AA$4:'PARIS'!$AA$103=A47)*PARIS!$AP$4:$AP$103)+SUMPRODUCT((PARIS!$AB$4:'PARIS'!$AB$103=A47)*PARIS!$AP$4:$AP$103)</f>
        <v>616.12735999999995</v>
      </c>
      <c r="F47" s="136" cm="1">
        <f t="array" ref="F47">SUMPRODUCT((PARIS!$C$4:'PARIS'!$C$103=A47)*PARIS!$V$4:$V$103)+SUMPRODUCT((PARIS!$AA$4:'PARIS'!$AA$103=A47)*PARIS!$AS$4:$AS$103)+SUMPRODUCT((PARIS!$AB$4:'PARIS'!$AB$103=A47)*PARIS!$AS$4:$AS$103)</f>
        <v>67.628786666666656</v>
      </c>
      <c r="G47" s="136" cm="1">
        <f t="array" ref="G47">SUMPRODUCT((PARIS!$C$4:'PARIS'!$C$103=A47)*PARIS!$W$4:$W$103)+SUMPRODUCT((PARIS!$AA$4:'PARIS'!$AA$103=A47)*PARIS!$AT$4:$AT$103)+SUMPRODUCT((PARIS!$AB$4:'PARIS'!$AB$103=A47)*PARIS!$AT$4:$AT$103)</f>
        <v>33.814393333333328</v>
      </c>
      <c r="H47" s="115"/>
      <c r="I47" s="139">
        <f t="shared" si="11"/>
        <v>20572.4677175</v>
      </c>
      <c r="J47" s="136">
        <f t="shared" si="4"/>
        <v>5655.0254000000004</v>
      </c>
      <c r="K47" s="136">
        <f t="shared" si="5"/>
        <v>14917.442317499999</v>
      </c>
      <c r="L47" s="136">
        <f t="shared" si="6"/>
        <v>1584.5752740657383</v>
      </c>
      <c r="M47" s="136">
        <f t="shared" si="7"/>
        <v>995.68735769544173</v>
      </c>
      <c r="N47" s="115"/>
      <c r="O47" s="131">
        <f>C47*ResourcesEmissions!B51</f>
        <v>1617.3607395913584</v>
      </c>
      <c r="P47" s="131">
        <f>C47*ResourcesEmissions!C51</f>
        <v>1121.0187681280001</v>
      </c>
      <c r="Q47" s="131">
        <f>C47*ResourcesEmissions!E51</f>
        <v>13950.881517179494</v>
      </c>
      <c r="R47" s="115"/>
      <c r="S47" s="131">
        <f t="shared" si="8"/>
        <v>27020.939180648675</v>
      </c>
      <c r="T47" s="131">
        <f t="shared" si="9"/>
        <v>24450.878107610995</v>
      </c>
      <c r="U47" s="131">
        <f t="shared" si="10"/>
        <v>286081.531014951</v>
      </c>
      <c r="V47" s="115"/>
      <c r="W47" s="128"/>
      <c r="X47" s="128"/>
      <c r="Y47" s="128"/>
      <c r="Z47" s="115"/>
      <c r="AA47" s="126"/>
      <c r="AB47" s="126"/>
      <c r="AC47" s="126"/>
      <c r="AD47" s="115"/>
      <c r="AE47" s="126"/>
      <c r="AF47" s="126"/>
      <c r="AG47" s="126"/>
      <c r="AH47" s="115"/>
      <c r="AI47" s="128"/>
      <c r="AJ47" s="128"/>
      <c r="AK47" s="128"/>
      <c r="AL47" s="115"/>
      <c r="AM47" s="126"/>
      <c r="AN47" s="126"/>
      <c r="AO47" s="126"/>
      <c r="AP47" s="115"/>
      <c r="AQ47" s="126"/>
      <c r="AR47" s="126"/>
      <c r="AS47" s="126"/>
    </row>
    <row r="48" spans="1:45" x14ac:dyDescent="0.25">
      <c r="A48" s="94">
        <v>1993</v>
      </c>
      <c r="B48" s="139" cm="1">
        <f t="array" ref="B48">SUMPRODUCT((PARIS!$C$4:'PARIS'!$C$103=A48)*PARIS!$X$4:$X$103)+SUMPRODUCT((PARIS!$AA$4:'PARIS'!$AA$103=A48)*PARIS!$AQ$4:$AQ$103)+SUMPRODUCT((PARIS!$AB$4:'PARIS'!$AB$103=A48)*PARIS!$AQ$4:$AQ$103)</f>
        <v>2710</v>
      </c>
      <c r="C48" s="139" cm="1">
        <f t="array" ref="C48">SUMPRODUCT((PARIS!$C$4:'PARIS'!$C$103=A48)*PARIS!$Y$4:$Y$103)+SUMPRODUCT((PARIS!$AA$4:'PARIS'!$AA$103=A48)*PARIS!$AR$4:$AR$103)+SUMPRODUCT((PARIS!$AB$4:'PARIS'!$AB$103=A48)*PARIS!$AR$4:$AR$103)</f>
        <v>62.399999999999991</v>
      </c>
      <c r="D48" s="136" cm="1">
        <f t="array" ref="D48">SUMPRODUCT((PARIS!$C$4:'PARIS'!$C$103=A48)*PARIS!$O$4:$O$103)+SUMPRODUCT((PARIS!$AA$4:'PARIS'!$AA$103=A48)*PARIS!$AM$4:$AM$103)+SUMPRODUCT((PARIS!$AB$4:'PARIS'!$AB$103=A48)*PARIS!$AM$4:$AM$103)</f>
        <v>14.25</v>
      </c>
      <c r="E48" s="136" cm="1">
        <f t="array" ref="E48">SUMPRODUCT((PARIS!$C$4:'PARIS'!$C$103=A48)*PARIS!$R$4:$R$103)+SUMPRODUCT((PARIS!$AA$4:'PARIS'!$AA$103=A48)*PARIS!$AP$4:$AP$103)+SUMPRODUCT((PARIS!$AB$4:'PARIS'!$AB$103=A48)*PARIS!$AP$4:$AP$103)</f>
        <v>48.149999999999991</v>
      </c>
      <c r="F48" s="136" cm="1">
        <f t="array" ref="F48">SUMPRODUCT((PARIS!$C$4:'PARIS'!$C$103=A48)*PARIS!$V$4:$V$103)+SUMPRODUCT((PARIS!$AA$4:'PARIS'!$AA$103=A48)*PARIS!$AS$4:$AS$103)+SUMPRODUCT((PARIS!$AB$4:'PARIS'!$AB$103=A48)*PARIS!$AS$4:$AS$103)</f>
        <v>4.9933333333333341</v>
      </c>
      <c r="G48" s="136" cm="1">
        <f t="array" ref="G48">SUMPRODUCT((PARIS!$C$4:'PARIS'!$C$103=A48)*PARIS!$W$4:$W$103)+SUMPRODUCT((PARIS!$AA$4:'PARIS'!$AA$103=A48)*PARIS!$AT$4:$AT$103)+SUMPRODUCT((PARIS!$AB$4:'PARIS'!$AB$103=A48)*PARIS!$AT$4:$AT$103)</f>
        <v>2.496666666666667</v>
      </c>
      <c r="H48" s="115"/>
      <c r="I48" s="139">
        <f t="shared" si="11"/>
        <v>20634.867717500001</v>
      </c>
      <c r="J48" s="136">
        <f t="shared" si="4"/>
        <v>5669.2754000000004</v>
      </c>
      <c r="K48" s="136">
        <f t="shared" si="5"/>
        <v>14965.592317499999</v>
      </c>
      <c r="L48" s="136">
        <f t="shared" si="6"/>
        <v>1589.5686073990717</v>
      </c>
      <c r="M48" s="136">
        <f t="shared" si="7"/>
        <v>998.1840243621084</v>
      </c>
      <c r="N48" s="115"/>
      <c r="O48" s="131">
        <f>C48*ResourcesEmissions!B52</f>
        <v>74.171135999999365</v>
      </c>
      <c r="P48" s="131">
        <f>C48*ResourcesEmissions!C52</f>
        <v>52.178879999999999</v>
      </c>
      <c r="Q48" s="131">
        <f>C48*ResourcesEmissions!E52</f>
        <v>636.0716477717159</v>
      </c>
      <c r="R48" s="115"/>
      <c r="S48" s="131">
        <f t="shared" si="8"/>
        <v>27095.110316648676</v>
      </c>
      <c r="T48" s="131">
        <f t="shared" si="9"/>
        <v>24503.056987610995</v>
      </c>
      <c r="U48" s="131">
        <f t="shared" si="10"/>
        <v>286717.6026627227</v>
      </c>
      <c r="V48" s="115"/>
      <c r="W48" s="128"/>
      <c r="X48" s="128"/>
      <c r="Y48" s="128"/>
      <c r="Z48" s="115"/>
      <c r="AA48" s="126"/>
      <c r="AB48" s="126"/>
      <c r="AC48" s="126"/>
      <c r="AD48" s="115"/>
      <c r="AE48" s="126"/>
      <c r="AF48" s="126"/>
      <c r="AG48" s="126"/>
      <c r="AH48" s="115"/>
      <c r="AI48" s="128"/>
      <c r="AJ48" s="128"/>
      <c r="AK48" s="128"/>
      <c r="AL48" s="115"/>
      <c r="AM48" s="126"/>
      <c r="AN48" s="126"/>
      <c r="AO48" s="126"/>
      <c r="AP48" s="115"/>
      <c r="AQ48" s="126"/>
      <c r="AR48" s="126"/>
      <c r="AS48" s="126"/>
    </row>
    <row r="49" spans="1:45" x14ac:dyDescent="0.25">
      <c r="A49" s="94">
        <v>1994</v>
      </c>
      <c r="B49" s="139" cm="1">
        <f t="array" ref="B49">SUMPRODUCT((PARIS!$C$4:'PARIS'!$C$103=A49)*PARIS!$X$4:$X$103)+SUMPRODUCT((PARIS!$AA$4:'PARIS'!$AA$103=A49)*PARIS!$AQ$4:$AQ$103)+SUMPRODUCT((PARIS!$AB$4:'PARIS'!$AB$103=A49)*PARIS!$AQ$4:$AQ$103)</f>
        <v>4668.3</v>
      </c>
      <c r="C49" s="139" cm="1">
        <f t="array" ref="C49">SUMPRODUCT((PARIS!$C$4:'PARIS'!$C$103=A49)*PARIS!$Y$4:$Y$103)+SUMPRODUCT((PARIS!$AA$4:'PARIS'!$AA$103=A49)*PARIS!$AR$4:$AR$103)+SUMPRODUCT((PARIS!$AB$4:'PARIS'!$AB$103=A49)*PARIS!$AR$4:$AR$103)</f>
        <v>163.3905</v>
      </c>
      <c r="D49" s="136" cm="1">
        <f t="array" ref="D49">SUMPRODUCT((PARIS!$C$4:'PARIS'!$C$103=A49)*PARIS!$O$4:$O$103)+SUMPRODUCT((PARIS!$AA$4:'PARIS'!$AA$103=A49)*PARIS!$AM$4:$AM$103)+SUMPRODUCT((PARIS!$AB$4:'PARIS'!$AB$103=A49)*PARIS!$AM$4:$AM$103)</f>
        <v>0</v>
      </c>
      <c r="E49" s="136" cm="1">
        <f t="array" ref="E49">SUMPRODUCT((PARIS!$C$4:'PARIS'!$C$103=A49)*PARIS!$R$4:$R$103)+SUMPRODUCT((PARIS!$AA$4:'PARIS'!$AA$103=A49)*PARIS!$AP$4:$AP$103)+SUMPRODUCT((PARIS!$AB$4:'PARIS'!$AB$103=A49)*PARIS!$AP$4:$AP$103)</f>
        <v>163.3905</v>
      </c>
      <c r="F49" s="136" cm="1">
        <f t="array" ref="F49">SUMPRODUCT((PARIS!$C$4:'PARIS'!$C$103=A49)*PARIS!$V$4:$V$103)+SUMPRODUCT((PARIS!$AA$4:'PARIS'!$AA$103=A49)*PARIS!$AS$4:$AS$103)+SUMPRODUCT((PARIS!$AB$4:'PARIS'!$AB$103=A49)*PARIS!$AS$4:$AS$103)</f>
        <v>21.475999999999999</v>
      </c>
      <c r="G49" s="136" cm="1">
        <f t="array" ref="G49">SUMPRODUCT((PARIS!$C$4:'PARIS'!$C$103=A49)*PARIS!$W$4:$W$103)+SUMPRODUCT((PARIS!$AA$4:'PARIS'!$AA$103=A49)*PARIS!$AT$4:$AT$103)+SUMPRODUCT((PARIS!$AB$4:'PARIS'!$AB$103=A49)*PARIS!$AT$4:$AT$103)</f>
        <v>12.375999999999999</v>
      </c>
      <c r="H49" s="115"/>
      <c r="I49" s="139">
        <f t="shared" si="11"/>
        <v>20798.258217500003</v>
      </c>
      <c r="J49" s="136">
        <f t="shared" si="4"/>
        <v>5669.2754000000004</v>
      </c>
      <c r="K49" s="136">
        <f t="shared" si="5"/>
        <v>15128.982817499998</v>
      </c>
      <c r="L49" s="136">
        <f t="shared" si="6"/>
        <v>1611.0446073990715</v>
      </c>
      <c r="M49" s="136">
        <f t="shared" si="7"/>
        <v>1010.5600243621084</v>
      </c>
      <c r="N49" s="115"/>
      <c r="O49" s="131">
        <f>C49*ResourcesEmissions!B53</f>
        <v>193.14300028182723</v>
      </c>
      <c r="P49" s="131">
        <f>C49*ResourcesEmissions!C53</f>
        <v>137.6401572</v>
      </c>
      <c r="Q49" s="131">
        <f>C49*ResourcesEmissions!E53</f>
        <v>1646.6121665486303</v>
      </c>
      <c r="R49" s="115"/>
      <c r="S49" s="131">
        <f t="shared" si="8"/>
        <v>27288.253316930502</v>
      </c>
      <c r="T49" s="131">
        <f t="shared" si="9"/>
        <v>24640.697144810994</v>
      </c>
      <c r="U49" s="131">
        <f t="shared" si="10"/>
        <v>288364.21482927131</v>
      </c>
      <c r="V49" s="115"/>
      <c r="W49" s="128"/>
      <c r="X49" s="128"/>
      <c r="Y49" s="128"/>
      <c r="Z49" s="115"/>
      <c r="AA49" s="126"/>
      <c r="AB49" s="126"/>
      <c r="AC49" s="126"/>
      <c r="AD49" s="115"/>
      <c r="AE49" s="126"/>
      <c r="AF49" s="126"/>
      <c r="AG49" s="126"/>
      <c r="AH49" s="115"/>
      <c r="AI49" s="128"/>
      <c r="AJ49" s="128"/>
      <c r="AK49" s="128"/>
      <c r="AL49" s="115"/>
      <c r="AM49" s="126"/>
      <c r="AN49" s="126"/>
      <c r="AO49" s="126"/>
      <c r="AP49" s="115"/>
      <c r="AQ49" s="126"/>
      <c r="AR49" s="126"/>
      <c r="AS49" s="126"/>
    </row>
    <row r="50" spans="1:45" x14ac:dyDescent="0.25">
      <c r="A50" s="94">
        <v>1995</v>
      </c>
      <c r="B50" s="139" cm="1">
        <f t="array" ref="B50">SUMPRODUCT((PARIS!$C$4:'PARIS'!$C$103=A50)*PARIS!$X$4:$X$103)+SUMPRODUCT((PARIS!$AA$4:'PARIS'!$AA$103=A50)*PARIS!$AQ$4:$AQ$103)+SUMPRODUCT((PARIS!$AB$4:'PARIS'!$AB$103=A50)*PARIS!$AQ$4:$AQ$103)</f>
        <v>112200</v>
      </c>
      <c r="C50" s="139" cm="1">
        <f t="array" ref="C50">SUMPRODUCT((PARIS!$C$4:'PARIS'!$C$103=A50)*PARIS!$Y$4:$Y$103)+SUMPRODUCT((PARIS!$AA$4:'PARIS'!$AA$103=A50)*PARIS!$AR$4:$AR$103)+SUMPRODUCT((PARIS!$AB$4:'PARIS'!$AB$103=A50)*PARIS!$AR$4:$AR$103)</f>
        <v>2437.7999999999997</v>
      </c>
      <c r="D50" s="136" cm="1">
        <f t="array" ref="D50">SUMPRODUCT((PARIS!$C$4:'PARIS'!$C$103=A50)*PARIS!$O$4:$O$103)+SUMPRODUCT((PARIS!$AA$4:'PARIS'!$AA$103=A50)*PARIS!$AM$4:$AM$103)+SUMPRODUCT((PARIS!$AB$4:'PARIS'!$AB$103=A50)*PARIS!$AM$4:$AM$103)</f>
        <v>968.99999999999989</v>
      </c>
      <c r="E50" s="136" cm="1">
        <f t="array" ref="E50">SUMPRODUCT((PARIS!$C$4:'PARIS'!$C$103=A50)*PARIS!$R$4:$R$103)+SUMPRODUCT((PARIS!$AA$4:'PARIS'!$AA$103=A50)*PARIS!$AP$4:$AP$103)+SUMPRODUCT((PARIS!$AB$4:'PARIS'!$AB$103=A50)*PARIS!$AP$4:$AP$103)</f>
        <v>1468.8</v>
      </c>
      <c r="F50" s="136" cm="1">
        <f t="array" ref="F50">SUMPRODUCT((PARIS!$C$4:'PARIS'!$C$103=A50)*PARIS!$V$4:$V$103)+SUMPRODUCT((PARIS!$AA$4:'PARIS'!$AA$103=A50)*PARIS!$AS$4:$AS$103)+SUMPRODUCT((PARIS!$AB$4:'PARIS'!$AB$103=A50)*PARIS!$AS$4:$AS$103)</f>
        <v>97.92</v>
      </c>
      <c r="G50" s="136" cm="1">
        <f t="array" ref="G50">SUMPRODUCT((PARIS!$C$4:'PARIS'!$C$103=A50)*PARIS!$W$4:$W$103)+SUMPRODUCT((PARIS!$AA$4:'PARIS'!$AA$103=A50)*PARIS!$AT$4:$AT$103)+SUMPRODUCT((PARIS!$AB$4:'PARIS'!$AB$103=A50)*PARIS!$AT$4:$AT$103)</f>
        <v>48.96</v>
      </c>
      <c r="H50" s="115"/>
      <c r="I50" s="139">
        <f t="shared" si="11"/>
        <v>23236.058217500002</v>
      </c>
      <c r="J50" s="136">
        <f t="shared" si="4"/>
        <v>6638.2754000000004</v>
      </c>
      <c r="K50" s="136">
        <f t="shared" si="5"/>
        <v>16597.7828175</v>
      </c>
      <c r="L50" s="136">
        <f t="shared" si="6"/>
        <v>1708.9646073990716</v>
      </c>
      <c r="M50" s="136">
        <f t="shared" si="7"/>
        <v>1059.5200243621084</v>
      </c>
      <c r="N50" s="115"/>
      <c r="O50" s="131">
        <f>C50*ResourcesEmissions!B54</f>
        <v>2865.5263722001641</v>
      </c>
      <c r="P50" s="131">
        <f>C50*ResourcesEmissions!C54</f>
        <v>2059.9409999999998</v>
      </c>
      <c r="Q50" s="131">
        <f>C50*ResourcesEmissions!E54</f>
        <v>24298.607991851386</v>
      </c>
      <c r="R50" s="115"/>
      <c r="S50" s="131">
        <f t="shared" si="8"/>
        <v>30153.779689130668</v>
      </c>
      <c r="T50" s="131">
        <f t="shared" si="9"/>
        <v>26700.638144810993</v>
      </c>
      <c r="U50" s="131">
        <f t="shared" si="10"/>
        <v>312662.82282112271</v>
      </c>
      <c r="V50" s="115"/>
      <c r="W50" s="128"/>
      <c r="X50" s="128"/>
      <c r="Y50" s="128"/>
      <c r="Z50" s="115"/>
      <c r="AA50" s="126"/>
      <c r="AB50" s="126"/>
      <c r="AC50" s="126"/>
      <c r="AD50" s="115"/>
      <c r="AE50" s="126"/>
      <c r="AF50" s="126"/>
      <c r="AG50" s="126"/>
      <c r="AH50" s="115"/>
      <c r="AI50" s="128"/>
      <c r="AJ50" s="128"/>
      <c r="AK50" s="128"/>
      <c r="AL50" s="115"/>
      <c r="AM50" s="126"/>
      <c r="AN50" s="126"/>
      <c r="AO50" s="126"/>
      <c r="AP50" s="115"/>
      <c r="AQ50" s="126"/>
      <c r="AR50" s="126"/>
      <c r="AS50" s="126"/>
    </row>
    <row r="51" spans="1:45" x14ac:dyDescent="0.25">
      <c r="A51" s="94">
        <v>1996</v>
      </c>
      <c r="B51" s="139" cm="1">
        <f t="array" ref="B51">SUMPRODUCT((PARIS!$C$4:'PARIS'!$C$103=A51)*PARIS!$X$4:$X$103)+SUMPRODUCT((PARIS!$AA$4:'PARIS'!$AA$103=A51)*PARIS!$AQ$4:$AQ$103)+SUMPRODUCT((PARIS!$AB$4:'PARIS'!$AB$103=A51)*PARIS!$AQ$4:$AQ$103)</f>
        <v>9729.36</v>
      </c>
      <c r="C51" s="139" cm="1">
        <f t="array" ref="C51">SUMPRODUCT((PARIS!$C$4:'PARIS'!$C$103=A51)*PARIS!$Y$4:$Y$103)+SUMPRODUCT((PARIS!$AA$4:'PARIS'!$AA$103=A51)*PARIS!$AR$4:$AR$103)+SUMPRODUCT((PARIS!$AB$4:'PARIS'!$AB$103=A51)*PARIS!$AR$4:$AR$103)</f>
        <v>760.72319999999991</v>
      </c>
      <c r="D51" s="136" cm="1">
        <f t="array" ref="D51">SUMPRODUCT((PARIS!$C$4:'PARIS'!$C$103=A51)*PARIS!$O$4:$O$103)+SUMPRODUCT((PARIS!$AA$4:'PARIS'!$AA$103=A51)*PARIS!$AM$4:$AM$103)+SUMPRODUCT((PARIS!$AB$4:'PARIS'!$AB$103=A51)*PARIS!$AM$4:$AM$103)</f>
        <v>464.43599999999998</v>
      </c>
      <c r="E51" s="136" cm="1">
        <f t="array" ref="E51">SUMPRODUCT((PARIS!$C$4:'PARIS'!$C$103=A51)*PARIS!$R$4:$R$103)+SUMPRODUCT((PARIS!$AA$4:'PARIS'!$AA$103=A51)*PARIS!$AP$4:$AP$103)+SUMPRODUCT((PARIS!$AB$4:'PARIS'!$AB$103=A51)*PARIS!$AP$4:$AP$103)</f>
        <v>296.28719999999998</v>
      </c>
      <c r="F51" s="136" cm="1">
        <f t="array" ref="F51">SUMPRODUCT((PARIS!$C$4:'PARIS'!$C$103=A51)*PARIS!$V$4:$V$103)+SUMPRODUCT((PARIS!$AA$4:'PARIS'!$AA$103=A51)*PARIS!$AS$4:$AS$103)+SUMPRODUCT((PARIS!$AB$4:'PARIS'!$AB$103=A51)*PARIS!$AS$4:$AS$103)</f>
        <v>52.771007999999995</v>
      </c>
      <c r="G51" s="136" cm="1">
        <f t="array" ref="G51">SUMPRODUCT((PARIS!$C$4:'PARIS'!$C$103=A51)*PARIS!$W$4:$W$103)+SUMPRODUCT((PARIS!$AA$4:'PARIS'!$AA$103=A51)*PARIS!$AT$4:$AT$103)+SUMPRODUCT((PARIS!$AB$4:'PARIS'!$AB$103=A51)*PARIS!$AT$4:$AT$103)</f>
        <v>34.658003999999998</v>
      </c>
      <c r="H51" s="115"/>
      <c r="I51" s="139">
        <f t="shared" si="11"/>
        <v>23996.781417500002</v>
      </c>
      <c r="J51" s="136">
        <f t="shared" si="4"/>
        <v>7102.7114000000001</v>
      </c>
      <c r="K51" s="136">
        <f t="shared" si="5"/>
        <v>16894.070017499998</v>
      </c>
      <c r="L51" s="136">
        <f t="shared" si="6"/>
        <v>1761.7356153990715</v>
      </c>
      <c r="M51" s="136">
        <f t="shared" si="7"/>
        <v>1094.1780283621083</v>
      </c>
      <c r="N51" s="115"/>
      <c r="O51" s="131">
        <f>C51*ResourcesEmissions!B55</f>
        <v>889.12383013344117</v>
      </c>
      <c r="P51" s="131">
        <f>C51*ResourcesEmissions!C55</f>
        <v>634.63651972954813</v>
      </c>
      <c r="Q51" s="131">
        <f>C51*ResourcesEmissions!E55</f>
        <v>7502.7500313586897</v>
      </c>
      <c r="R51" s="115"/>
      <c r="S51" s="131">
        <f t="shared" si="8"/>
        <v>31042.903519264109</v>
      </c>
      <c r="T51" s="131">
        <f t="shared" si="9"/>
        <v>27335.274664540542</v>
      </c>
      <c r="U51" s="131">
        <f t="shared" si="10"/>
        <v>320165.57285248139</v>
      </c>
      <c r="V51" s="115"/>
      <c r="W51" s="128"/>
      <c r="X51" s="128"/>
      <c r="Y51" s="128"/>
      <c r="Z51" s="115"/>
      <c r="AA51" s="126"/>
      <c r="AB51" s="126"/>
      <c r="AC51" s="126"/>
      <c r="AD51" s="115"/>
      <c r="AE51" s="126"/>
      <c r="AF51" s="126"/>
      <c r="AG51" s="126"/>
      <c r="AH51" s="115"/>
      <c r="AI51" s="128"/>
      <c r="AJ51" s="128"/>
      <c r="AK51" s="128"/>
      <c r="AL51" s="115"/>
      <c r="AM51" s="126"/>
      <c r="AN51" s="126"/>
      <c r="AO51" s="126"/>
      <c r="AP51" s="115"/>
      <c r="AQ51" s="126"/>
      <c r="AR51" s="126"/>
      <c r="AS51" s="126"/>
    </row>
    <row r="52" spans="1:45" x14ac:dyDescent="0.25">
      <c r="A52" s="94">
        <v>1997</v>
      </c>
      <c r="B52" s="139" cm="1">
        <f t="array" ref="B52">SUMPRODUCT((PARIS!$C$4:'PARIS'!$C$103=A52)*PARIS!$X$4:$X$103)+SUMPRODUCT((PARIS!$AA$4:'PARIS'!$AA$103=A52)*PARIS!$AQ$4:$AQ$103)+SUMPRODUCT((PARIS!$AB$4:'PARIS'!$AB$103=A52)*PARIS!$AQ$4:$AQ$103)</f>
        <v>0</v>
      </c>
      <c r="C52" s="139" cm="1">
        <f t="array" ref="C52">SUMPRODUCT((PARIS!$C$4:'PARIS'!$C$103=A52)*PARIS!$Y$4:$Y$103)+SUMPRODUCT((PARIS!$AA$4:'PARIS'!$AA$103=A52)*PARIS!$AR$4:$AR$103)+SUMPRODUCT((PARIS!$AB$4:'PARIS'!$AB$103=A52)*PARIS!$AR$4:$AR$103)</f>
        <v>0</v>
      </c>
      <c r="D52" s="136" cm="1">
        <f t="array" ref="D52">SUMPRODUCT((PARIS!$C$4:'PARIS'!$C$103=A52)*PARIS!$O$4:$O$103)+SUMPRODUCT((PARIS!$AA$4:'PARIS'!$AA$103=A52)*PARIS!$AM$4:$AM$103)+SUMPRODUCT((PARIS!$AB$4:'PARIS'!$AB$103=A52)*PARIS!$AM$4:$AM$103)</f>
        <v>0</v>
      </c>
      <c r="E52" s="136" cm="1">
        <f t="array" ref="E52">SUMPRODUCT((PARIS!$C$4:'PARIS'!$C$103=A52)*PARIS!$R$4:$R$103)+SUMPRODUCT((PARIS!$AA$4:'PARIS'!$AA$103=A52)*PARIS!$AP$4:$AP$103)+SUMPRODUCT((PARIS!$AB$4:'PARIS'!$AB$103=A52)*PARIS!$AP$4:$AP$103)</f>
        <v>0</v>
      </c>
      <c r="F52" s="136" cm="1">
        <f t="array" ref="F52">SUMPRODUCT((PARIS!$C$4:'PARIS'!$C$103=A52)*PARIS!$V$4:$V$103)+SUMPRODUCT((PARIS!$AA$4:'PARIS'!$AA$103=A52)*PARIS!$AS$4:$AS$103)+SUMPRODUCT((PARIS!$AB$4:'PARIS'!$AB$103=A52)*PARIS!$AS$4:$AS$103)</f>
        <v>0</v>
      </c>
      <c r="G52" s="136" cm="1">
        <f t="array" ref="G52">SUMPRODUCT((PARIS!$C$4:'PARIS'!$C$103=A52)*PARIS!$W$4:$W$103)+SUMPRODUCT((PARIS!$AA$4:'PARIS'!$AA$103=A52)*PARIS!$AT$4:$AT$103)+SUMPRODUCT((PARIS!$AB$4:'PARIS'!$AB$103=A52)*PARIS!$AT$4:$AT$103)</f>
        <v>0</v>
      </c>
      <c r="H52" s="115"/>
      <c r="I52" s="139">
        <f t="shared" si="11"/>
        <v>23996.781417500002</v>
      </c>
      <c r="J52" s="136">
        <f t="shared" si="4"/>
        <v>7102.7114000000001</v>
      </c>
      <c r="K52" s="136">
        <f t="shared" si="5"/>
        <v>16894.070017499998</v>
      </c>
      <c r="L52" s="136">
        <f t="shared" si="6"/>
        <v>1761.7356153990715</v>
      </c>
      <c r="M52" s="136">
        <f t="shared" si="7"/>
        <v>1094.1780283621083</v>
      </c>
      <c r="N52" s="115"/>
      <c r="O52" s="131">
        <f>C52*ResourcesEmissions!B56</f>
        <v>0</v>
      </c>
      <c r="P52" s="131">
        <f>C52*ResourcesEmissions!C56</f>
        <v>0</v>
      </c>
      <c r="Q52" s="131">
        <f>C52*ResourcesEmissions!E56</f>
        <v>0</v>
      </c>
      <c r="R52" s="115"/>
      <c r="S52" s="131">
        <f t="shared" si="8"/>
        <v>31042.903519264109</v>
      </c>
      <c r="T52" s="131">
        <f t="shared" si="9"/>
        <v>27335.274664540542</v>
      </c>
      <c r="U52" s="131">
        <f t="shared" si="10"/>
        <v>320165.57285248139</v>
      </c>
      <c r="V52" s="115"/>
      <c r="W52" s="128"/>
      <c r="X52" s="128"/>
      <c r="Y52" s="128"/>
      <c r="Z52" s="115"/>
      <c r="AA52" s="126"/>
      <c r="AB52" s="126"/>
      <c r="AC52" s="126"/>
      <c r="AD52" s="115"/>
      <c r="AE52" s="126"/>
      <c r="AF52" s="126"/>
      <c r="AG52" s="126"/>
      <c r="AH52" s="115"/>
      <c r="AI52" s="128"/>
      <c r="AJ52" s="128"/>
      <c r="AK52" s="128"/>
      <c r="AL52" s="115"/>
      <c r="AM52" s="126"/>
      <c r="AN52" s="126"/>
      <c r="AO52" s="126"/>
      <c r="AP52" s="115"/>
      <c r="AQ52" s="126"/>
      <c r="AR52" s="126"/>
      <c r="AS52" s="126"/>
    </row>
    <row r="53" spans="1:45" x14ac:dyDescent="0.25">
      <c r="A53" s="94">
        <v>1998</v>
      </c>
      <c r="B53" s="139" cm="1">
        <f t="array" ref="B53">SUMPRODUCT((PARIS!$C$4:'PARIS'!$C$103=A53)*PARIS!$X$4:$X$103)+SUMPRODUCT((PARIS!$AA$4:'PARIS'!$AA$103=A53)*PARIS!$AQ$4:$AQ$103)+SUMPRODUCT((PARIS!$AB$4:'PARIS'!$AB$103=A53)*PARIS!$AQ$4:$AQ$103)</f>
        <v>49518.879999999997</v>
      </c>
      <c r="C53" s="139" cm="1">
        <f t="array" ref="C53">SUMPRODUCT((PARIS!$C$4:'PARIS'!$C$103=A53)*PARIS!$Y$4:$Y$103)+SUMPRODUCT((PARIS!$AA$4:'PARIS'!$AA$103=A53)*PARIS!$AR$4:$AR$103)+SUMPRODUCT((PARIS!$AB$4:'PARIS'!$AB$103=A53)*PARIS!$AR$4:$AR$103)</f>
        <v>1208.1950999999999</v>
      </c>
      <c r="D53" s="136" cm="1">
        <f t="array" ref="D53">SUMPRODUCT((PARIS!$C$4:'PARIS'!$C$103=A53)*PARIS!$O$4:$O$103)+SUMPRODUCT((PARIS!$AA$4:'PARIS'!$AA$103=A53)*PARIS!$AM$4:$AM$103)+SUMPRODUCT((PARIS!$AB$4:'PARIS'!$AB$103=A53)*PARIS!$AM$4:$AM$103)</f>
        <v>173.49299999999999</v>
      </c>
      <c r="E53" s="136" cm="1">
        <f t="array" ref="E53">SUMPRODUCT((PARIS!$C$4:'PARIS'!$C$103=A53)*PARIS!$R$4:$R$103)+SUMPRODUCT((PARIS!$AA$4:'PARIS'!$AA$103=A53)*PARIS!$AP$4:$AP$103)+SUMPRODUCT((PARIS!$AB$4:'PARIS'!$AB$103=A53)*PARIS!$AP$4:$AP$103)</f>
        <v>1034.7021</v>
      </c>
      <c r="F53" s="136" cm="1">
        <f t="array" ref="F53">SUMPRODUCT((PARIS!$C$4:'PARIS'!$C$103=A53)*PARIS!$V$4:$V$103)+SUMPRODUCT((PARIS!$AA$4:'PARIS'!$AA$103=A53)*PARIS!$AS$4:$AS$103)+SUMPRODUCT((PARIS!$AB$4:'PARIS'!$AB$103=A53)*PARIS!$AS$4:$AS$103)</f>
        <v>103.85296</v>
      </c>
      <c r="G53" s="136" cm="1">
        <f t="array" ref="G53">SUMPRODUCT((PARIS!$C$4:'PARIS'!$C$103=A53)*PARIS!$W$4:$W$103)+SUMPRODUCT((PARIS!$AA$4:'PARIS'!$AA$103=A53)*PARIS!$AT$4:$AT$103)+SUMPRODUCT((PARIS!$AB$4:'PARIS'!$AB$103=A53)*PARIS!$AT$4:$AT$103)</f>
        <v>62.980399999999996</v>
      </c>
      <c r="H53" s="115"/>
      <c r="I53" s="139">
        <f t="shared" si="11"/>
        <v>25204.976517500003</v>
      </c>
      <c r="J53" s="136">
        <f t="shared" si="4"/>
        <v>7276.2044000000005</v>
      </c>
      <c r="K53" s="136">
        <f t="shared" si="5"/>
        <v>17928.772117499997</v>
      </c>
      <c r="L53" s="136">
        <f t="shared" si="6"/>
        <v>1865.5885753990715</v>
      </c>
      <c r="M53" s="136">
        <f t="shared" si="7"/>
        <v>1157.1584283621082</v>
      </c>
      <c r="N53" s="115"/>
      <c r="O53" s="131">
        <f>C53*ResourcesEmissions!B57</f>
        <v>1396.2077500967519</v>
      </c>
      <c r="P53" s="131">
        <f>C53*ResourcesEmissions!C57</f>
        <v>936.40420718825681</v>
      </c>
      <c r="Q53" s="131">
        <f>C53*ResourcesEmissions!E57</f>
        <v>11684.017992489918</v>
      </c>
      <c r="R53" s="115"/>
      <c r="S53" s="131">
        <f t="shared" si="8"/>
        <v>32439.111269360863</v>
      </c>
      <c r="T53" s="131">
        <f t="shared" si="9"/>
        <v>28271.6788717288</v>
      </c>
      <c r="U53" s="131">
        <f t="shared" si="10"/>
        <v>331849.5908449713</v>
      </c>
      <c r="V53" s="115"/>
      <c r="W53" s="128"/>
      <c r="X53" s="128"/>
      <c r="Y53" s="128"/>
      <c r="Z53" s="115"/>
      <c r="AA53" s="126"/>
      <c r="AB53" s="126"/>
      <c r="AC53" s="126"/>
      <c r="AD53" s="115"/>
      <c r="AE53" s="126"/>
      <c r="AF53" s="126"/>
      <c r="AG53" s="126"/>
      <c r="AH53" s="115"/>
      <c r="AI53" s="128"/>
      <c r="AJ53" s="128"/>
      <c r="AK53" s="128"/>
      <c r="AL53" s="115"/>
      <c r="AM53" s="126"/>
      <c r="AN53" s="126"/>
      <c r="AO53" s="126"/>
      <c r="AP53" s="115"/>
      <c r="AQ53" s="126"/>
      <c r="AR53" s="126"/>
      <c r="AS53" s="126"/>
    </row>
    <row r="54" spans="1:45" x14ac:dyDescent="0.25">
      <c r="A54" s="94">
        <v>1999</v>
      </c>
      <c r="B54" s="139" cm="1">
        <f t="array" ref="B54">SUMPRODUCT((PARIS!$C$4:'PARIS'!$C$103=A54)*PARIS!$X$4:$X$103)+SUMPRODUCT((PARIS!$AA$4:'PARIS'!$AA$103=A54)*PARIS!$AQ$4:$AQ$103)+SUMPRODUCT((PARIS!$AB$4:'PARIS'!$AB$103=A54)*PARIS!$AQ$4:$AQ$103)</f>
        <v>32142.799999999999</v>
      </c>
      <c r="C54" s="139" cm="1">
        <f t="array" ref="C54">SUMPRODUCT((PARIS!$C$4:'PARIS'!$C$103=A54)*PARIS!$Y$4:$Y$103)+SUMPRODUCT((PARIS!$AA$4:'PARIS'!$AA$103=A54)*PARIS!$AR$4:$AR$103)+SUMPRODUCT((PARIS!$AB$4:'PARIS'!$AB$103=A54)*PARIS!$AR$4:$AR$103)</f>
        <v>878.55200000000002</v>
      </c>
      <c r="D54" s="136" cm="1">
        <f t="array" ref="D54">SUMPRODUCT((PARIS!$C$4:'PARIS'!$C$103=A54)*PARIS!$O$4:$O$103)+SUMPRODUCT((PARIS!$AA$4:'PARIS'!$AA$103=A54)*PARIS!$AM$4:$AM$103)+SUMPRODUCT((PARIS!$AB$4:'PARIS'!$AB$103=A54)*PARIS!$AM$4:$AM$103)</f>
        <v>281.88</v>
      </c>
      <c r="E54" s="136" cm="1">
        <f t="array" ref="E54">SUMPRODUCT((PARIS!$C$4:'PARIS'!$C$103=A54)*PARIS!$R$4:$R$103)+SUMPRODUCT((PARIS!$AA$4:'PARIS'!$AA$103=A54)*PARIS!$AP$4:$AP$103)+SUMPRODUCT((PARIS!$AB$4:'PARIS'!$AB$103=A54)*PARIS!$AP$4:$AP$103)</f>
        <v>596.67200000000003</v>
      </c>
      <c r="F54" s="136" cm="1">
        <f t="array" ref="F54">SUMPRODUCT((PARIS!$C$4:'PARIS'!$C$103=A54)*PARIS!$V$4:$V$103)+SUMPRODUCT((PARIS!$AA$4:'PARIS'!$AA$103=A54)*PARIS!$AS$4:$AS$103)+SUMPRODUCT((PARIS!$AB$4:'PARIS'!$AB$103=A54)*PARIS!$AS$4:$AS$103)</f>
        <v>59.210840000000005</v>
      </c>
      <c r="G54" s="136" cm="1">
        <f t="array" ref="G54">SUMPRODUCT((PARIS!$C$4:'PARIS'!$C$103=A54)*PARIS!$W$4:$W$103)+SUMPRODUCT((PARIS!$AA$4:'PARIS'!$AA$103=A54)*PARIS!$AT$4:$AT$103)+SUMPRODUCT((PARIS!$AB$4:'PARIS'!$AB$103=A54)*PARIS!$AT$4:$AT$103)</f>
        <v>36.493400000000001</v>
      </c>
      <c r="H54" s="115"/>
      <c r="I54" s="139">
        <f t="shared" si="11"/>
        <v>26083.528517500003</v>
      </c>
      <c r="J54" s="136">
        <f t="shared" si="4"/>
        <v>7558.0844000000006</v>
      </c>
      <c r="K54" s="136">
        <f t="shared" si="5"/>
        <v>18525.444117499996</v>
      </c>
      <c r="L54" s="136">
        <f t="shared" si="6"/>
        <v>1924.7994153990714</v>
      </c>
      <c r="M54" s="136">
        <f t="shared" si="7"/>
        <v>1193.6518283621083</v>
      </c>
      <c r="N54" s="115"/>
      <c r="O54" s="131">
        <f>C54*ResourcesEmissions!B58</f>
        <v>1009.6636660591231</v>
      </c>
      <c r="P54" s="131">
        <f>C54*ResourcesEmissions!C58</f>
        <v>654.00884580129002</v>
      </c>
      <c r="Q54" s="131">
        <f>C54*ResourcesEmissions!E58</f>
        <v>8419.8939195360199</v>
      </c>
      <c r="R54" s="115"/>
      <c r="S54" s="131">
        <f t="shared" si="8"/>
        <v>33448.774935419984</v>
      </c>
      <c r="T54" s="131">
        <f t="shared" si="9"/>
        <v>28925.687717530091</v>
      </c>
      <c r="U54" s="131">
        <f t="shared" si="10"/>
        <v>340269.48476450733</v>
      </c>
      <c r="V54" s="115"/>
      <c r="W54" s="128"/>
      <c r="X54" s="128"/>
      <c r="Y54" s="128"/>
      <c r="Z54" s="115"/>
      <c r="AA54" s="126"/>
      <c r="AB54" s="126"/>
      <c r="AC54" s="126"/>
      <c r="AD54" s="115"/>
      <c r="AE54" s="126"/>
      <c r="AF54" s="126"/>
      <c r="AG54" s="126"/>
      <c r="AH54" s="115"/>
      <c r="AI54" s="128"/>
      <c r="AJ54" s="128"/>
      <c r="AK54" s="128"/>
      <c r="AL54" s="115"/>
      <c r="AM54" s="126"/>
      <c r="AN54" s="126"/>
      <c r="AO54" s="126"/>
      <c r="AP54" s="115"/>
      <c r="AQ54" s="126"/>
      <c r="AR54" s="126"/>
      <c r="AS54" s="126"/>
    </row>
    <row r="55" spans="1:45" x14ac:dyDescent="0.25">
      <c r="A55" s="94">
        <v>2000</v>
      </c>
      <c r="B55" s="139" cm="1">
        <f t="array" ref="B55">SUMPRODUCT((PARIS!$C$4:'PARIS'!$C$103=A55)*PARIS!$X$4:$X$103)+SUMPRODUCT((PARIS!$AA$4:'PARIS'!$AA$103=A55)*PARIS!$AQ$4:$AQ$103)+SUMPRODUCT((PARIS!$AB$4:'PARIS'!$AB$103=A55)*PARIS!$AQ$4:$AQ$103)</f>
        <v>6780</v>
      </c>
      <c r="C55" s="139" cm="1">
        <f t="array" ref="C55">SUMPRODUCT((PARIS!$C$4:'PARIS'!$C$103=A55)*PARIS!$Y$4:$Y$103)+SUMPRODUCT((PARIS!$AA$4:'PARIS'!$AA$103=A55)*PARIS!$AR$4:$AR$103)+SUMPRODUCT((PARIS!$AB$4:'PARIS'!$AB$103=A55)*PARIS!$AR$4:$AR$103)</f>
        <v>241.5</v>
      </c>
      <c r="D55" s="136" cm="1">
        <f t="array" ref="D55">SUMPRODUCT((PARIS!$C$4:'PARIS'!$C$103=A55)*PARIS!$O$4:$O$103)+SUMPRODUCT((PARIS!$AA$4:'PARIS'!$AA$103=A55)*PARIS!$AM$4:$AM$103)+SUMPRODUCT((PARIS!$AB$4:'PARIS'!$AB$103=A55)*PARIS!$AM$4:$AM$103)</f>
        <v>0</v>
      </c>
      <c r="E55" s="136" cm="1">
        <f t="array" ref="E55">SUMPRODUCT((PARIS!$C$4:'PARIS'!$C$103=A55)*PARIS!$R$4:$R$103)+SUMPRODUCT((PARIS!$AA$4:'PARIS'!$AA$103=A55)*PARIS!$AP$4:$AP$103)+SUMPRODUCT((PARIS!$AB$4:'PARIS'!$AB$103=A55)*PARIS!$AP$4:$AP$103)</f>
        <v>241.5</v>
      </c>
      <c r="F55" s="136" cm="1">
        <f t="array" ref="F55">SUMPRODUCT((PARIS!$C$4:'PARIS'!$C$103=A55)*PARIS!$V$4:$V$103)+SUMPRODUCT((PARIS!$AA$4:'PARIS'!$AA$103=A55)*PARIS!$AS$4:$AS$103)+SUMPRODUCT((PARIS!$AB$4:'PARIS'!$AB$103=A55)*PARIS!$AS$4:$AS$103)</f>
        <v>16.28</v>
      </c>
      <c r="G55" s="136" cm="1">
        <f t="array" ref="G55">SUMPRODUCT((PARIS!$C$4:'PARIS'!$C$103=A55)*PARIS!$W$4:$W$103)+SUMPRODUCT((PARIS!$AA$4:'PARIS'!$AA$103=A55)*PARIS!$AT$4:$AT$103)+SUMPRODUCT((PARIS!$AB$4:'PARIS'!$AB$103=A55)*PARIS!$AT$4:$AT$103)</f>
        <v>11.714</v>
      </c>
      <c r="H55" s="115"/>
      <c r="I55" s="139">
        <f t="shared" si="11"/>
        <v>26325.028517500003</v>
      </c>
      <c r="J55" s="136">
        <f t="shared" si="4"/>
        <v>7558.0844000000006</v>
      </c>
      <c r="K55" s="136">
        <f t="shared" si="5"/>
        <v>18766.944117499996</v>
      </c>
      <c r="L55" s="136">
        <f t="shared" si="6"/>
        <v>1941.0794153990714</v>
      </c>
      <c r="M55" s="136">
        <f t="shared" si="7"/>
        <v>1205.3658283621082</v>
      </c>
      <c r="N55" s="115"/>
      <c r="O55" s="131">
        <f>C55*ResourcesEmissions!B59</f>
        <v>276.05400169095765</v>
      </c>
      <c r="P55" s="131">
        <f>C55*ResourcesEmissions!C59</f>
        <v>175.08750000000001</v>
      </c>
      <c r="Q55" s="131">
        <f>C55*ResourcesEmissions!E59</f>
        <v>2295.0817280096012</v>
      </c>
      <c r="R55" s="115"/>
      <c r="S55" s="131">
        <f t="shared" si="8"/>
        <v>33724.828937110942</v>
      </c>
      <c r="T55" s="131">
        <f t="shared" si="9"/>
        <v>29100.775217530092</v>
      </c>
      <c r="U55" s="131">
        <f t="shared" si="10"/>
        <v>342564.56649251695</v>
      </c>
      <c r="V55" s="115"/>
      <c r="W55" s="128"/>
      <c r="X55" s="128"/>
      <c r="Y55" s="128"/>
      <c r="Z55" s="115"/>
      <c r="AA55" s="126"/>
      <c r="AB55" s="126"/>
      <c r="AC55" s="126"/>
      <c r="AD55" s="115"/>
      <c r="AE55" s="126"/>
      <c r="AF55" s="126"/>
      <c r="AG55" s="126"/>
      <c r="AH55" s="115"/>
      <c r="AI55" s="128"/>
      <c r="AJ55" s="128"/>
      <c r="AK55" s="128"/>
      <c r="AL55" s="115"/>
      <c r="AM55" s="126"/>
      <c r="AN55" s="126"/>
      <c r="AO55" s="126"/>
      <c r="AP55" s="115"/>
      <c r="AQ55" s="126"/>
      <c r="AR55" s="126"/>
      <c r="AS55" s="126"/>
    </row>
    <row r="56" spans="1:45" x14ac:dyDescent="0.25">
      <c r="A56" s="94">
        <v>2001</v>
      </c>
      <c r="B56" s="139" cm="1">
        <f t="array" ref="B56">SUMPRODUCT((PARIS!$C$4:'PARIS'!$C$103=A56)*PARIS!$X$4:$X$103)+SUMPRODUCT((PARIS!$AA$4:'PARIS'!$AA$103=A56)*PARIS!$AQ$4:$AQ$103)+SUMPRODUCT((PARIS!$AB$4:'PARIS'!$AB$103=A56)*PARIS!$AQ$4:$AQ$103)</f>
        <v>183903.75</v>
      </c>
      <c r="C56" s="139" cm="1">
        <f t="array" ref="C56">SUMPRODUCT((PARIS!$C$4:'PARIS'!$C$103=A56)*PARIS!$Y$4:$Y$103)+SUMPRODUCT((PARIS!$AA$4:'PARIS'!$AA$103=A56)*PARIS!$AR$4:$AR$103)+SUMPRODUCT((PARIS!$AB$4:'PARIS'!$AB$103=A56)*PARIS!$AR$4:$AR$103)</f>
        <v>3764.0699999999997</v>
      </c>
      <c r="D56" s="136" cm="1">
        <f t="array" ref="D56">SUMPRODUCT((PARIS!$C$4:'PARIS'!$C$103=A56)*PARIS!$O$4:$O$103)+SUMPRODUCT((PARIS!$AA$4:'PARIS'!$AA$103=A56)*PARIS!$AM$4:$AM$103)+SUMPRODUCT((PARIS!$AB$4:'PARIS'!$AB$103=A56)*PARIS!$AM$4:$AM$103)</f>
        <v>1300.05</v>
      </c>
      <c r="E56" s="136" cm="1">
        <f t="array" ref="E56">SUMPRODUCT((PARIS!$C$4:'PARIS'!$C$103=A56)*PARIS!$R$4:$R$103)+SUMPRODUCT((PARIS!$AA$4:'PARIS'!$AA$103=A56)*PARIS!$AP$4:$AP$103)+SUMPRODUCT((PARIS!$AB$4:'PARIS'!$AB$103=A56)*PARIS!$AP$4:$AP$103)</f>
        <v>2464.02</v>
      </c>
      <c r="F56" s="136" cm="1">
        <f t="array" ref="F56">SUMPRODUCT((PARIS!$C$4:'PARIS'!$C$103=A56)*PARIS!$V$4:$V$103)+SUMPRODUCT((PARIS!$AA$4:'PARIS'!$AA$103=A56)*PARIS!$AS$4:$AS$103)+SUMPRODUCT((PARIS!$AB$4:'PARIS'!$AB$103=A56)*PARIS!$AS$4:$AS$103)</f>
        <v>214.16849999999997</v>
      </c>
      <c r="G56" s="136" cm="1">
        <f t="array" ref="G56">SUMPRODUCT((PARIS!$C$4:'PARIS'!$C$103=A56)*PARIS!$W$4:$W$103)+SUMPRODUCT((PARIS!$AA$4:'PARIS'!$AA$103=A56)*PARIS!$AT$4:$AT$103)+SUMPRODUCT((PARIS!$AB$4:'PARIS'!$AB$103=A56)*PARIS!$AT$4:$AT$103)</f>
        <v>126.53549999999998</v>
      </c>
      <c r="H56" s="115"/>
      <c r="I56" s="139">
        <f t="shared" si="11"/>
        <v>30089.098517500002</v>
      </c>
      <c r="J56" s="136">
        <f t="shared" si="4"/>
        <v>8858.1344000000008</v>
      </c>
      <c r="K56" s="136">
        <f t="shared" si="5"/>
        <v>21230.964117499996</v>
      </c>
      <c r="L56" s="136">
        <f t="shared" si="6"/>
        <v>2155.2479153990712</v>
      </c>
      <c r="M56" s="136">
        <f t="shared" si="7"/>
        <v>1331.9013283621082</v>
      </c>
      <c r="N56" s="115"/>
      <c r="O56" s="131">
        <f>C56*ResourcesEmissions!B60</f>
        <v>4280.5443197539953</v>
      </c>
      <c r="P56" s="131">
        <f>C56*ResourcesEmissions!C60</f>
        <v>2695.5543160830271</v>
      </c>
      <c r="Q56" s="131">
        <f>C56*ResourcesEmissions!E60</f>
        <v>35494.02229191643</v>
      </c>
      <c r="R56" s="115"/>
      <c r="S56" s="131">
        <f t="shared" si="8"/>
        <v>38005.373256864936</v>
      </c>
      <c r="T56" s="131">
        <f t="shared" si="9"/>
        <v>31796.32953361312</v>
      </c>
      <c r="U56" s="131">
        <f t="shared" si="10"/>
        <v>378058.58878443338</v>
      </c>
      <c r="V56" s="115"/>
      <c r="W56" s="128"/>
      <c r="X56" s="128"/>
      <c r="Y56" s="128"/>
      <c r="Z56" s="115"/>
      <c r="AA56" s="126"/>
      <c r="AB56" s="126"/>
      <c r="AC56" s="126"/>
      <c r="AD56" s="115"/>
      <c r="AE56" s="126"/>
      <c r="AF56" s="126"/>
      <c r="AG56" s="126"/>
      <c r="AH56" s="115"/>
      <c r="AI56" s="128"/>
      <c r="AJ56" s="128"/>
      <c r="AK56" s="128"/>
      <c r="AL56" s="115"/>
      <c r="AM56" s="126"/>
      <c r="AN56" s="126"/>
      <c r="AO56" s="126"/>
      <c r="AP56" s="115"/>
      <c r="AQ56" s="126"/>
      <c r="AR56" s="126"/>
      <c r="AS56" s="126"/>
    </row>
    <row r="57" spans="1:45" x14ac:dyDescent="0.25">
      <c r="A57" s="94">
        <v>2002</v>
      </c>
      <c r="B57" s="139" cm="1">
        <f t="array" ref="B57">SUMPRODUCT((PARIS!$C$4:'PARIS'!$C$103=A57)*PARIS!$X$4:$X$103)+SUMPRODUCT((PARIS!$AA$4:'PARIS'!$AA$103=A57)*PARIS!$AQ$4:$AQ$103)+SUMPRODUCT((PARIS!$AB$4:'PARIS'!$AB$103=A57)*PARIS!$AQ$4:$AQ$103)</f>
        <v>35989.120000000003</v>
      </c>
      <c r="C57" s="139" cm="1">
        <f t="array" ref="C57">SUMPRODUCT((PARIS!$C$4:'PARIS'!$C$103=A57)*PARIS!$Y$4:$Y$103)+SUMPRODUCT((PARIS!$AA$4:'PARIS'!$AA$103=A57)*PARIS!$AR$4:$AR$103)+SUMPRODUCT((PARIS!$AB$4:'PARIS'!$AB$103=A57)*PARIS!$AR$4:$AR$103)</f>
        <v>920.85700000000008</v>
      </c>
      <c r="D57" s="136" cm="1">
        <f t="array" ref="D57">SUMPRODUCT((PARIS!$C$4:'PARIS'!$C$103=A57)*PARIS!$O$4:$O$103)+SUMPRODUCT((PARIS!$AA$4:'PARIS'!$AA$103=A57)*PARIS!$AM$4:$AM$103)+SUMPRODUCT((PARIS!$AB$4:'PARIS'!$AB$103=A57)*PARIS!$AM$4:$AM$103)</f>
        <v>281.88</v>
      </c>
      <c r="E57" s="136" cm="1">
        <f t="array" ref="E57">SUMPRODUCT((PARIS!$C$4:'PARIS'!$C$103=A57)*PARIS!$R$4:$R$103)+SUMPRODUCT((PARIS!$AA$4:'PARIS'!$AA$103=A57)*PARIS!$AP$4:$AP$103)+SUMPRODUCT((PARIS!$AB$4:'PARIS'!$AB$103=A57)*PARIS!$AP$4:$AP$103)</f>
        <v>638.97699999999998</v>
      </c>
      <c r="F57" s="136" cm="1">
        <f t="array" ref="F57">SUMPRODUCT((PARIS!$C$4:'PARIS'!$C$103=A57)*PARIS!$V$4:$V$103)+SUMPRODUCT((PARIS!$AA$4:'PARIS'!$AA$103=A57)*PARIS!$AS$4:$AS$103)+SUMPRODUCT((PARIS!$AB$4:'PARIS'!$AB$103=A57)*PARIS!$AS$4:$AS$103)</f>
        <v>58.3264</v>
      </c>
      <c r="G57" s="136" cm="1">
        <f t="array" ref="G57">SUMPRODUCT((PARIS!$C$4:'PARIS'!$C$103=A57)*PARIS!$W$4:$W$103)+SUMPRODUCT((PARIS!$AA$4:'PARIS'!$AA$103=A57)*PARIS!$AT$4:$AT$103)+SUMPRODUCT((PARIS!$AB$4:'PARIS'!$AB$103=A57)*PARIS!$AT$4:$AT$103)</f>
        <v>44.128</v>
      </c>
      <c r="H57" s="115"/>
      <c r="I57" s="139">
        <f t="shared" si="11"/>
        <v>31009.955517500002</v>
      </c>
      <c r="J57" s="136">
        <f t="shared" si="4"/>
        <v>9140.0144</v>
      </c>
      <c r="K57" s="136">
        <f t="shared" si="5"/>
        <v>21869.941117499995</v>
      </c>
      <c r="L57" s="136">
        <f t="shared" si="6"/>
        <v>2213.5743153990711</v>
      </c>
      <c r="M57" s="136">
        <f t="shared" si="7"/>
        <v>1376.0293283621081</v>
      </c>
      <c r="N57" s="115"/>
      <c r="O57" s="131">
        <f>C57*ResourcesEmissions!B61</f>
        <v>1042.12653626882</v>
      </c>
      <c r="P57" s="131">
        <f>C57*ResourcesEmissions!C61</f>
        <v>653.79849943051897</v>
      </c>
      <c r="Q57" s="131">
        <f>C57*ResourcesEmissions!E61</f>
        <v>8621.7918533881566</v>
      </c>
      <c r="R57" s="115"/>
      <c r="S57" s="131">
        <f t="shared" si="8"/>
        <v>39047.499793133757</v>
      </c>
      <c r="T57" s="131">
        <f t="shared" si="9"/>
        <v>32450.128033043638</v>
      </c>
      <c r="U57" s="131">
        <f t="shared" si="10"/>
        <v>386680.38063782151</v>
      </c>
      <c r="V57" s="115"/>
      <c r="W57" s="128"/>
      <c r="X57" s="128"/>
      <c r="Y57" s="128"/>
      <c r="Z57" s="115"/>
      <c r="AA57" s="126"/>
      <c r="AB57" s="126"/>
      <c r="AC57" s="126"/>
      <c r="AD57" s="115"/>
      <c r="AE57" s="126"/>
      <c r="AF57" s="126"/>
      <c r="AG57" s="126"/>
      <c r="AH57" s="115"/>
      <c r="AI57" s="128"/>
      <c r="AJ57" s="128"/>
      <c r="AK57" s="128"/>
      <c r="AL57" s="115"/>
      <c r="AM57" s="126"/>
      <c r="AN57" s="126"/>
      <c r="AO57" s="126"/>
      <c r="AP57" s="115"/>
      <c r="AQ57" s="126"/>
      <c r="AR57" s="126"/>
      <c r="AS57" s="126"/>
    </row>
    <row r="58" spans="1:45" x14ac:dyDescent="0.25">
      <c r="A58" s="94">
        <v>2003</v>
      </c>
      <c r="B58" s="139" cm="1">
        <f t="array" ref="B58">SUMPRODUCT((PARIS!$C$4:'PARIS'!$C$103=A58)*PARIS!$X$4:$X$103)+SUMPRODUCT((PARIS!$AA$4:'PARIS'!$AA$103=A58)*PARIS!$AQ$4:$AQ$103)+SUMPRODUCT((PARIS!$AB$4:'PARIS'!$AB$103=A58)*PARIS!$AQ$4:$AQ$103)</f>
        <v>23299.719999999998</v>
      </c>
      <c r="C58" s="139" cm="1">
        <f t="array" ref="C58">SUMPRODUCT((PARIS!$C$4:'PARIS'!$C$103=A58)*PARIS!$Y$4:$Y$103)+SUMPRODUCT((PARIS!$AA$4:'PARIS'!$AA$103=A58)*PARIS!$AR$4:$AR$103)+SUMPRODUCT((PARIS!$AB$4:'PARIS'!$AB$103=A58)*PARIS!$AR$4:$AR$103)</f>
        <v>773.01519999999994</v>
      </c>
      <c r="D58" s="136" cm="1">
        <f t="array" ref="D58">SUMPRODUCT((PARIS!$C$4:'PARIS'!$C$103=A58)*PARIS!$O$4:$O$103)+SUMPRODUCT((PARIS!$AA$4:'PARIS'!$AA$103=A58)*PARIS!$AM$4:$AM$103)+SUMPRODUCT((PARIS!$AB$4:'PARIS'!$AB$103=A58)*PARIS!$AM$4:$AM$103)</f>
        <v>158.97359999999998</v>
      </c>
      <c r="E58" s="136" cm="1">
        <f t="array" ref="E58">SUMPRODUCT((PARIS!$C$4:'PARIS'!$C$103=A58)*PARIS!$R$4:$R$103)+SUMPRODUCT((PARIS!$AA$4:'PARIS'!$AA$103=A58)*PARIS!$AP$4:$AP$103)+SUMPRODUCT((PARIS!$AB$4:'PARIS'!$AB$103=A58)*PARIS!$AP$4:$AP$103)</f>
        <v>614.04160000000002</v>
      </c>
      <c r="F58" s="136" cm="1">
        <f t="array" ref="F58">SUMPRODUCT((PARIS!$C$4:'PARIS'!$C$103=A58)*PARIS!$V$4:$V$103)+SUMPRODUCT((PARIS!$AA$4:'PARIS'!$AA$103=A58)*PARIS!$AS$4:$AS$103)+SUMPRODUCT((PARIS!$AB$4:'PARIS'!$AB$103=A58)*PARIS!$AS$4:$AS$103)</f>
        <v>71.603000000000009</v>
      </c>
      <c r="G58" s="136" cm="1">
        <f t="array" ref="G58">SUMPRODUCT((PARIS!$C$4:'PARIS'!$C$103=A58)*PARIS!$W$4:$W$103)+SUMPRODUCT((PARIS!$AA$4:'PARIS'!$AA$103=A58)*PARIS!$AT$4:$AT$103)+SUMPRODUCT((PARIS!$AB$4:'PARIS'!$AB$103=A58)*PARIS!$AT$4:$AT$103)</f>
        <v>37.414999999999999</v>
      </c>
      <c r="H58" s="115"/>
      <c r="I58" s="139">
        <f t="shared" si="11"/>
        <v>31782.970717500004</v>
      </c>
      <c r="J58" s="136">
        <f t="shared" si="4"/>
        <v>9298.9879999999994</v>
      </c>
      <c r="K58" s="136">
        <f t="shared" si="5"/>
        <v>22483.982717499995</v>
      </c>
      <c r="L58" s="136">
        <f t="shared" si="6"/>
        <v>2285.1773153990712</v>
      </c>
      <c r="M58" s="136">
        <f t="shared" si="7"/>
        <v>1413.4443283621081</v>
      </c>
      <c r="N58" s="115"/>
      <c r="O58" s="131">
        <f>C58*ResourcesEmissions!B62</f>
        <v>870.86738579518499</v>
      </c>
      <c r="P58" s="131">
        <f>C58*ResourcesEmissions!C62</f>
        <v>544.81105183649925</v>
      </c>
      <c r="Q58" s="131">
        <f>C58*ResourcesEmissions!E62</f>
        <v>7191.3260321392645</v>
      </c>
      <c r="R58" s="115"/>
      <c r="S58" s="131">
        <f t="shared" si="8"/>
        <v>39918.367178928944</v>
      </c>
      <c r="T58" s="131">
        <f t="shared" si="9"/>
        <v>32994.939084880141</v>
      </c>
      <c r="U58" s="131">
        <f t="shared" si="10"/>
        <v>393871.70666996075</v>
      </c>
      <c r="V58" s="115"/>
      <c r="W58" s="128"/>
      <c r="X58" s="128"/>
      <c r="Y58" s="128"/>
      <c r="Z58" s="115"/>
      <c r="AA58" s="126"/>
      <c r="AB58" s="126"/>
      <c r="AC58" s="126"/>
      <c r="AD58" s="115"/>
      <c r="AE58" s="126"/>
      <c r="AF58" s="126"/>
      <c r="AG58" s="126"/>
      <c r="AH58" s="115"/>
      <c r="AI58" s="128"/>
      <c r="AJ58" s="128"/>
      <c r="AK58" s="128"/>
      <c r="AL58" s="115"/>
      <c r="AM58" s="126"/>
      <c r="AN58" s="126"/>
      <c r="AO58" s="126"/>
      <c r="AP58" s="115"/>
      <c r="AQ58" s="126"/>
      <c r="AR58" s="126"/>
      <c r="AS58" s="126"/>
    </row>
    <row r="59" spans="1:45" x14ac:dyDescent="0.25">
      <c r="A59" s="94">
        <v>2004</v>
      </c>
      <c r="B59" s="139" cm="1">
        <f t="array" ref="B59">SUMPRODUCT((PARIS!$C$4:'PARIS'!$C$103=A59)*PARIS!$X$4:$X$103)+SUMPRODUCT((PARIS!$AA$4:'PARIS'!$AA$103=A59)*PARIS!$AQ$4:$AQ$103)+SUMPRODUCT((PARIS!$AB$4:'PARIS'!$AB$103=A59)*PARIS!$AQ$4:$AQ$103)</f>
        <v>59816</v>
      </c>
      <c r="C59" s="139" cm="1">
        <f t="array" ref="C59">SUMPRODUCT((PARIS!$C$4:'PARIS'!$C$103=A59)*PARIS!$Y$4:$Y$103)+SUMPRODUCT((PARIS!$AA$4:'PARIS'!$AA$103=A59)*PARIS!$AR$4:$AR$103)+SUMPRODUCT((PARIS!$AB$4:'PARIS'!$AB$103=A59)*PARIS!$AR$4:$AR$103)</f>
        <v>1440</v>
      </c>
      <c r="D59" s="136" cm="1">
        <f t="array" ref="D59">SUMPRODUCT((PARIS!$C$4:'PARIS'!$C$103=A59)*PARIS!$O$4:$O$103)+SUMPRODUCT((PARIS!$AA$4:'PARIS'!$AA$103=A59)*PARIS!$AM$4:$AM$103)+SUMPRODUCT((PARIS!$AB$4:'PARIS'!$AB$103=A59)*PARIS!$AM$4:$AM$103)</f>
        <v>188.28</v>
      </c>
      <c r="E59" s="136" cm="1">
        <f t="array" ref="E59">SUMPRODUCT((PARIS!$C$4:'PARIS'!$C$103=A59)*PARIS!$R$4:$R$103)+SUMPRODUCT((PARIS!$AA$4:'PARIS'!$AA$103=A59)*PARIS!$AP$4:$AP$103)+SUMPRODUCT((PARIS!$AB$4:'PARIS'!$AB$103=A59)*PARIS!$AP$4:$AP$103)</f>
        <v>1251.72</v>
      </c>
      <c r="F59" s="136" cm="1">
        <f t="array" ref="F59">SUMPRODUCT((PARIS!$C$4:'PARIS'!$C$103=A59)*PARIS!$V$4:$V$103)+SUMPRODUCT((PARIS!$AA$4:'PARIS'!$AA$103=A59)*PARIS!$AS$4:$AS$103)+SUMPRODUCT((PARIS!$AB$4:'PARIS'!$AB$103=A59)*PARIS!$AS$4:$AS$103)</f>
        <v>75.314666666666668</v>
      </c>
      <c r="G59" s="136" cm="1">
        <f t="array" ref="G59">SUMPRODUCT((PARIS!$C$4:'PARIS'!$C$103=A59)*PARIS!$W$4:$W$103)+SUMPRODUCT((PARIS!$AA$4:'PARIS'!$AA$103=A59)*PARIS!$AT$4:$AT$103)+SUMPRODUCT((PARIS!$AB$4:'PARIS'!$AB$103=A59)*PARIS!$AT$4:$AT$103)</f>
        <v>54.557333333333332</v>
      </c>
      <c r="H59" s="115"/>
      <c r="I59" s="139">
        <f t="shared" si="11"/>
        <v>33222.970717500008</v>
      </c>
      <c r="J59" s="136">
        <f t="shared" si="4"/>
        <v>9487.268</v>
      </c>
      <c r="K59" s="136">
        <f t="shared" si="5"/>
        <v>23735.702717499997</v>
      </c>
      <c r="L59" s="136">
        <f t="shared" si="6"/>
        <v>2360.4919820657378</v>
      </c>
      <c r="M59" s="136">
        <f t="shared" si="7"/>
        <v>1468.0016616954415</v>
      </c>
      <c r="N59" s="115"/>
      <c r="O59" s="131">
        <f>C59*ResourcesEmissions!B63</f>
        <v>1615.613721712949</v>
      </c>
      <c r="P59" s="131">
        <f>C59*ResourcesEmissions!C63</f>
        <v>1006.1614047685823</v>
      </c>
      <c r="Q59" s="131">
        <f>C59*ResourcesEmissions!E63</f>
        <v>13320.576435757881</v>
      </c>
      <c r="R59" s="115"/>
      <c r="S59" s="131">
        <f t="shared" si="8"/>
        <v>41533.980900641895</v>
      </c>
      <c r="T59" s="131">
        <f t="shared" si="9"/>
        <v>34001.100489648721</v>
      </c>
      <c r="U59" s="131">
        <f t="shared" si="10"/>
        <v>407192.28310571861</v>
      </c>
      <c r="V59" s="115"/>
      <c r="W59" s="128"/>
      <c r="X59" s="128"/>
      <c r="Y59" s="128"/>
      <c r="Z59" s="115"/>
      <c r="AA59" s="126"/>
      <c r="AB59" s="126"/>
      <c r="AC59" s="126"/>
      <c r="AD59" s="115"/>
      <c r="AE59" s="126"/>
      <c r="AF59" s="126"/>
      <c r="AG59" s="126"/>
      <c r="AH59" s="115"/>
      <c r="AI59" s="128"/>
      <c r="AJ59" s="128"/>
      <c r="AK59" s="128"/>
      <c r="AL59" s="115"/>
      <c r="AM59" s="126"/>
      <c r="AN59" s="126"/>
      <c r="AO59" s="126"/>
      <c r="AP59" s="115"/>
      <c r="AQ59" s="126"/>
      <c r="AR59" s="126"/>
      <c r="AS59" s="126"/>
    </row>
    <row r="60" spans="1:45" x14ac:dyDescent="0.25">
      <c r="A60" s="94">
        <v>2005</v>
      </c>
      <c r="B60" s="139" cm="1">
        <f t="array" ref="B60">SUMPRODUCT((PARIS!$C$4:'PARIS'!$C$103=A60)*PARIS!$X$4:$X$103)+SUMPRODUCT((PARIS!$AA$4:'PARIS'!$AA$103=A60)*PARIS!$AQ$4:$AQ$103)+SUMPRODUCT((PARIS!$AB$4:'PARIS'!$AB$103=A60)*PARIS!$AQ$4:$AQ$103)</f>
        <v>50751.576000000001</v>
      </c>
      <c r="C60" s="139" cm="1">
        <f t="array" ref="C60">SUMPRODUCT((PARIS!$C$4:'PARIS'!$C$103=A60)*PARIS!$Y$4:$Y$103)+SUMPRODUCT((PARIS!$AA$4:'PARIS'!$AA$103=A60)*PARIS!$AR$4:$AR$103)+SUMPRODUCT((PARIS!$AB$4:'PARIS'!$AB$103=A60)*PARIS!$AR$4:$AR$103)</f>
        <v>1376.3394000000001</v>
      </c>
      <c r="D60" s="136" cm="1">
        <f t="array" ref="D60">SUMPRODUCT((PARIS!$C$4:'PARIS'!$C$103=A60)*PARIS!$O$4:$O$103)+SUMPRODUCT((PARIS!$AA$4:'PARIS'!$AA$103=A60)*PARIS!$AM$4:$AM$103)+SUMPRODUCT((PARIS!$AB$4:'PARIS'!$AB$103=A60)*PARIS!$AM$4:$AM$103)</f>
        <v>0</v>
      </c>
      <c r="E60" s="136" cm="1">
        <f t="array" ref="E60">SUMPRODUCT((PARIS!$C$4:'PARIS'!$C$103=A60)*PARIS!$R$4:$R$103)+SUMPRODUCT((PARIS!$AA$4:'PARIS'!$AA$103=A60)*PARIS!$AP$4:$AP$103)+SUMPRODUCT((PARIS!$AB$4:'PARIS'!$AB$103=A60)*PARIS!$AP$4:$AP$103)</f>
        <v>1376.3394000000001</v>
      </c>
      <c r="F60" s="136" cm="1">
        <f t="array" ref="F60">SUMPRODUCT((PARIS!$C$4:'PARIS'!$C$103=A60)*PARIS!$V$4:$V$103)+SUMPRODUCT((PARIS!$AA$4:'PARIS'!$AA$103=A60)*PARIS!$AS$4:$AS$103)+SUMPRODUCT((PARIS!$AB$4:'PARIS'!$AB$103=A60)*PARIS!$AS$4:$AS$103)</f>
        <v>50.075280000000006</v>
      </c>
      <c r="G60" s="136" cm="1">
        <f t="array" ref="G60">SUMPRODUCT((PARIS!$C$4:'PARIS'!$C$103=A60)*PARIS!$W$4:$W$103)+SUMPRODUCT((PARIS!$AA$4:'PARIS'!$AA$103=A60)*PARIS!$AT$4:$AT$103)+SUMPRODUCT((PARIS!$AB$4:'PARIS'!$AB$103=A60)*PARIS!$AT$4:$AT$103)</f>
        <v>50.075280000000006</v>
      </c>
      <c r="H60" s="115"/>
      <c r="I60" s="139">
        <f t="shared" si="11"/>
        <v>34599.310117500005</v>
      </c>
      <c r="J60" s="136">
        <f t="shared" si="4"/>
        <v>9487.268</v>
      </c>
      <c r="K60" s="136">
        <f t="shared" si="5"/>
        <v>25112.042117499997</v>
      </c>
      <c r="L60" s="136">
        <f t="shared" si="6"/>
        <v>2410.5672620657379</v>
      </c>
      <c r="M60" s="136">
        <f t="shared" si="7"/>
        <v>1518.0769416954415</v>
      </c>
      <c r="N60" s="115"/>
      <c r="O60" s="131">
        <f>C60*ResourcesEmissions!B64</f>
        <v>1538.5574369951289</v>
      </c>
      <c r="P60" s="131">
        <f>C60*ResourcesEmissions!C64</f>
        <v>949.67418599999996</v>
      </c>
      <c r="Q60" s="131">
        <f>C60*ResourcesEmissions!E64</f>
        <v>12669.672913767894</v>
      </c>
      <c r="R60" s="115"/>
      <c r="S60" s="131">
        <f t="shared" si="8"/>
        <v>43072.538337637023</v>
      </c>
      <c r="T60" s="131">
        <f t="shared" si="9"/>
        <v>34950.774675648718</v>
      </c>
      <c r="U60" s="131">
        <f t="shared" si="10"/>
        <v>419861.95601948653</v>
      </c>
      <c r="V60" s="115"/>
      <c r="W60" s="128"/>
      <c r="X60" s="128"/>
      <c r="Y60" s="128"/>
      <c r="Z60" s="115"/>
      <c r="AA60" s="126"/>
      <c r="AB60" s="126"/>
      <c r="AC60" s="126"/>
      <c r="AD60" s="115"/>
      <c r="AE60" s="126"/>
      <c r="AF60" s="126"/>
      <c r="AG60" s="126"/>
      <c r="AH60" s="115"/>
      <c r="AI60" s="128"/>
      <c r="AJ60" s="128"/>
      <c r="AK60" s="128"/>
      <c r="AL60" s="115"/>
      <c r="AM60" s="126"/>
      <c r="AN60" s="126"/>
      <c r="AO60" s="126"/>
      <c r="AP60" s="115"/>
      <c r="AQ60" s="126"/>
      <c r="AR60" s="126"/>
      <c r="AS60" s="126"/>
    </row>
    <row r="61" spans="1:45" x14ac:dyDescent="0.25">
      <c r="A61" s="94">
        <v>2006</v>
      </c>
      <c r="B61" s="139" cm="1">
        <f t="array" ref="B61">SUMPRODUCT((PARIS!$C$4:'PARIS'!$C$103=A61)*PARIS!$X$4:$X$103)+SUMPRODUCT((PARIS!$AA$4:'PARIS'!$AA$103=A61)*PARIS!$AQ$4:$AQ$103)+SUMPRODUCT((PARIS!$AB$4:'PARIS'!$AB$103=A61)*PARIS!$AQ$4:$AQ$103)</f>
        <v>23571.323999999997</v>
      </c>
      <c r="C61" s="139" cm="1">
        <f t="array" ref="C61">SUMPRODUCT((PARIS!$C$4:'PARIS'!$C$103=A61)*PARIS!$Y$4:$Y$103)+SUMPRODUCT((PARIS!$AA$4:'PARIS'!$AA$103=A61)*PARIS!$AR$4:$AR$103)+SUMPRODUCT((PARIS!$AB$4:'PARIS'!$AB$103=A61)*PARIS!$AR$4:$AR$103)</f>
        <v>499.77647999999994</v>
      </c>
      <c r="D61" s="136" cm="1">
        <f t="array" ref="D61">SUMPRODUCT((PARIS!$C$4:'PARIS'!$C$103=A61)*PARIS!$O$4:$O$103)+SUMPRODUCT((PARIS!$AA$4:'PARIS'!$AA$103=A61)*PARIS!$AM$4:$AM$103)+SUMPRODUCT((PARIS!$AB$4:'PARIS'!$AB$103=A61)*PARIS!$AM$4:$AM$103)</f>
        <v>69.189120000000003</v>
      </c>
      <c r="E61" s="136" cm="1">
        <f t="array" ref="E61">SUMPRODUCT((PARIS!$C$4:'PARIS'!$C$103=A61)*PARIS!$R$4:$R$103)+SUMPRODUCT((PARIS!$AA$4:'PARIS'!$AA$103=A61)*PARIS!$AP$4:$AP$103)+SUMPRODUCT((PARIS!$AB$4:'PARIS'!$AB$103=A61)*PARIS!$AP$4:$AP$103)</f>
        <v>430.58735999999993</v>
      </c>
      <c r="F61" s="136" cm="1">
        <f t="array" ref="F61">SUMPRODUCT((PARIS!$C$4:'PARIS'!$C$103=A61)*PARIS!$V$4:$V$103)+SUMPRODUCT((PARIS!$AA$4:'PARIS'!$AA$103=A61)*PARIS!$AS$4:$AS$103)+SUMPRODUCT((PARIS!$AB$4:'PARIS'!$AB$103=A61)*PARIS!$AS$4:$AS$103)</f>
        <v>45.430199999999999</v>
      </c>
      <c r="G61" s="136" cm="1">
        <f t="array" ref="G61">SUMPRODUCT((PARIS!$C$4:'PARIS'!$C$103=A61)*PARIS!$W$4:$W$103)+SUMPRODUCT((PARIS!$AA$4:'PARIS'!$AA$103=A61)*PARIS!$AT$4:$AT$103)+SUMPRODUCT((PARIS!$AB$4:'PARIS'!$AB$103=A61)*PARIS!$AT$4:$AT$103)</f>
        <v>33.061800000000005</v>
      </c>
      <c r="H61" s="115"/>
      <c r="I61" s="139">
        <f t="shared" si="11"/>
        <v>35099.086597500005</v>
      </c>
      <c r="J61" s="136">
        <f t="shared" si="4"/>
        <v>9556.4571199999991</v>
      </c>
      <c r="K61" s="136">
        <f t="shared" si="5"/>
        <v>25542.629477499999</v>
      </c>
      <c r="L61" s="136">
        <f t="shared" si="6"/>
        <v>2455.9974620657376</v>
      </c>
      <c r="M61" s="136">
        <f t="shared" si="7"/>
        <v>1551.1387416954415</v>
      </c>
      <c r="N61" s="115"/>
      <c r="O61" s="131">
        <f>C61*ResourcesEmissions!B65</f>
        <v>556.93700990521961</v>
      </c>
      <c r="P61" s="131">
        <f>C61*ResourcesEmissions!C65</f>
        <v>336.38840230434738</v>
      </c>
      <c r="Q61" s="131">
        <f>C61*ResourcesEmissions!E65</f>
        <v>4581.9464444443129</v>
      </c>
      <c r="R61" s="115"/>
      <c r="S61" s="131">
        <f t="shared" si="8"/>
        <v>43629.47534754224</v>
      </c>
      <c r="T61" s="131">
        <f t="shared" si="9"/>
        <v>35287.163077953068</v>
      </c>
      <c r="U61" s="131">
        <f t="shared" si="10"/>
        <v>424443.90246393083</v>
      </c>
      <c r="V61" s="115"/>
      <c r="W61" s="128"/>
      <c r="X61" s="128"/>
      <c r="Y61" s="128"/>
      <c r="Z61" s="115"/>
      <c r="AA61" s="126"/>
      <c r="AB61" s="126"/>
      <c r="AC61" s="126"/>
      <c r="AD61" s="115"/>
      <c r="AE61" s="126"/>
      <c r="AF61" s="126"/>
      <c r="AG61" s="126"/>
      <c r="AH61" s="115"/>
      <c r="AI61" s="128"/>
      <c r="AJ61" s="128"/>
      <c r="AK61" s="128"/>
      <c r="AL61" s="115"/>
      <c r="AM61" s="126"/>
      <c r="AN61" s="126"/>
      <c r="AO61" s="126"/>
      <c r="AP61" s="115"/>
      <c r="AQ61" s="126"/>
      <c r="AR61" s="126"/>
      <c r="AS61" s="126"/>
    </row>
    <row r="62" spans="1:45" x14ac:dyDescent="0.25">
      <c r="A62" s="94">
        <v>2007</v>
      </c>
      <c r="B62" s="139" cm="1">
        <f t="array" ref="B62">SUMPRODUCT((PARIS!$C$4:'PARIS'!$C$103=A62)*PARIS!$X$4:$X$103)+SUMPRODUCT((PARIS!$AA$4:'PARIS'!$AA$103=A62)*PARIS!$AQ$4:$AQ$103)+SUMPRODUCT((PARIS!$AB$4:'PARIS'!$AB$103=A62)*PARIS!$AQ$4:$AQ$103)</f>
        <v>25186.199999999997</v>
      </c>
      <c r="C62" s="139" cm="1">
        <f t="array" ref="C62">SUMPRODUCT((PARIS!$C$4:'PARIS'!$C$103=A62)*PARIS!$Y$4:$Y$103)+SUMPRODUCT((PARIS!$AA$4:'PARIS'!$AA$103=A62)*PARIS!$AR$4:$AR$103)+SUMPRODUCT((PARIS!$AB$4:'PARIS'!$AB$103=A62)*PARIS!$AR$4:$AR$103)</f>
        <v>718.91199999999992</v>
      </c>
      <c r="D62" s="136" cm="1">
        <f t="array" ref="D62">SUMPRODUCT((PARIS!$C$4:'PARIS'!$C$103=A62)*PARIS!$O$4:$O$103)+SUMPRODUCT((PARIS!$AA$4:'PARIS'!$AA$103=A62)*PARIS!$AM$4:$AM$103)+SUMPRODUCT((PARIS!$AB$4:'PARIS'!$AB$103=A62)*PARIS!$AM$4:$AM$103)</f>
        <v>79.38</v>
      </c>
      <c r="E62" s="136" cm="1">
        <f t="array" ref="E62">SUMPRODUCT((PARIS!$C$4:'PARIS'!$C$103=A62)*PARIS!$R$4:$R$103)+SUMPRODUCT((PARIS!$AA$4:'PARIS'!$AA$103=A62)*PARIS!$AP$4:$AP$103)+SUMPRODUCT((PARIS!$AB$4:'PARIS'!$AB$103=A62)*PARIS!$AP$4:$AP$103)</f>
        <v>639.53199999999993</v>
      </c>
      <c r="F62" s="136" cm="1">
        <f t="array" ref="F62">SUMPRODUCT((PARIS!$C$4:'PARIS'!$C$103=A62)*PARIS!$V$4:$V$103)+SUMPRODUCT((PARIS!$AA$4:'PARIS'!$AA$103=A62)*PARIS!$AS$4:$AS$103)+SUMPRODUCT((PARIS!$AB$4:'PARIS'!$AB$103=A62)*PARIS!$AS$4:$AS$103)</f>
        <v>48.974533333333341</v>
      </c>
      <c r="G62" s="136" cm="1">
        <f t="array" ref="G62">SUMPRODUCT((PARIS!$C$4:'PARIS'!$C$103=A62)*PARIS!$W$4:$W$103)+SUMPRODUCT((PARIS!$AA$4:'PARIS'!$AA$103=A62)*PARIS!$AT$4:$AT$103)+SUMPRODUCT((PARIS!$AB$4:'PARIS'!$AB$103=A62)*PARIS!$AT$4:$AT$103)</f>
        <v>40.304533333333339</v>
      </c>
      <c r="H62" s="115"/>
      <c r="I62" s="139">
        <f t="shared" si="11"/>
        <v>35817.998597500002</v>
      </c>
      <c r="J62" s="136">
        <f t="shared" si="4"/>
        <v>9635.8371199999983</v>
      </c>
      <c r="K62" s="136">
        <f t="shared" si="5"/>
        <v>26182.161477499998</v>
      </c>
      <c r="L62" s="136">
        <f t="shared" si="6"/>
        <v>2504.9719953990711</v>
      </c>
      <c r="M62" s="136">
        <f t="shared" si="7"/>
        <v>1591.4432750287749</v>
      </c>
      <c r="N62" s="115"/>
      <c r="O62" s="131">
        <f>C62*ResourcesEmissions!B66</f>
        <v>799.10513293191923</v>
      </c>
      <c r="P62" s="131">
        <f>C62*ResourcesEmissions!C66</f>
        <v>470.88735999999994</v>
      </c>
      <c r="Q62" s="131">
        <f>C62*ResourcesEmissions!E66</f>
        <v>6569.8259549015429</v>
      </c>
      <c r="R62" s="115"/>
      <c r="S62" s="131">
        <f t="shared" si="8"/>
        <v>44428.580480474157</v>
      </c>
      <c r="T62" s="131">
        <f t="shared" si="9"/>
        <v>35758.050437953068</v>
      </c>
      <c r="U62" s="131">
        <f t="shared" si="10"/>
        <v>431013.72841883235</v>
      </c>
      <c r="V62" s="115"/>
      <c r="W62" s="128"/>
      <c r="X62" s="128"/>
      <c r="Y62" s="128"/>
      <c r="Z62" s="115"/>
      <c r="AA62" s="126"/>
      <c r="AB62" s="126"/>
      <c r="AC62" s="126"/>
      <c r="AD62" s="115"/>
      <c r="AE62" s="126"/>
      <c r="AF62" s="126"/>
      <c r="AG62" s="126"/>
      <c r="AH62" s="115"/>
      <c r="AI62" s="128"/>
      <c r="AJ62" s="128"/>
      <c r="AK62" s="128"/>
      <c r="AL62" s="115"/>
      <c r="AM62" s="126"/>
      <c r="AN62" s="126"/>
      <c r="AO62" s="126"/>
      <c r="AP62" s="115"/>
      <c r="AQ62" s="126"/>
      <c r="AR62" s="126"/>
      <c r="AS62" s="126"/>
    </row>
    <row r="63" spans="1:45" x14ac:dyDescent="0.25">
      <c r="A63" s="94">
        <v>2008</v>
      </c>
      <c r="B63" s="139" cm="1">
        <f t="array" ref="B63">SUMPRODUCT((PARIS!$C$4:'PARIS'!$C$103=A63)*PARIS!$X$4:$X$103)+SUMPRODUCT((PARIS!$AA$4:'PARIS'!$AA$103=A63)*PARIS!$AQ$4:$AQ$103)+SUMPRODUCT((PARIS!$AB$4:'PARIS'!$AB$103=A63)*PARIS!$AQ$4:$AQ$103)</f>
        <v>100104</v>
      </c>
      <c r="C63" s="139" cm="1">
        <f t="array" ref="C63">SUMPRODUCT((PARIS!$C$4:'PARIS'!$C$103=A63)*PARIS!$Y$4:$Y$103)+SUMPRODUCT((PARIS!$AA$4:'PARIS'!$AA$103=A63)*PARIS!$AR$4:$AR$103)+SUMPRODUCT((PARIS!$AB$4:'PARIS'!$AB$103=A63)*PARIS!$AR$4:$AR$103)</f>
        <v>2118.4650000000001</v>
      </c>
      <c r="D63" s="136" cm="1">
        <f t="array" ref="D63">SUMPRODUCT((PARIS!$C$4:'PARIS'!$C$103=A63)*PARIS!$O$4:$O$103)+SUMPRODUCT((PARIS!$AA$4:'PARIS'!$AA$103=A63)*PARIS!$AM$4:$AM$103)+SUMPRODUCT((PARIS!$AB$4:'PARIS'!$AB$103=A63)*PARIS!$AM$4:$AM$103)</f>
        <v>351</v>
      </c>
      <c r="E63" s="136" cm="1">
        <f t="array" ref="E63">SUMPRODUCT((PARIS!$C$4:'PARIS'!$C$103=A63)*PARIS!$R$4:$R$103)+SUMPRODUCT((PARIS!$AA$4:'PARIS'!$AA$103=A63)*PARIS!$AP$4:$AP$103)+SUMPRODUCT((PARIS!$AB$4:'PARIS'!$AB$103=A63)*PARIS!$AP$4:$AP$103)</f>
        <v>1767.4649999999999</v>
      </c>
      <c r="F63" s="136" cm="1">
        <f t="array" ref="F63">SUMPRODUCT((PARIS!$C$4:'PARIS'!$C$103=A63)*PARIS!$V$4:$V$103)+SUMPRODUCT((PARIS!$AA$4:'PARIS'!$AA$103=A63)*PARIS!$AS$4:$AS$103)+SUMPRODUCT((PARIS!$AB$4:'PARIS'!$AB$103=A63)*PARIS!$AS$4:$AS$103)</f>
        <v>137.2839619047619</v>
      </c>
      <c r="G63" s="136" cm="1">
        <f t="array" ref="G63">SUMPRODUCT((PARIS!$C$4:'PARIS'!$C$103=A63)*PARIS!$W$4:$W$103)+SUMPRODUCT((PARIS!$AA$4:'PARIS'!$AA$103=A63)*PARIS!$AT$4:$AT$103)+SUMPRODUCT((PARIS!$AB$4:'PARIS'!$AB$103=A63)*PARIS!$AT$4:$AT$103)</f>
        <v>84.560152380952388</v>
      </c>
      <c r="H63" s="115"/>
      <c r="I63" s="139">
        <f t="shared" si="11"/>
        <v>37936.463597499998</v>
      </c>
      <c r="J63" s="136">
        <f t="shared" si="4"/>
        <v>9986.8371199999983</v>
      </c>
      <c r="K63" s="136">
        <f t="shared" si="5"/>
        <v>27949.626477499998</v>
      </c>
      <c r="L63" s="136">
        <f t="shared" si="6"/>
        <v>2642.2559573038329</v>
      </c>
      <c r="M63" s="136">
        <f t="shared" si="7"/>
        <v>1676.0034274097272</v>
      </c>
      <c r="N63" s="115"/>
      <c r="O63" s="131">
        <f>C63*ResourcesEmissions!B67</f>
        <v>2350.3359081425242</v>
      </c>
      <c r="P63" s="131">
        <f>C63*ResourcesEmissions!C67</f>
        <v>1362.5183747241908</v>
      </c>
      <c r="Q63" s="131">
        <f>C63*ResourcesEmissions!E67</f>
        <v>19314.648170015993</v>
      </c>
      <c r="R63" s="115"/>
      <c r="S63" s="131">
        <f t="shared" si="8"/>
        <v>46778.916388616679</v>
      </c>
      <c r="T63" s="131">
        <f t="shared" si="9"/>
        <v>37120.568812677258</v>
      </c>
      <c r="U63" s="131">
        <f t="shared" si="10"/>
        <v>450328.37658884836</v>
      </c>
      <c r="V63" s="115"/>
      <c r="W63" s="128"/>
      <c r="X63" s="128"/>
      <c r="Y63" s="128"/>
      <c r="Z63" s="115"/>
      <c r="AA63" s="126"/>
      <c r="AB63" s="126"/>
      <c r="AC63" s="126"/>
      <c r="AD63" s="115"/>
      <c r="AE63" s="126"/>
      <c r="AF63" s="126"/>
      <c r="AG63" s="126"/>
      <c r="AH63" s="115"/>
      <c r="AI63" s="128"/>
      <c r="AJ63" s="128"/>
      <c r="AK63" s="128"/>
      <c r="AL63" s="115"/>
      <c r="AM63" s="126"/>
      <c r="AN63" s="126"/>
      <c r="AO63" s="126"/>
      <c r="AP63" s="115"/>
      <c r="AQ63" s="126"/>
      <c r="AR63" s="126"/>
      <c r="AS63" s="126"/>
    </row>
    <row r="64" spans="1:45" x14ac:dyDescent="0.25">
      <c r="A64" s="94">
        <v>2009</v>
      </c>
      <c r="B64" s="139" cm="1">
        <f t="array" ref="B64">SUMPRODUCT((PARIS!$C$4:'PARIS'!$C$103=A64)*PARIS!$X$4:$X$103)+SUMPRODUCT((PARIS!$AA$4:'PARIS'!$AA$103=A64)*PARIS!$AQ$4:$AQ$103)+SUMPRODUCT((PARIS!$AB$4:'PARIS'!$AB$103=A64)*PARIS!$AQ$4:$AQ$103)</f>
        <v>9864</v>
      </c>
      <c r="C64" s="139" cm="1">
        <f t="array" ref="C64">SUMPRODUCT((PARIS!$C$4:'PARIS'!$C$103=A64)*PARIS!$Y$4:$Y$103)+SUMPRODUCT((PARIS!$AA$4:'PARIS'!$AA$103=A64)*PARIS!$AR$4:$AR$103)+SUMPRODUCT((PARIS!$AB$4:'PARIS'!$AB$103=A64)*PARIS!$AR$4:$AR$103)</f>
        <v>221.94</v>
      </c>
      <c r="D64" s="136" cm="1">
        <f t="array" ref="D64">SUMPRODUCT((PARIS!$C$4:'PARIS'!$C$103=A64)*PARIS!$O$4:$O$103)+SUMPRODUCT((PARIS!$AA$4:'PARIS'!$AA$103=A64)*PARIS!$AM$4:$AM$103)+SUMPRODUCT((PARIS!$AB$4:'PARIS'!$AB$103=A64)*PARIS!$AM$4:$AM$103)</f>
        <v>0</v>
      </c>
      <c r="E64" s="136" cm="1">
        <f t="array" ref="E64">SUMPRODUCT((PARIS!$C$4:'PARIS'!$C$103=A64)*PARIS!$R$4:$R$103)+SUMPRODUCT((PARIS!$AA$4:'PARIS'!$AA$103=A64)*PARIS!$AP$4:$AP$103)+SUMPRODUCT((PARIS!$AB$4:'PARIS'!$AB$103=A64)*PARIS!$AP$4:$AP$103)</f>
        <v>221.94</v>
      </c>
      <c r="F64" s="136" cm="1">
        <f t="array" ref="F64">SUMPRODUCT((PARIS!$C$4:'PARIS'!$C$103=A64)*PARIS!$V$4:$V$103)+SUMPRODUCT((PARIS!$AA$4:'PARIS'!$AA$103=A64)*PARIS!$AS$4:$AS$103)+SUMPRODUCT((PARIS!$AB$4:'PARIS'!$AB$103=A64)*PARIS!$AS$4:$AS$103)</f>
        <v>10.521600000000001</v>
      </c>
      <c r="G64" s="136" cm="1">
        <f t="array" ref="G64">SUMPRODUCT((PARIS!$C$4:'PARIS'!$C$103=A64)*PARIS!$W$4:$W$103)+SUMPRODUCT((PARIS!$AA$4:'PARIS'!$AA$103=A64)*PARIS!$AT$4:$AT$103)+SUMPRODUCT((PARIS!$AB$4:'PARIS'!$AB$103=A64)*PARIS!$AT$4:$AT$103)</f>
        <v>10.521600000000001</v>
      </c>
      <c r="H64" s="115"/>
      <c r="I64" s="139">
        <f t="shared" si="11"/>
        <v>38158.403597500001</v>
      </c>
      <c r="J64" s="136">
        <f t="shared" si="4"/>
        <v>9986.8371199999983</v>
      </c>
      <c r="K64" s="136">
        <f t="shared" si="5"/>
        <v>28171.566477499997</v>
      </c>
      <c r="L64" s="136">
        <f t="shared" si="6"/>
        <v>2652.777557303833</v>
      </c>
      <c r="M64" s="136">
        <f t="shared" si="7"/>
        <v>1686.5250274097273</v>
      </c>
      <c r="N64" s="115"/>
      <c r="O64" s="131">
        <f>C64*ResourcesEmissions!B68</f>
        <v>245.94250337649865</v>
      </c>
      <c r="P64" s="131">
        <f>C64*ResourcesEmissions!C68</f>
        <v>140.55490709219842</v>
      </c>
      <c r="Q64" s="131">
        <f>C64*ResourcesEmissions!E68</f>
        <v>2020.6209856574872</v>
      </c>
      <c r="R64" s="115"/>
      <c r="S64" s="131">
        <f t="shared" si="8"/>
        <v>47024.858891993179</v>
      </c>
      <c r="T64" s="131">
        <f t="shared" si="9"/>
        <v>37261.123719769457</v>
      </c>
      <c r="U64" s="131">
        <f t="shared" si="10"/>
        <v>452348.99757450586</v>
      </c>
      <c r="V64" s="115"/>
      <c r="W64" s="128"/>
      <c r="X64" s="128"/>
      <c r="Y64" s="128"/>
      <c r="Z64" s="115"/>
      <c r="AA64" s="126"/>
      <c r="AB64" s="126"/>
      <c r="AC64" s="126"/>
      <c r="AD64" s="115"/>
      <c r="AE64" s="126"/>
      <c r="AF64" s="126"/>
      <c r="AG64" s="126"/>
      <c r="AH64" s="115"/>
      <c r="AI64" s="128"/>
      <c r="AJ64" s="128"/>
      <c r="AK64" s="128"/>
      <c r="AL64" s="115"/>
      <c r="AM64" s="126"/>
      <c r="AN64" s="126"/>
      <c r="AO64" s="126"/>
      <c r="AP64" s="115"/>
      <c r="AQ64" s="126"/>
      <c r="AR64" s="126"/>
      <c r="AS64" s="126"/>
    </row>
    <row r="65" spans="1:45" x14ac:dyDescent="0.25">
      <c r="A65" s="94">
        <v>2010</v>
      </c>
      <c r="B65" s="139" cm="1">
        <f t="array" ref="B65">SUMPRODUCT((PARIS!$C$4:'PARIS'!$C$103=A65)*PARIS!$X$4:$X$103)+SUMPRODUCT((PARIS!$AA$4:'PARIS'!$AA$103=A65)*PARIS!$AQ$4:$AQ$103)+SUMPRODUCT((PARIS!$AB$4:'PARIS'!$AB$103=A65)*PARIS!$AQ$4:$AQ$103)</f>
        <v>21344.47</v>
      </c>
      <c r="C65" s="139" cm="1">
        <f t="array" ref="C65">SUMPRODUCT((PARIS!$C$4:'PARIS'!$C$103=A65)*PARIS!$Y$4:$Y$103)+SUMPRODUCT((PARIS!$AA$4:'PARIS'!$AA$103=A65)*PARIS!$AR$4:$AR$103)+SUMPRODUCT((PARIS!$AB$4:'PARIS'!$AB$103=A65)*PARIS!$AR$4:$AR$103)</f>
        <v>852.89715000000001</v>
      </c>
      <c r="D65" s="136" cm="1">
        <f t="array" ref="D65">SUMPRODUCT((PARIS!$C$4:'PARIS'!$C$103=A65)*PARIS!$O$4:$O$103)+SUMPRODUCT((PARIS!$AA$4:'PARIS'!$AA$103=A65)*PARIS!$AM$4:$AM$103)+SUMPRODUCT((PARIS!$AB$4:'PARIS'!$AB$103=A65)*PARIS!$AM$4:$AM$103)</f>
        <v>0</v>
      </c>
      <c r="E65" s="136" cm="1">
        <f t="array" ref="E65">SUMPRODUCT((PARIS!$C$4:'PARIS'!$C$103=A65)*PARIS!$R$4:$R$103)+SUMPRODUCT((PARIS!$AA$4:'PARIS'!$AA$103=A65)*PARIS!$AP$4:$AP$103)+SUMPRODUCT((PARIS!$AB$4:'PARIS'!$AB$103=A65)*PARIS!$AP$4:$AP$103)</f>
        <v>852.89715000000001</v>
      </c>
      <c r="F65" s="136" cm="1">
        <f t="array" ref="F65">SUMPRODUCT((PARIS!$C$4:'PARIS'!$C$103=A65)*PARIS!$V$4:$V$103)+SUMPRODUCT((PARIS!$AA$4:'PARIS'!$AA$103=A65)*PARIS!$AS$4:$AS$103)+SUMPRODUCT((PARIS!$AB$4:'PARIS'!$AB$103=A65)*PARIS!$AS$4:$AS$103)</f>
        <v>79.408000000000001</v>
      </c>
      <c r="G65" s="136" cm="1">
        <f t="array" ref="G65">SUMPRODUCT((PARIS!$C$4:'PARIS'!$C$103=A65)*PARIS!$W$4:$W$103)+SUMPRODUCT((PARIS!$AA$4:'PARIS'!$AA$103=A65)*PARIS!$AT$4:$AT$103)+SUMPRODUCT((PARIS!$AB$4:'PARIS'!$AB$103=A65)*PARIS!$AT$4:$AT$103)</f>
        <v>47.404000000000003</v>
      </c>
      <c r="H65" s="115"/>
      <c r="I65" s="139">
        <f t="shared" si="11"/>
        <v>39011.300747499998</v>
      </c>
      <c r="J65" s="136">
        <f t="shared" si="4"/>
        <v>9986.8371199999983</v>
      </c>
      <c r="K65" s="136">
        <f t="shared" si="5"/>
        <v>29024.463627499998</v>
      </c>
      <c r="L65" s="136">
        <f t="shared" si="6"/>
        <v>2732.1855573038329</v>
      </c>
      <c r="M65" s="136">
        <f t="shared" si="7"/>
        <v>1733.9290274097273</v>
      </c>
      <c r="N65" s="115"/>
      <c r="O65" s="131">
        <f>C65*ResourcesEmissions!B69</f>
        <v>944.75417305499991</v>
      </c>
      <c r="P65" s="131">
        <f>C65*ResourcesEmissions!C69</f>
        <v>533.06071874999998</v>
      </c>
      <c r="Q65" s="131">
        <f>C65*ResourcesEmissions!E69</f>
        <v>7761.3640649999998</v>
      </c>
      <c r="R65" s="115"/>
      <c r="S65" s="131">
        <f t="shared" si="8"/>
        <v>47969.613065048179</v>
      </c>
      <c r="T65" s="131">
        <f t="shared" si="9"/>
        <v>37794.184438519456</v>
      </c>
      <c r="U65" s="131">
        <f t="shared" si="10"/>
        <v>460110.36163950583</v>
      </c>
      <c r="V65" s="115"/>
      <c r="W65" s="128"/>
      <c r="X65" s="128"/>
      <c r="Y65" s="128"/>
      <c r="Z65" s="115"/>
      <c r="AA65" s="126"/>
      <c r="AB65" s="126"/>
      <c r="AC65" s="126"/>
      <c r="AD65" s="115"/>
      <c r="AE65" s="126"/>
      <c r="AF65" s="126"/>
      <c r="AG65" s="126"/>
      <c r="AH65" s="115"/>
      <c r="AI65" s="128"/>
      <c r="AJ65" s="128"/>
      <c r="AK65" s="128"/>
      <c r="AL65" s="115"/>
      <c r="AM65" s="126"/>
      <c r="AN65" s="126"/>
      <c r="AO65" s="126"/>
      <c r="AP65" s="115"/>
      <c r="AQ65" s="126"/>
      <c r="AR65" s="126"/>
      <c r="AS65" s="126"/>
    </row>
    <row r="66" spans="1:45" x14ac:dyDescent="0.25">
      <c r="A66" s="94">
        <v>2011</v>
      </c>
      <c r="B66" s="139" cm="1">
        <f t="array" ref="B66">SUMPRODUCT((PARIS!$C$4:'PARIS'!$C$103=A66)*PARIS!$X$4:$X$103)+SUMPRODUCT((PARIS!$AA$4:'PARIS'!$AA$103=A66)*PARIS!$AQ$4:$AQ$103)+SUMPRODUCT((PARIS!$AB$4:'PARIS'!$AB$103=A66)*PARIS!$AQ$4:$AQ$103)</f>
        <v>84400</v>
      </c>
      <c r="C66" s="139" cm="1">
        <f t="array" ref="C66">SUMPRODUCT((PARIS!$C$4:'PARIS'!$C$103=A66)*PARIS!$Y$4:$Y$103)+SUMPRODUCT((PARIS!$AA$4:'PARIS'!$AA$103=A66)*PARIS!$AR$4:$AR$103)+SUMPRODUCT((PARIS!$AB$4:'PARIS'!$AB$103=A66)*PARIS!$AR$4:$AR$103)</f>
        <v>1966.4999999999998</v>
      </c>
      <c r="D66" s="136" cm="1">
        <f t="array" ref="D66">SUMPRODUCT((PARIS!$C$4:'PARIS'!$C$103=A66)*PARIS!$O$4:$O$103)+SUMPRODUCT((PARIS!$AA$4:'PARIS'!$AA$103=A66)*PARIS!$AM$4:$AM$103)+SUMPRODUCT((PARIS!$AB$4:'PARIS'!$AB$103=A66)*PARIS!$AM$4:$AM$103)</f>
        <v>675</v>
      </c>
      <c r="E66" s="136" cm="1">
        <f t="array" ref="E66">SUMPRODUCT((PARIS!$C$4:'PARIS'!$C$103=A66)*PARIS!$R$4:$R$103)+SUMPRODUCT((PARIS!$AA$4:'PARIS'!$AA$103=A66)*PARIS!$AP$4:$AP$103)+SUMPRODUCT((PARIS!$AB$4:'PARIS'!$AB$103=A66)*PARIS!$AP$4:$AP$103)</f>
        <v>1291.4999999999998</v>
      </c>
      <c r="F66" s="136" cm="1">
        <f t="array" ref="F66">SUMPRODUCT((PARIS!$C$4:'PARIS'!$C$103=A66)*PARIS!$V$4:$V$103)+SUMPRODUCT((PARIS!$AA$4:'PARIS'!$AA$103=A66)*PARIS!$AS$4:$AS$103)+SUMPRODUCT((PARIS!$AB$4:'PARIS'!$AB$103=A66)*PARIS!$AS$4:$AS$103)</f>
        <v>119.05185185185184</v>
      </c>
      <c r="G66" s="136" cm="1">
        <f t="array" ref="G66">SUMPRODUCT((PARIS!$C$4:'PARIS'!$C$103=A66)*PARIS!$W$4:$W$103)+SUMPRODUCT((PARIS!$AA$4:'PARIS'!$AA$103=A66)*PARIS!$AT$4:$AT$103)+SUMPRODUCT((PARIS!$AB$4:'PARIS'!$AB$103=A66)*PARIS!$AT$4:$AT$103)</f>
        <v>59.525925925925918</v>
      </c>
      <c r="H66" s="115"/>
      <c r="I66" s="139">
        <f t="shared" si="11"/>
        <v>40977.800747499998</v>
      </c>
      <c r="J66" s="136">
        <f t="shared" si="4"/>
        <v>10661.837119999998</v>
      </c>
      <c r="K66" s="136">
        <f t="shared" si="5"/>
        <v>30315.963627499998</v>
      </c>
      <c r="L66" s="136">
        <f t="shared" si="6"/>
        <v>2851.2374091556849</v>
      </c>
      <c r="M66" s="136">
        <f t="shared" si="7"/>
        <v>1793.4549533356533</v>
      </c>
      <c r="N66" s="115"/>
      <c r="O66" s="131">
        <f>C66*ResourcesEmissions!B70</f>
        <v>2178.2920499999996</v>
      </c>
      <c r="P66" s="131">
        <f>C66*ResourcesEmissions!C70</f>
        <v>1215.2829401424672</v>
      </c>
      <c r="Q66" s="131">
        <f>C66*ResourcesEmissions!E70</f>
        <v>17895.149999999998</v>
      </c>
      <c r="R66" s="115"/>
      <c r="S66" s="131">
        <f t="shared" si="8"/>
        <v>50147.905115048176</v>
      </c>
      <c r="T66" s="131">
        <f t="shared" si="9"/>
        <v>39009.467378661924</v>
      </c>
      <c r="U66" s="131">
        <f t="shared" si="10"/>
        <v>478005.51163950586</v>
      </c>
      <c r="V66" s="115"/>
      <c r="W66" s="128"/>
      <c r="X66" s="128"/>
      <c r="Y66" s="128"/>
      <c r="Z66" s="115"/>
      <c r="AA66" s="126"/>
      <c r="AB66" s="126"/>
      <c r="AC66" s="126"/>
      <c r="AD66" s="115"/>
      <c r="AE66" s="126"/>
      <c r="AF66" s="126"/>
      <c r="AG66" s="126"/>
      <c r="AH66" s="115"/>
      <c r="AI66" s="128"/>
      <c r="AJ66" s="128"/>
      <c r="AK66" s="128"/>
      <c r="AL66" s="115"/>
      <c r="AM66" s="126"/>
      <c r="AN66" s="126"/>
      <c r="AO66" s="126"/>
      <c r="AP66" s="115"/>
      <c r="AQ66" s="126"/>
      <c r="AR66" s="126"/>
      <c r="AS66" s="126"/>
    </row>
    <row r="67" spans="1:45" x14ac:dyDescent="0.25">
      <c r="A67" s="94">
        <v>2012</v>
      </c>
      <c r="B67" s="139" cm="1">
        <f t="array" ref="B67">SUMPRODUCT((PARIS!$C$4:'PARIS'!$C$103=A67)*PARIS!$X$4:$X$103)+SUMPRODUCT((PARIS!$AA$4:'PARIS'!$AA$103=A67)*PARIS!$AQ$4:$AQ$103)+SUMPRODUCT((PARIS!$AB$4:'PARIS'!$AB$103=A67)*PARIS!$AQ$4:$AQ$103)</f>
        <v>23247</v>
      </c>
      <c r="C67" s="139" cm="1">
        <f t="array" ref="C67">SUMPRODUCT((PARIS!$C$4:'PARIS'!$C$103=A67)*PARIS!$Y$4:$Y$103)+SUMPRODUCT((PARIS!$AA$4:'PARIS'!$AA$103=A67)*PARIS!$AR$4:$AR$103)+SUMPRODUCT((PARIS!$AB$4:'PARIS'!$AB$103=A67)*PARIS!$AR$4:$AR$103)</f>
        <v>755.52749999999992</v>
      </c>
      <c r="D67" s="136" cm="1">
        <f t="array" ref="D67">SUMPRODUCT((PARIS!$C$4:'PARIS'!$C$103=A67)*PARIS!$O$4:$O$103)+SUMPRODUCT((PARIS!$AA$4:'PARIS'!$AA$103=A67)*PARIS!$AM$4:$AM$103)+SUMPRODUCT((PARIS!$AB$4:'PARIS'!$AB$103=A67)*PARIS!$AM$4:$AM$103)</f>
        <v>290.58749999999998</v>
      </c>
      <c r="E67" s="136" cm="1">
        <f t="array" ref="E67">SUMPRODUCT((PARIS!$C$4:'PARIS'!$C$103=A67)*PARIS!$R$4:$R$103)+SUMPRODUCT((PARIS!$AA$4:'PARIS'!$AA$103=A67)*PARIS!$AP$4:$AP$103)+SUMPRODUCT((PARIS!$AB$4:'PARIS'!$AB$103=A67)*PARIS!$AP$4:$AP$103)</f>
        <v>464.94</v>
      </c>
      <c r="F67" s="136" cm="1">
        <f t="array" ref="F67">SUMPRODUCT((PARIS!$C$4:'PARIS'!$C$103=A67)*PARIS!$V$4:$V$103)+SUMPRODUCT((PARIS!$AA$4:'PARIS'!$AA$103=A67)*PARIS!$AS$4:$AS$103)+SUMPRODUCT((PARIS!$AB$4:'PARIS'!$AB$103=A67)*PARIS!$AS$4:$AS$103)</f>
        <v>66.42</v>
      </c>
      <c r="G67" s="136" cm="1">
        <f t="array" ref="G67">SUMPRODUCT((PARIS!$C$4:'PARIS'!$C$103=A67)*PARIS!$W$4:$W$103)+SUMPRODUCT((PARIS!$AA$4:'PARIS'!$AA$103=A67)*PARIS!$AT$4:$AT$103)+SUMPRODUCT((PARIS!$AB$4:'PARIS'!$AB$103=A67)*PARIS!$AT$4:$AT$103)</f>
        <v>33.21</v>
      </c>
      <c r="H67" s="115"/>
      <c r="I67" s="139">
        <f t="shared" si="11"/>
        <v>41733.328247499994</v>
      </c>
      <c r="J67" s="136">
        <f t="shared" si="4"/>
        <v>10952.424619999998</v>
      </c>
      <c r="K67" s="136">
        <f t="shared" si="5"/>
        <v>30780.903627499996</v>
      </c>
      <c r="L67" s="136">
        <f t="shared" si="6"/>
        <v>2917.6574091556849</v>
      </c>
      <c r="M67" s="136">
        <f t="shared" si="7"/>
        <v>1826.6649533356533</v>
      </c>
      <c r="N67" s="115"/>
      <c r="O67" s="131">
        <f>C67*ResourcesEmissions!B71</f>
        <v>836.89781174999985</v>
      </c>
      <c r="P67" s="131">
        <f>C67*ResourcesEmissions!C71</f>
        <v>462.36019462554088</v>
      </c>
      <c r="Q67" s="131">
        <f>C67*ResourcesEmissions!E71</f>
        <v>6875.3002499999993</v>
      </c>
      <c r="R67" s="115"/>
      <c r="S67" s="131">
        <f t="shared" si="8"/>
        <v>50984.802926798176</v>
      </c>
      <c r="T67" s="131">
        <f t="shared" si="9"/>
        <v>39471.827573287468</v>
      </c>
      <c r="U67" s="131">
        <f t="shared" si="10"/>
        <v>484880.81188950583</v>
      </c>
      <c r="V67" s="115"/>
      <c r="W67" s="128"/>
      <c r="X67" s="128"/>
      <c r="Y67" s="128"/>
      <c r="Z67" s="115"/>
      <c r="AA67" s="126"/>
      <c r="AB67" s="126"/>
      <c r="AC67" s="126"/>
      <c r="AD67" s="115"/>
      <c r="AE67" s="126"/>
      <c r="AF67" s="126"/>
      <c r="AG67" s="126"/>
      <c r="AH67" s="115"/>
      <c r="AI67" s="128"/>
      <c r="AJ67" s="128"/>
      <c r="AK67" s="128"/>
      <c r="AL67" s="115"/>
      <c r="AM67" s="126"/>
      <c r="AN67" s="126"/>
      <c r="AO67" s="126"/>
      <c r="AP67" s="115"/>
      <c r="AQ67" s="126"/>
      <c r="AR67" s="126"/>
      <c r="AS67" s="126"/>
    </row>
    <row r="68" spans="1:45" x14ac:dyDescent="0.25">
      <c r="A68" s="94">
        <v>2013</v>
      </c>
      <c r="B68" s="139" cm="1">
        <f t="array" ref="B68">SUMPRODUCT((PARIS!$C$4:'PARIS'!$C$103=A68)*PARIS!$X$4:$X$103)+SUMPRODUCT((PARIS!$AA$4:'PARIS'!$AA$103=A68)*PARIS!$AQ$4:$AQ$103)+SUMPRODUCT((PARIS!$AB$4:'PARIS'!$AB$103=A68)*PARIS!$AQ$4:$AQ$103)</f>
        <v>64480</v>
      </c>
      <c r="C68" s="139" cm="1">
        <f t="array" ref="C68">SUMPRODUCT((PARIS!$C$4:'PARIS'!$C$103=A68)*PARIS!$Y$4:$Y$103)+SUMPRODUCT((PARIS!$AA$4:'PARIS'!$AA$103=A68)*PARIS!$AR$4:$AR$103)+SUMPRODUCT((PARIS!$AB$4:'PARIS'!$AB$103=A68)*PARIS!$AR$4:$AR$103)</f>
        <v>1289.6000000000001</v>
      </c>
      <c r="D68" s="136" cm="1">
        <f t="array" ref="D68">SUMPRODUCT((PARIS!$C$4:'PARIS'!$C$103=A68)*PARIS!$O$4:$O$103)+SUMPRODUCT((PARIS!$AA$4:'PARIS'!$AA$103=A68)*PARIS!$AM$4:$AM$103)+SUMPRODUCT((PARIS!$AB$4:'PARIS'!$AB$103=A68)*PARIS!$AM$4:$AM$103)</f>
        <v>231.20000000000002</v>
      </c>
      <c r="E68" s="136" cm="1">
        <f t="array" ref="E68">SUMPRODUCT((PARIS!$C$4:'PARIS'!$C$103=A68)*PARIS!$R$4:$R$103)+SUMPRODUCT((PARIS!$AA$4:'PARIS'!$AA$103=A68)*PARIS!$AP$4:$AP$103)+SUMPRODUCT((PARIS!$AB$4:'PARIS'!$AB$103=A68)*PARIS!$AP$4:$AP$103)</f>
        <v>0</v>
      </c>
      <c r="F68" s="136" cm="1">
        <f t="array" ref="F68">SUMPRODUCT((PARIS!$C$4:'PARIS'!$C$103=A68)*PARIS!$V$4:$V$103)+SUMPRODUCT((PARIS!$AA$4:'PARIS'!$AA$103=A68)*PARIS!$AS$4:$AS$103)+SUMPRODUCT((PARIS!$AB$4:'PARIS'!$AB$103=A68)*PARIS!$AS$4:$AS$103)</f>
        <v>22.819555555555553</v>
      </c>
      <c r="G68" s="136" cm="1">
        <f t="array" ref="G68">SUMPRODUCT((PARIS!$C$4:'PARIS'!$C$103=A68)*PARIS!$W$4:$W$103)+SUMPRODUCT((PARIS!$AA$4:'PARIS'!$AA$103=A68)*PARIS!$AT$4:$AT$103)+SUMPRODUCT((PARIS!$AB$4:'PARIS'!$AB$103=A68)*PARIS!$AT$4:$AT$103)</f>
        <v>34.229333333333329</v>
      </c>
      <c r="H68" s="115"/>
      <c r="I68" s="139">
        <f t="shared" si="11"/>
        <v>43022.928247499993</v>
      </c>
      <c r="J68" s="136">
        <f t="shared" si="4"/>
        <v>11183.624619999999</v>
      </c>
      <c r="K68" s="136">
        <f t="shared" si="5"/>
        <v>30780.903627499996</v>
      </c>
      <c r="L68" s="136">
        <f t="shared" si="6"/>
        <v>2940.4769647112407</v>
      </c>
      <c r="M68" s="136">
        <f t="shared" si="7"/>
        <v>1860.8942866689868</v>
      </c>
      <c r="N68" s="115"/>
      <c r="O68" s="131">
        <f>C68*ResourcesEmissions!B72</f>
        <v>1428.48992</v>
      </c>
      <c r="P68" s="131">
        <f>C68*ResourcesEmissions!C72</f>
        <v>782.07895830387054</v>
      </c>
      <c r="Q68" s="131">
        <f>C68*ResourcesEmissions!E72</f>
        <v>11735.36</v>
      </c>
      <c r="R68" s="115"/>
      <c r="S68" s="131">
        <f t="shared" si="8"/>
        <v>52413.292846798176</v>
      </c>
      <c r="T68" s="131">
        <f t="shared" si="9"/>
        <v>40253.906531591339</v>
      </c>
      <c r="U68" s="131">
        <f t="shared" si="10"/>
        <v>496616.17188950581</v>
      </c>
      <c r="V68" s="115"/>
      <c r="W68" s="128"/>
      <c r="X68" s="128"/>
      <c r="Y68" s="128"/>
      <c r="Z68" s="115"/>
      <c r="AA68" s="126"/>
      <c r="AB68" s="126"/>
      <c r="AC68" s="126"/>
      <c r="AD68" s="115"/>
      <c r="AE68" s="126"/>
      <c r="AF68" s="126"/>
      <c r="AG68" s="126"/>
      <c r="AH68" s="115"/>
      <c r="AI68" s="128"/>
      <c r="AJ68" s="128"/>
      <c r="AK68" s="128"/>
      <c r="AL68" s="115"/>
      <c r="AM68" s="126"/>
      <c r="AN68" s="126"/>
      <c r="AO68" s="126"/>
      <c r="AP68" s="115"/>
      <c r="AQ68" s="126"/>
      <c r="AR68" s="126"/>
      <c r="AS68" s="126"/>
    </row>
    <row r="69" spans="1:45" x14ac:dyDescent="0.25">
      <c r="A69" s="94">
        <v>2014</v>
      </c>
      <c r="B69" s="139" cm="1">
        <f t="array" ref="B69">SUMPRODUCT((PARIS!$C$4:'PARIS'!$C$103=A69)*PARIS!$X$4:$X$103)+SUMPRODUCT((PARIS!$AA$4:'PARIS'!$AA$103=A69)*PARIS!$AQ$4:$AQ$103)+SUMPRODUCT((PARIS!$AB$4:'PARIS'!$AB$103=A69)*PARIS!$AQ$4:$AQ$103)</f>
        <v>113292.48000000001</v>
      </c>
      <c r="C69" s="139" cm="1">
        <f t="array" ref="C69">SUMPRODUCT((PARIS!$C$4:'PARIS'!$C$103=A69)*PARIS!$Y$4:$Y$103)+SUMPRODUCT((PARIS!$AA$4:'PARIS'!$AA$103=A69)*PARIS!$AR$4:$AR$103)+SUMPRODUCT((PARIS!$AB$4:'PARIS'!$AB$103=A69)*PARIS!$AR$4:$AR$103)</f>
        <v>2841.5755999999997</v>
      </c>
      <c r="D69" s="136" cm="1">
        <f t="array" ref="D69">SUMPRODUCT((PARIS!$C$4:'PARIS'!$C$103=A69)*PARIS!$O$4:$O$103)+SUMPRODUCT((PARIS!$AA$4:'PARIS'!$AA$103=A69)*PARIS!$AM$4:$AM$103)+SUMPRODUCT((PARIS!$AB$4:'PARIS'!$AB$103=A69)*PARIS!$AM$4:$AM$103)</f>
        <v>1010.4528</v>
      </c>
      <c r="E69" s="136" cm="1">
        <f t="array" ref="E69">SUMPRODUCT((PARIS!$C$4:'PARIS'!$C$103=A69)*PARIS!$R$4:$R$103)+SUMPRODUCT((PARIS!$AA$4:'PARIS'!$AA$103=A69)*PARIS!$AP$4:$AP$103)+SUMPRODUCT((PARIS!$AB$4:'PARIS'!$AB$103=A69)*PARIS!$AP$4:$AP$103)</f>
        <v>1831.1227999999999</v>
      </c>
      <c r="F69" s="136" cm="1">
        <f t="array" ref="F69">SUMPRODUCT((PARIS!$C$4:'PARIS'!$C$103=A69)*PARIS!$V$4:$V$103)+SUMPRODUCT((PARIS!$AA$4:'PARIS'!$AA$103=A69)*PARIS!$AS$4:$AS$103)+SUMPRODUCT((PARIS!$AB$4:'PARIS'!$AB$103=A69)*PARIS!$AS$4:$AS$103)</f>
        <v>115.4928888888889</v>
      </c>
      <c r="G69" s="136" cm="1">
        <f t="array" ref="G69">SUMPRODUCT((PARIS!$C$4:'PARIS'!$C$103=A69)*PARIS!$W$4:$W$103)+SUMPRODUCT((PARIS!$AA$4:'PARIS'!$AA$103=A69)*PARIS!$AT$4:$AT$103)+SUMPRODUCT((PARIS!$AB$4:'PARIS'!$AB$103=A69)*PARIS!$AT$4:$AT$103)</f>
        <v>82.635333333333335</v>
      </c>
      <c r="H69" s="115"/>
      <c r="I69" s="139">
        <f t="shared" si="11"/>
        <v>45864.503847499989</v>
      </c>
      <c r="J69" s="136">
        <f t="shared" si="4"/>
        <v>12194.077419999998</v>
      </c>
      <c r="K69" s="136">
        <f t="shared" si="5"/>
        <v>32612.026427499997</v>
      </c>
      <c r="L69" s="136">
        <f t="shared" si="6"/>
        <v>3055.9698536001297</v>
      </c>
      <c r="M69" s="136">
        <f t="shared" si="7"/>
        <v>1943.5296200023201</v>
      </c>
      <c r="N69" s="115"/>
      <c r="O69" s="131">
        <f>C69*ResourcesEmissions!B73</f>
        <v>3147.6132921199992</v>
      </c>
      <c r="P69" s="131">
        <f>C69*ResourcesEmissions!C73</f>
        <v>1707.6573028625319</v>
      </c>
      <c r="Q69" s="131">
        <f>C69*ResourcesEmissions!E73</f>
        <v>25858.337959999997</v>
      </c>
      <c r="R69" s="115"/>
      <c r="S69" s="131">
        <f t="shared" si="8"/>
        <v>55560.906138918173</v>
      </c>
      <c r="T69" s="131">
        <f t="shared" si="9"/>
        <v>41961.563834453875</v>
      </c>
      <c r="U69" s="131">
        <f t="shared" si="10"/>
        <v>522474.50984950579</v>
      </c>
      <c r="V69" s="115"/>
      <c r="W69" s="128"/>
      <c r="X69" s="128"/>
      <c r="Y69" s="128"/>
      <c r="Z69" s="115"/>
      <c r="AA69" s="126"/>
      <c r="AB69" s="126"/>
      <c r="AC69" s="126"/>
      <c r="AD69" s="115"/>
      <c r="AE69" s="126"/>
      <c r="AF69" s="126"/>
      <c r="AG69" s="126"/>
      <c r="AH69" s="115"/>
      <c r="AI69" s="128"/>
      <c r="AJ69" s="128"/>
      <c r="AK69" s="128"/>
      <c r="AL69" s="115"/>
      <c r="AM69" s="126"/>
      <c r="AN69" s="126"/>
      <c r="AO69" s="126"/>
      <c r="AP69" s="115"/>
      <c r="AQ69" s="126"/>
      <c r="AR69" s="126"/>
      <c r="AS69" s="126"/>
    </row>
    <row r="70" spans="1:45" x14ac:dyDescent="0.25">
      <c r="A70" s="94">
        <v>2015</v>
      </c>
      <c r="B70" s="139" cm="1">
        <f t="array" ref="B70">SUMPRODUCT((PARIS!$C$4:'PARIS'!$C$103=A70)*PARIS!$X$4:$X$103)+SUMPRODUCT((PARIS!$AA$4:'PARIS'!$AA$103=A70)*PARIS!$AQ$4:$AQ$103)+SUMPRODUCT((PARIS!$AB$4:'PARIS'!$AB$103=A70)*PARIS!$AQ$4:$AQ$103)</f>
        <v>9500</v>
      </c>
      <c r="C70" s="139" cm="1">
        <f t="array" ref="C70">SUMPRODUCT((PARIS!$C$4:'PARIS'!$C$103=A70)*PARIS!$Y$4:$Y$103)+SUMPRODUCT((PARIS!$AA$4:'PARIS'!$AA$103=A70)*PARIS!$AR$4:$AR$103)+SUMPRODUCT((PARIS!$AB$4:'PARIS'!$AB$103=A70)*PARIS!$AR$4:$AR$103)</f>
        <v>380</v>
      </c>
      <c r="D70" s="136" cm="1">
        <f t="array" ref="D70">SUMPRODUCT((PARIS!$C$4:'PARIS'!$C$103=A70)*PARIS!$O$4:$O$103)+SUMPRODUCT((PARIS!$AA$4:'PARIS'!$AA$103=A70)*PARIS!$AM$4:$AM$103)+SUMPRODUCT((PARIS!$AB$4:'PARIS'!$AB$103=A70)*PARIS!$AM$4:$AM$103)</f>
        <v>0</v>
      </c>
      <c r="E70" s="136" cm="1">
        <f t="array" ref="E70">SUMPRODUCT((PARIS!$C$4:'PARIS'!$C$103=A70)*PARIS!$R$4:$R$103)+SUMPRODUCT((PARIS!$AA$4:'PARIS'!$AA$103=A70)*PARIS!$AP$4:$AP$103)+SUMPRODUCT((PARIS!$AB$4:'PARIS'!$AB$103=A70)*PARIS!$AP$4:$AP$103)</f>
        <v>380</v>
      </c>
      <c r="F70" s="136" cm="1">
        <f t="array" ref="F70">SUMPRODUCT((PARIS!$C$4:'PARIS'!$C$103=A70)*PARIS!$V$4:$V$103)+SUMPRODUCT((PARIS!$AA$4:'PARIS'!$AA$103=A70)*PARIS!$AS$4:$AS$103)+SUMPRODUCT((PARIS!$AB$4:'PARIS'!$AB$103=A70)*PARIS!$AS$4:$AS$103)</f>
        <v>22</v>
      </c>
      <c r="G70" s="136" cm="1">
        <f t="array" ref="G70">SUMPRODUCT((PARIS!$C$4:'PARIS'!$C$103=A70)*PARIS!$W$4:$W$103)+SUMPRODUCT((PARIS!$AA$4:'PARIS'!$AA$103=A70)*PARIS!$AT$4:$AT$103)+SUMPRODUCT((PARIS!$AB$4:'PARIS'!$AB$103=A70)*PARIS!$AT$4:$AT$103)</f>
        <v>22</v>
      </c>
      <c r="H70" s="115"/>
      <c r="I70" s="139">
        <f t="shared" si="11"/>
        <v>46244.503847499989</v>
      </c>
      <c r="J70" s="136">
        <f t="shared" si="4"/>
        <v>12194.077419999998</v>
      </c>
      <c r="K70" s="136">
        <f t="shared" si="5"/>
        <v>32992.026427499994</v>
      </c>
      <c r="L70" s="136">
        <f t="shared" si="6"/>
        <v>3077.9698536001297</v>
      </c>
      <c r="M70" s="136">
        <f t="shared" si="7"/>
        <v>1965.5296200023201</v>
      </c>
      <c r="N70" s="115"/>
      <c r="O70" s="131">
        <f>C70*ResourcesEmissions!B74</f>
        <v>420.92599999999999</v>
      </c>
      <c r="P70" s="131">
        <f>C70*ResourcesEmissions!C74</f>
        <v>226.1</v>
      </c>
      <c r="Q70" s="131">
        <f>C70*ResourcesEmissions!E74</f>
        <v>3458</v>
      </c>
      <c r="R70" s="115"/>
      <c r="S70" s="131">
        <f t="shared" si="8"/>
        <v>55981.832138918173</v>
      </c>
      <c r="T70" s="131">
        <f t="shared" si="9"/>
        <v>42187.663834453873</v>
      </c>
      <c r="U70" s="131">
        <f t="shared" si="10"/>
        <v>525932.50984950573</v>
      </c>
      <c r="V70" s="115"/>
      <c r="W70" s="128"/>
      <c r="X70" s="128"/>
      <c r="Y70" s="128"/>
      <c r="Z70" s="115"/>
      <c r="AA70" s="126"/>
      <c r="AB70" s="126"/>
      <c r="AC70" s="126"/>
      <c r="AD70" s="115"/>
      <c r="AE70" s="126"/>
      <c r="AF70" s="126"/>
      <c r="AG70" s="126"/>
      <c r="AH70" s="115"/>
      <c r="AI70" s="128"/>
      <c r="AJ70" s="128"/>
      <c r="AK70" s="128"/>
      <c r="AL70" s="115"/>
      <c r="AM70" s="126"/>
      <c r="AN70" s="126"/>
      <c r="AO70" s="126"/>
      <c r="AP70" s="115"/>
      <c r="AQ70" s="126"/>
      <c r="AR70" s="126"/>
      <c r="AS70" s="126"/>
    </row>
    <row r="71" spans="1:45" x14ac:dyDescent="0.25">
      <c r="A71" s="94">
        <v>2016</v>
      </c>
      <c r="B71" s="139" cm="1">
        <f t="array" ref="B71">SUMPRODUCT((PARIS!$C$4:'PARIS'!$C$103=A71)*PARIS!$X$4:$X$103)+SUMPRODUCT((PARIS!$AA$4:'PARIS'!$AA$103=A71)*PARIS!$AQ$4:$AQ$103)+SUMPRODUCT((PARIS!$AB$4:'PARIS'!$AB$103=A71)*PARIS!$AQ$4:$AQ$103)</f>
        <v>9828</v>
      </c>
      <c r="C71" s="139" cm="1">
        <f t="array" ref="C71">SUMPRODUCT((PARIS!$C$4:'PARIS'!$C$103=A71)*PARIS!$Y$4:$Y$103)+SUMPRODUCT((PARIS!$AA$4:'PARIS'!$AA$103=A71)*PARIS!$AR$4:$AR$103)+SUMPRODUCT((PARIS!$AB$4:'PARIS'!$AB$103=A71)*PARIS!$AR$4:$AR$103)</f>
        <v>466.20000000000005</v>
      </c>
      <c r="D71" s="136" cm="1">
        <f t="array" ref="D71">SUMPRODUCT((PARIS!$C$4:'PARIS'!$C$103=A71)*PARIS!$O$4:$O$103)+SUMPRODUCT((PARIS!$AA$4:'PARIS'!$AA$103=A71)*PARIS!$AM$4:$AM$103)+SUMPRODUCT((PARIS!$AB$4:'PARIS'!$AB$103=A71)*PARIS!$AM$4:$AM$103)</f>
        <v>239.4</v>
      </c>
      <c r="E71" s="136" cm="1">
        <f t="array" ref="E71">SUMPRODUCT((PARIS!$C$4:'PARIS'!$C$103=A71)*PARIS!$R$4:$R$103)+SUMPRODUCT((PARIS!$AA$4:'PARIS'!$AA$103=A71)*PARIS!$AP$4:$AP$103)+SUMPRODUCT((PARIS!$AB$4:'PARIS'!$AB$103=A71)*PARIS!$AP$4:$AP$103)</f>
        <v>226.8</v>
      </c>
      <c r="F71" s="136" cm="1">
        <f t="array" ref="F71">SUMPRODUCT((PARIS!$C$4:'PARIS'!$C$103=A71)*PARIS!$V$4:$V$103)+SUMPRODUCT((PARIS!$AA$4:'PARIS'!$AA$103=A71)*PARIS!$AS$4:$AS$103)+SUMPRODUCT((PARIS!$AB$4:'PARIS'!$AB$103=A71)*PARIS!$AS$4:$AS$103)</f>
        <v>11.016</v>
      </c>
      <c r="G71" s="136" cm="1">
        <f t="array" ref="G71">SUMPRODUCT((PARIS!$C$4:'PARIS'!$C$103=A71)*PARIS!$W$4:$W$103)+SUMPRODUCT((PARIS!$AA$4:'PARIS'!$AA$103=A71)*PARIS!$AT$4:$AT$103)+SUMPRODUCT((PARIS!$AB$4:'PARIS'!$AB$103=A71)*PARIS!$AT$4:$AT$103)</f>
        <v>6.48</v>
      </c>
      <c r="H71" s="115"/>
      <c r="I71" s="139">
        <f t="shared" ref="I71:I102" si="12">C71+I70</f>
        <v>46710.703847499986</v>
      </c>
      <c r="J71" s="136">
        <f t="shared" ref="J71:J125" si="13">D71+J70</f>
        <v>12433.477419999997</v>
      </c>
      <c r="K71" s="136">
        <f t="shared" ref="K71:K125" si="14">E71+K70</f>
        <v>33218.826427499996</v>
      </c>
      <c r="L71" s="136">
        <f t="shared" ref="L71:L125" si="15">F71+L70</f>
        <v>3088.9858536001298</v>
      </c>
      <c r="M71" s="136">
        <f t="shared" ref="M71:M125" si="16">G71+M70</f>
        <v>1972.0096200023202</v>
      </c>
      <c r="N71" s="115"/>
      <c r="O71" s="131">
        <f>C71*ResourcesEmissions!B75</f>
        <v>516.40974000000006</v>
      </c>
      <c r="P71" s="131">
        <f>C71*ResourcesEmissions!C75</f>
        <v>274.37383685756242</v>
      </c>
      <c r="Q71" s="131">
        <f>C71*ResourcesEmissions!E75</f>
        <v>4242.42</v>
      </c>
      <c r="R71" s="115"/>
      <c r="S71" s="131">
        <f t="shared" ref="S71:S75" si="17">O71+S70</f>
        <v>56498.241878918176</v>
      </c>
      <c r="T71" s="131">
        <f t="shared" ref="T71:T75" si="18">P71+T70</f>
        <v>42462.037671311438</v>
      </c>
      <c r="U71" s="131">
        <f t="shared" ref="U71:U75" si="19">Q71+U70</f>
        <v>530174.92984950577</v>
      </c>
      <c r="V71" s="115"/>
      <c r="W71" s="128"/>
      <c r="X71" s="128"/>
      <c r="Y71" s="128"/>
      <c r="Z71" s="115"/>
      <c r="AA71" s="126"/>
      <c r="AB71" s="126"/>
      <c r="AC71" s="126"/>
      <c r="AD71" s="115"/>
      <c r="AE71" s="126"/>
      <c r="AF71" s="126"/>
      <c r="AG71" s="126"/>
      <c r="AH71" s="115"/>
      <c r="AI71" s="128"/>
      <c r="AJ71" s="128"/>
      <c r="AK71" s="128"/>
      <c r="AL71" s="115"/>
      <c r="AM71" s="126"/>
      <c r="AN71" s="126"/>
      <c r="AO71" s="126"/>
      <c r="AP71" s="115"/>
      <c r="AQ71" s="126"/>
      <c r="AR71" s="126"/>
      <c r="AS71" s="126"/>
    </row>
    <row r="72" spans="1:45" x14ac:dyDescent="0.25">
      <c r="A72" s="94">
        <v>2017</v>
      </c>
      <c r="B72" s="139" cm="1">
        <f t="array" ref="B72">SUMPRODUCT((PARIS!$C$4:'PARIS'!$C$103=A72)*PARIS!$X$4:$X$103)+SUMPRODUCT((PARIS!$AA$4:'PARIS'!$AA$103=A72)*PARIS!$AQ$4:$AQ$103)+SUMPRODUCT((PARIS!$AB$4:'PARIS'!$AB$103=A72)*PARIS!$AQ$4:$AQ$103)</f>
        <v>6756.12</v>
      </c>
      <c r="C72" s="139" cm="1">
        <f t="array" ref="C72">SUMPRODUCT((PARIS!$C$4:'PARIS'!$C$103=A72)*PARIS!$Y$4:$Y$103)+SUMPRODUCT((PARIS!$AA$4:'PARIS'!$AA$103=A72)*PARIS!$AR$4:$AR$103)+SUMPRODUCT((PARIS!$AB$4:'PARIS'!$AB$103=A72)*PARIS!$AR$4:$AR$103)</f>
        <v>270.2448</v>
      </c>
      <c r="D72" s="136" cm="1">
        <f t="array" ref="D72">SUMPRODUCT((PARIS!$C$4:'PARIS'!$C$103=A72)*PARIS!$O$4:$O$103)+SUMPRODUCT((PARIS!$AA$4:'PARIS'!$AA$103=A72)*PARIS!$AM$4:$AM$103)+SUMPRODUCT((PARIS!$AB$4:'PARIS'!$AB$103=A72)*PARIS!$AM$4:$AM$103)</f>
        <v>0</v>
      </c>
      <c r="E72" s="136" cm="1">
        <f t="array" ref="E72">SUMPRODUCT((PARIS!$C$4:'PARIS'!$C$103=A72)*PARIS!$R$4:$R$103)+SUMPRODUCT((PARIS!$AA$4:'PARIS'!$AA$103=A72)*PARIS!$AP$4:$AP$103)+SUMPRODUCT((PARIS!$AB$4:'PARIS'!$AB$103=A72)*PARIS!$AP$4:$AP$103)</f>
        <v>270.2448</v>
      </c>
      <c r="F72" s="136" cm="1">
        <f t="array" ref="F72">SUMPRODUCT((PARIS!$C$4:'PARIS'!$C$103=A72)*PARIS!$V$4:$V$103)+SUMPRODUCT((PARIS!$AA$4:'PARIS'!$AA$103=A72)*PARIS!$AS$4:$AS$103)+SUMPRODUCT((PARIS!$AB$4:'PARIS'!$AB$103=A72)*PARIS!$AS$4:$AS$103)</f>
        <v>77.212800000000001</v>
      </c>
      <c r="G72" s="136" cm="1">
        <f t="array" ref="G72">SUMPRODUCT((PARIS!$C$4:'PARIS'!$C$103=A72)*PARIS!$W$4:$W$103)+SUMPRODUCT((PARIS!$AA$4:'PARIS'!$AA$103=A72)*PARIS!$AT$4:$AT$103)+SUMPRODUCT((PARIS!$AB$4:'PARIS'!$AB$103=A72)*PARIS!$AT$4:$AT$103)</f>
        <v>38.606400000000001</v>
      </c>
      <c r="H72" s="115"/>
      <c r="I72" s="139">
        <f t="shared" si="12"/>
        <v>46980.948647499987</v>
      </c>
      <c r="J72" s="136">
        <f t="shared" si="13"/>
        <v>12433.477419999997</v>
      </c>
      <c r="K72" s="136">
        <f t="shared" si="14"/>
        <v>33489.071227499997</v>
      </c>
      <c r="L72" s="136">
        <f t="shared" si="15"/>
        <v>3166.1986536001295</v>
      </c>
      <c r="M72" s="136">
        <f t="shared" si="16"/>
        <v>2010.6160200023201</v>
      </c>
      <c r="N72" s="115"/>
      <c r="O72" s="131">
        <f>C72*ResourcesEmissions!B76</f>
        <v>299.35016495999997</v>
      </c>
      <c r="P72" s="131">
        <f>C72*ResourcesEmissions!C76</f>
        <v>157.24182003406744</v>
      </c>
      <c r="Q72" s="131">
        <f>C72*ResourcesEmissions!E76</f>
        <v>2459.22768</v>
      </c>
      <c r="R72" s="115"/>
      <c r="S72" s="131">
        <f t="shared" si="17"/>
        <v>56797.592043878176</v>
      </c>
      <c r="T72" s="131">
        <f t="shared" si="18"/>
        <v>42619.279491345507</v>
      </c>
      <c r="U72" s="131">
        <f t="shared" si="19"/>
        <v>532634.15752950578</v>
      </c>
      <c r="V72" s="115"/>
      <c r="W72" s="128"/>
      <c r="X72" s="128"/>
      <c r="Y72" s="128"/>
      <c r="Z72" s="115"/>
      <c r="AA72" s="126"/>
      <c r="AB72" s="126"/>
      <c r="AC72" s="126"/>
      <c r="AD72" s="115"/>
      <c r="AE72" s="126"/>
      <c r="AF72" s="126"/>
      <c r="AG72" s="126"/>
      <c r="AH72" s="115"/>
      <c r="AI72" s="128"/>
      <c r="AJ72" s="128"/>
      <c r="AK72" s="128"/>
      <c r="AL72" s="115"/>
      <c r="AM72" s="126"/>
      <c r="AN72" s="126"/>
      <c r="AO72" s="126"/>
      <c r="AP72" s="115"/>
      <c r="AQ72" s="126"/>
      <c r="AR72" s="126"/>
      <c r="AS72" s="126"/>
    </row>
    <row r="73" spans="1:45" x14ac:dyDescent="0.25">
      <c r="A73" s="94">
        <v>2018</v>
      </c>
      <c r="B73" s="139" cm="1">
        <f t="array" ref="B73">SUMPRODUCT((PARIS!$C$4:'PARIS'!$C$103=A73)*PARIS!$X$4:$X$103)+SUMPRODUCT((PARIS!$AA$4:'PARIS'!$AA$103=A73)*PARIS!$AQ$4:$AQ$103)+SUMPRODUCT((PARIS!$AB$4:'PARIS'!$AB$103=A73)*PARIS!$AQ$4:$AQ$103)</f>
        <v>32643.599999999999</v>
      </c>
      <c r="C73" s="139" cm="1">
        <f t="array" ref="C73">SUMPRODUCT((PARIS!$C$4:'PARIS'!$C$103=A73)*PARIS!$Y$4:$Y$103)+SUMPRODUCT((PARIS!$AA$4:'PARIS'!$AA$103=A73)*PARIS!$AR$4:$AR$103)+SUMPRODUCT((PARIS!$AB$4:'PARIS'!$AB$103=A73)*PARIS!$AR$4:$AR$103)</f>
        <v>665.351</v>
      </c>
      <c r="D73" s="136" cm="1">
        <f t="array" ref="D73">SUMPRODUCT((PARIS!$C$4:'PARIS'!$C$103=A73)*PARIS!$O$4:$O$103)+SUMPRODUCT((PARIS!$AA$4:'PARIS'!$AA$103=A73)*PARIS!$AM$4:$AM$103)+SUMPRODUCT((PARIS!$AB$4:'PARIS'!$AB$103=A73)*PARIS!$AM$4:$AM$103)</f>
        <v>169.04</v>
      </c>
      <c r="E73" s="136" cm="1">
        <f t="array" ref="E73">SUMPRODUCT((PARIS!$C$4:'PARIS'!$C$103=A73)*PARIS!$R$4:$R$103)+SUMPRODUCT((PARIS!$AA$4:'PARIS'!$AA$103=A73)*PARIS!$AP$4:$AP$103)+SUMPRODUCT((PARIS!$AB$4:'PARIS'!$AB$103=A73)*PARIS!$AP$4:$AP$103)</f>
        <v>496.31099999999998</v>
      </c>
      <c r="F73" s="136" cm="1">
        <f t="array" ref="F73">SUMPRODUCT((PARIS!$C$4:'PARIS'!$C$103=A73)*PARIS!$V$4:$V$103)+SUMPRODUCT((PARIS!$AA$4:'PARIS'!$AA$103=A73)*PARIS!$AS$4:$AS$103)+SUMPRODUCT((PARIS!$AB$4:'PARIS'!$AB$103=A73)*PARIS!$AS$4:$AS$103)</f>
        <v>70.259205333333341</v>
      </c>
      <c r="G73" s="136" cm="1">
        <f t="array" ref="G73">SUMPRODUCT((PARIS!$C$4:'PARIS'!$C$103=A73)*PARIS!$W$4:$W$103)+SUMPRODUCT((PARIS!$AA$4:'PARIS'!$AA$103=A73)*PARIS!$AT$4:$AT$103)+SUMPRODUCT((PARIS!$AB$4:'PARIS'!$AB$103=A73)*PARIS!$AT$4:$AT$103)</f>
        <v>50.185146666666668</v>
      </c>
      <c r="H73" s="115"/>
      <c r="I73" s="139">
        <f t="shared" si="12"/>
        <v>47646.299647499989</v>
      </c>
      <c r="J73" s="136">
        <f t="shared" si="13"/>
        <v>12602.517419999998</v>
      </c>
      <c r="K73" s="136">
        <f t="shared" si="14"/>
        <v>33985.382227499998</v>
      </c>
      <c r="L73" s="136">
        <f t="shared" si="15"/>
        <v>3236.4578589334628</v>
      </c>
      <c r="M73" s="136">
        <f t="shared" si="16"/>
        <v>2060.8011666689868</v>
      </c>
      <c r="N73" s="115"/>
      <c r="O73" s="131">
        <f>C73*ResourcesEmissions!B77</f>
        <v>737.00930269999992</v>
      </c>
      <c r="P73" s="131">
        <f>C73*ResourcesEmissions!C77</f>
        <v>382.57682499999999</v>
      </c>
      <c r="Q73" s="131">
        <f>C73*ResourcesEmissions!E77</f>
        <v>6054.6940999999997</v>
      </c>
      <c r="R73" s="115"/>
      <c r="S73" s="131">
        <f t="shared" si="17"/>
        <v>57534.601346578173</v>
      </c>
      <c r="T73" s="131">
        <f t="shared" si="18"/>
        <v>43001.856316345504</v>
      </c>
      <c r="U73" s="131">
        <f t="shared" si="19"/>
        <v>538688.85162950575</v>
      </c>
      <c r="V73" s="115"/>
      <c r="W73" s="128"/>
      <c r="X73" s="128"/>
      <c r="Y73" s="128"/>
      <c r="Z73" s="115"/>
      <c r="AA73" s="126"/>
      <c r="AB73" s="126"/>
      <c r="AC73" s="126"/>
      <c r="AD73" s="115"/>
      <c r="AE73" s="126"/>
      <c r="AF73" s="126"/>
      <c r="AG73" s="126"/>
      <c r="AH73" s="115"/>
      <c r="AI73" s="128"/>
      <c r="AJ73" s="128"/>
      <c r="AK73" s="128"/>
      <c r="AL73" s="115"/>
      <c r="AM73" s="126"/>
      <c r="AN73" s="126"/>
      <c r="AO73" s="126"/>
      <c r="AP73" s="115"/>
      <c r="AQ73" s="126"/>
      <c r="AR73" s="126"/>
      <c r="AS73" s="126"/>
    </row>
    <row r="74" spans="1:45" x14ac:dyDescent="0.25">
      <c r="A74" s="94">
        <v>2019</v>
      </c>
      <c r="B74" s="139" cm="1">
        <f t="array" ref="B74">SUMPRODUCT((PARIS!$C$4:'PARIS'!$C$103=A74)*PARIS!$X$4:$X$103)+SUMPRODUCT((PARIS!$AA$4:'PARIS'!$AA$103=A74)*PARIS!$AQ$4:$AQ$103)+SUMPRODUCT((PARIS!$AB$4:'PARIS'!$AB$103=A74)*PARIS!$AQ$4:$AQ$103)</f>
        <v>32384</v>
      </c>
      <c r="C74" s="139" cm="1">
        <f t="array" ref="C74">SUMPRODUCT((PARIS!$C$4:'PARIS'!$C$103=A74)*PARIS!$Y$4:$Y$103)+SUMPRODUCT((PARIS!$AA$4:'PARIS'!$AA$103=A74)*PARIS!$AR$4:$AR$103)+SUMPRODUCT((PARIS!$AB$4:'PARIS'!$AB$103=A74)*PARIS!$AR$4:$AR$103)</f>
        <v>647.68000000000006</v>
      </c>
      <c r="D74" s="136" cm="1">
        <f t="array" ref="D74">SUMPRODUCT((PARIS!$C$4:'PARIS'!$C$103=A74)*PARIS!$O$4:$O$103)+SUMPRODUCT((PARIS!$AA$4:'PARIS'!$AA$103=A74)*PARIS!$AM$4:$AM$103)+SUMPRODUCT((PARIS!$AB$4:'PARIS'!$AB$103=A74)*PARIS!$AM$4:$AM$103)</f>
        <v>0</v>
      </c>
      <c r="E74" s="136" cm="1">
        <f t="array" ref="E74">SUMPRODUCT((PARIS!$C$4:'PARIS'!$C$103=A74)*PARIS!$R$4:$R$103)+SUMPRODUCT((PARIS!$AA$4:'PARIS'!$AA$103=A74)*PARIS!$AP$4:$AP$103)+SUMPRODUCT((PARIS!$AB$4:'PARIS'!$AB$103=A74)*PARIS!$AP$4:$AP$103)</f>
        <v>647.68000000000006</v>
      </c>
      <c r="F74" s="136" cm="1">
        <f t="array" ref="F74">SUMPRODUCT((PARIS!$C$4:'PARIS'!$C$103=A74)*PARIS!$V$4:$V$103)+SUMPRODUCT((PARIS!$AA$4:'PARIS'!$AA$103=A74)*PARIS!$AS$4:$AS$103)+SUMPRODUCT((PARIS!$AB$4:'PARIS'!$AB$103=A74)*PARIS!$AS$4:$AS$103)</f>
        <v>53.061866666666667</v>
      </c>
      <c r="G74" s="136" cm="1">
        <f t="array" ref="G74">SUMPRODUCT((PARIS!$C$4:'PARIS'!$C$103=A74)*PARIS!$W$4:$W$103)+SUMPRODUCT((PARIS!$AA$4:'PARIS'!$AA$103=A74)*PARIS!$AT$4:$AT$103)+SUMPRODUCT((PARIS!$AB$4:'PARIS'!$AB$103=A74)*PARIS!$AT$4:$AT$103)</f>
        <v>37.901333333333334</v>
      </c>
      <c r="H74" s="115"/>
      <c r="I74" s="139">
        <f t="shared" si="12"/>
        <v>48293.979647499989</v>
      </c>
      <c r="J74" s="136">
        <f t="shared" si="13"/>
        <v>12602.517419999998</v>
      </c>
      <c r="K74" s="136">
        <f t="shared" si="14"/>
        <v>34633.062227499999</v>
      </c>
      <c r="L74" s="136">
        <f t="shared" si="15"/>
        <v>3289.5197256001293</v>
      </c>
      <c r="M74" s="136">
        <f t="shared" si="16"/>
        <v>2098.70250000232</v>
      </c>
      <c r="N74" s="115"/>
      <c r="O74" s="131">
        <f>C74*ResourcesEmissions!B78</f>
        <v>717.43513600000006</v>
      </c>
      <c r="P74" s="131">
        <f>C74*ResourcesEmissions!C78</f>
        <v>367.90326925762776</v>
      </c>
      <c r="Q74" s="131">
        <f>C74*ResourcesEmissions!E78</f>
        <v>5893.8879999999999</v>
      </c>
      <c r="R74" s="115"/>
      <c r="S74" s="131">
        <f t="shared" si="17"/>
        <v>58252.036482578173</v>
      </c>
      <c r="T74" s="131">
        <f t="shared" si="18"/>
        <v>43369.759585603133</v>
      </c>
      <c r="U74" s="131">
        <f t="shared" si="19"/>
        <v>544582.73962950578</v>
      </c>
      <c r="V74" s="115"/>
      <c r="W74" s="128"/>
      <c r="X74" s="128"/>
      <c r="Y74" s="128"/>
      <c r="Z74" s="115"/>
      <c r="AA74" s="126"/>
      <c r="AB74" s="126"/>
      <c r="AC74" s="126"/>
      <c r="AD74" s="115"/>
      <c r="AE74" s="126"/>
      <c r="AF74" s="126"/>
      <c r="AG74" s="126"/>
      <c r="AH74" s="115"/>
      <c r="AI74" s="128"/>
      <c r="AJ74" s="128"/>
      <c r="AK74" s="128"/>
      <c r="AL74" s="115"/>
      <c r="AM74" s="126"/>
      <c r="AN74" s="126"/>
      <c r="AO74" s="126"/>
      <c r="AP74" s="115"/>
      <c r="AQ74" s="126"/>
      <c r="AR74" s="126"/>
      <c r="AS74" s="126"/>
    </row>
    <row r="75" spans="1:45" x14ac:dyDescent="0.25">
      <c r="A75" s="94">
        <v>2020</v>
      </c>
      <c r="B75" s="139" cm="1">
        <f t="array" ref="B75">SUMPRODUCT((PARIS!$C$4:'PARIS'!$C$103=A75)*PARIS!$X$4:$X$103)+SUMPRODUCT((PARIS!$AA$4:'PARIS'!$AA$103=A75)*PARIS!$AQ$4:$AQ$103)+SUMPRODUCT((PARIS!$AB$4:'PARIS'!$AB$103=A75)*PARIS!$AQ$4:$AQ$103)</f>
        <v>185997.72998</v>
      </c>
      <c r="C75" s="139" cm="1">
        <f t="array" ref="C75">SUMPRODUCT((PARIS!$C$4:'PARIS'!$C$103=A75)*PARIS!$Y$4:$Y$103)+SUMPRODUCT((PARIS!$AA$4:'PARIS'!$AA$103=A75)*PARIS!$AR$4:$AR$103)+SUMPRODUCT((PARIS!$AB$4:'PARIS'!$AB$103=A75)*PARIS!$AR$4:$AR$103)</f>
        <v>4223.6318700000002</v>
      </c>
      <c r="D75" s="136" cm="1">
        <f t="array" ref="D75">SUMPRODUCT((PARIS!$C$4:'PARIS'!$C$103=A75)*PARIS!$O$4:$O$103)+SUMPRODUCT((PARIS!$AA$4:'PARIS'!$AA$103=A75)*PARIS!$AM$4:$AM$103)+SUMPRODUCT((PARIS!$AB$4:'PARIS'!$AB$103=A75)*PARIS!$AM$4:$AM$103)</f>
        <v>1346.2497000000001</v>
      </c>
      <c r="E75" s="136" cm="1">
        <f t="array" ref="E75">SUMPRODUCT((PARIS!$C$4:'PARIS'!$C$103=A75)*PARIS!$R$4:$R$103)+SUMPRODUCT((PARIS!$AA$4:'PARIS'!$AA$103=A75)*PARIS!$AP$4:$AP$103)+SUMPRODUCT((PARIS!$AB$4:'PARIS'!$AB$103=A75)*PARIS!$AP$4:$AP$103)</f>
        <v>2877.3821699999999</v>
      </c>
      <c r="F75" s="136" cm="1">
        <f t="array" ref="F75">SUMPRODUCT((PARIS!$C$4:'PARIS'!$C$103=A75)*PARIS!$V$4:$V$103)+SUMPRODUCT((PARIS!$AA$4:'PARIS'!$AA$103=A75)*PARIS!$AS$4:$AS$103)+SUMPRODUCT((PARIS!$AB$4:'PARIS'!$AB$103=A75)*PARIS!$AS$4:$AS$103)</f>
        <v>298.24272000000002</v>
      </c>
      <c r="G75" s="136" cm="1">
        <f t="array" ref="G75">SUMPRODUCT((PARIS!$C$4:'PARIS'!$C$103=A75)*PARIS!$W$4:$W$103)+SUMPRODUCT((PARIS!$AA$4:'PARIS'!$AA$103=A75)*PARIS!$AT$4:$AT$103)+SUMPRODUCT((PARIS!$AB$4:'PARIS'!$AB$103=A75)*PARIS!$AT$4:$AT$103)</f>
        <v>149.12136000000001</v>
      </c>
      <c r="H75" s="115"/>
      <c r="I75" s="139">
        <f t="shared" si="12"/>
        <v>52517.611517499987</v>
      </c>
      <c r="J75" s="136">
        <f t="shared" si="13"/>
        <v>13948.767119999999</v>
      </c>
      <c r="K75" s="136">
        <f t="shared" si="14"/>
        <v>37510.444397499996</v>
      </c>
      <c r="L75" s="136">
        <f t="shared" si="15"/>
        <v>3587.7624456001295</v>
      </c>
      <c r="M75" s="136">
        <f t="shared" si="16"/>
        <v>2247.8238600023201</v>
      </c>
      <c r="N75" s="115"/>
      <c r="O75" s="131">
        <f>C75*ResourcesEmissions!$B$79</f>
        <v>4678.5170223989999</v>
      </c>
      <c r="P75" s="131">
        <f>C75*ResourcesEmissions!$C$79</f>
        <v>2369.4392173234573</v>
      </c>
      <c r="Q75" s="131">
        <f>C75*ResourcesEmissions!$E$79</f>
        <v>38435.050017000001</v>
      </c>
      <c r="R75" s="115"/>
      <c r="S75" s="131">
        <f t="shared" si="17"/>
        <v>62930.553504977172</v>
      </c>
      <c r="T75" s="131">
        <f t="shared" si="18"/>
        <v>45739.198802926592</v>
      </c>
      <c r="U75" s="131">
        <f t="shared" si="19"/>
        <v>583017.78964650584</v>
      </c>
      <c r="V75" s="115"/>
      <c r="W75" s="128"/>
      <c r="X75" s="128"/>
      <c r="Y75" s="128"/>
      <c r="Z75" s="115"/>
      <c r="AA75" s="126"/>
      <c r="AB75" s="126"/>
      <c r="AC75" s="126"/>
      <c r="AD75" s="115"/>
      <c r="AE75" s="126"/>
      <c r="AF75" s="126"/>
      <c r="AG75" s="126"/>
      <c r="AH75" s="115"/>
      <c r="AI75" s="128"/>
      <c r="AJ75" s="128"/>
      <c r="AK75" s="128"/>
      <c r="AL75" s="115"/>
      <c r="AM75" s="126"/>
      <c r="AN75" s="126"/>
      <c r="AO75" s="126"/>
      <c r="AP75" s="115"/>
      <c r="AQ75" s="126"/>
      <c r="AR75" s="126"/>
      <c r="AS75" s="126"/>
    </row>
    <row r="76" spans="1:45" x14ac:dyDescent="0.25">
      <c r="A76" s="94">
        <v>2021</v>
      </c>
      <c r="B76" s="139" cm="1">
        <f t="array" ref="B76">SUMPRODUCT((PARIS!$C$4:'PARIS'!$C$103=A76)*PARIS!$X$4:$X$103)+SUMPRODUCT((PARIS!$AA$4:'PARIS'!$AA$103=A76)*PARIS!$AQ$4:$AQ$103)+SUMPRODUCT((PARIS!$AB$4:'PARIS'!$AB$103=A76)*PARIS!$AQ$4:$AQ$103)</f>
        <v>58486.046000000002</v>
      </c>
      <c r="C76" s="139" cm="1">
        <f t="array" ref="C76">SUMPRODUCT((PARIS!$C$4:'PARIS'!$C$103=A76)*PARIS!$Y$4:$Y$103)+SUMPRODUCT((PARIS!$AA$4:'PARIS'!$AA$103=A76)*PARIS!$AR$4:$AR$103)+SUMPRODUCT((PARIS!$AB$4:'PARIS'!$AB$103=A76)*PARIS!$AR$4:$AR$103)</f>
        <v>2599.2415999999998</v>
      </c>
      <c r="D76" s="136" cm="1">
        <f t="array" ref="D76">SUMPRODUCT((PARIS!$C$4:'PARIS'!$C$103=A76)*PARIS!$O$4:$O$103)+SUMPRODUCT((PARIS!$AA$4:'PARIS'!$AA$103=A76)*PARIS!$AM$4:$AM$103)+SUMPRODUCT((PARIS!$AB$4:'PARIS'!$AB$103=A76)*PARIS!$AM$4:$AM$103)</f>
        <v>818.39530000000002</v>
      </c>
      <c r="E76" s="136" cm="1">
        <f t="array" ref="E76">SUMPRODUCT((PARIS!$C$4:'PARIS'!$C$103=A76)*PARIS!$R$4:$R$103)+SUMPRODUCT((PARIS!$AA$4:'PARIS'!$AA$103=A76)*PARIS!$AP$4:$AP$103)+SUMPRODUCT((PARIS!$AB$4:'PARIS'!$AB$103=A76)*PARIS!$AP$4:$AP$103)</f>
        <v>1780.8462999999997</v>
      </c>
      <c r="F76" s="136" cm="1">
        <f t="array" ref="F76">SUMPRODUCT((PARIS!$C$4:'PARIS'!$C$103=A76)*PARIS!$V$4:$V$103)+SUMPRODUCT((PARIS!$AA$4:'PARIS'!$AA$103=A76)*PARIS!$AS$4:$AS$103)+SUMPRODUCT((PARIS!$AB$4:'PARIS'!$AB$103=A76)*PARIS!$AS$4:$AS$103)</f>
        <v>89.518946666666679</v>
      </c>
      <c r="G76" s="136" cm="1">
        <f t="array" ref="G76">SUMPRODUCT((PARIS!$C$4:'PARIS'!$C$103=A76)*PARIS!$W$4:$W$103)+SUMPRODUCT((PARIS!$AA$4:'PARIS'!$AA$103=A76)*PARIS!$AT$4:$AT$103)+SUMPRODUCT((PARIS!$AB$4:'PARIS'!$AB$103=A76)*PARIS!$AT$4:$AT$103)</f>
        <v>71.738333333333344</v>
      </c>
      <c r="H76" s="115"/>
      <c r="I76" s="139">
        <f t="shared" si="12"/>
        <v>55116.853117499988</v>
      </c>
      <c r="J76" s="136">
        <f t="shared" si="13"/>
        <v>14767.162419999999</v>
      </c>
      <c r="K76" s="136">
        <f t="shared" si="14"/>
        <v>39291.290697499993</v>
      </c>
      <c r="L76" s="136">
        <f t="shared" si="15"/>
        <v>3677.281392266796</v>
      </c>
      <c r="M76" s="136">
        <f t="shared" si="16"/>
        <v>2319.5621933356533</v>
      </c>
      <c r="N76" s="115"/>
      <c r="O76" s="131">
        <f>C76*ResourcesEmissions!$B$79</f>
        <v>2879.1799203199994</v>
      </c>
      <c r="P76" s="131">
        <f>C76*ResourcesEmissions!$C$79</f>
        <v>1458.163299240985</v>
      </c>
      <c r="Q76" s="131">
        <f>C76*ResourcesEmissions!$E$79</f>
        <v>23653.098559999999</v>
      </c>
      <c r="R76" s="115"/>
      <c r="S76" s="131">
        <f t="shared" ref="S76:S79" si="20">O76+S75</f>
        <v>65809.733425297178</v>
      </c>
      <c r="T76" s="131">
        <f t="shared" ref="T76:T79" si="21">P76+T75</f>
        <v>47197.362102167579</v>
      </c>
      <c r="U76" s="131">
        <f t="shared" ref="U76:U79" si="22">Q76+U75</f>
        <v>606670.8882065058</v>
      </c>
      <c r="V76" s="115"/>
      <c r="W76" s="128"/>
      <c r="X76" s="128"/>
      <c r="Y76" s="128"/>
      <c r="Z76" s="115"/>
      <c r="AA76" s="126"/>
      <c r="AB76" s="126"/>
      <c r="AC76" s="126"/>
      <c r="AD76" s="115"/>
      <c r="AE76" s="126"/>
      <c r="AF76" s="126"/>
      <c r="AG76" s="126"/>
      <c r="AH76" s="115"/>
      <c r="AI76" s="128"/>
      <c r="AJ76" s="128"/>
      <c r="AK76" s="128"/>
      <c r="AL76" s="115"/>
      <c r="AM76" s="126"/>
      <c r="AN76" s="126"/>
      <c r="AO76" s="126"/>
      <c r="AP76" s="115"/>
      <c r="AQ76" s="126"/>
      <c r="AR76" s="126"/>
      <c r="AS76" s="126"/>
    </row>
    <row r="77" spans="1:45" x14ac:dyDescent="0.25">
      <c r="A77" s="94">
        <v>2022</v>
      </c>
      <c r="B77" s="139" cm="1">
        <f t="array" ref="B77">SUMPRODUCT((PARIS!$C$4:'PARIS'!$C$103=A77)*PARIS!$X$4:$X$103)+SUMPRODUCT((PARIS!$AA$4:'PARIS'!$AA$103=A77)*PARIS!$AQ$4:$AQ$103)+SUMPRODUCT((PARIS!$AB$4:'PARIS'!$AB$103=A77)*PARIS!$AQ$4:$AQ$103)</f>
        <v>90640.7</v>
      </c>
      <c r="C77" s="139" cm="1">
        <f t="array" ref="C77">SUMPRODUCT((PARIS!$C$4:'PARIS'!$C$103=A77)*PARIS!$Y$4:$Y$103)+SUMPRODUCT((PARIS!$AA$4:'PARIS'!$AA$103=A77)*PARIS!$AR$4:$AR$103)+SUMPRODUCT((PARIS!$AB$4:'PARIS'!$AB$103=A77)*PARIS!$AR$4:$AR$103)</f>
        <v>2679.2280000000001</v>
      </c>
      <c r="D77" s="136" cm="1">
        <f t="array" ref="D77">SUMPRODUCT((PARIS!$C$4:'PARIS'!$C$103=A77)*PARIS!$O$4:$O$103)+SUMPRODUCT((PARIS!$AA$4:'PARIS'!$AA$103=A77)*PARIS!$AM$4:$AM$103)+SUMPRODUCT((PARIS!$AB$4:'PARIS'!$AB$103=A77)*PARIS!$AM$4:$AM$103)</f>
        <v>409.5</v>
      </c>
      <c r="E77" s="136" cm="1">
        <f t="array" ref="E77">SUMPRODUCT((PARIS!$C$4:'PARIS'!$C$103=A77)*PARIS!$R$4:$R$103)+SUMPRODUCT((PARIS!$AA$4:'PARIS'!$AA$103=A77)*PARIS!$AP$4:$AP$103)+SUMPRODUCT((PARIS!$AB$4:'PARIS'!$AB$103=A77)*PARIS!$AP$4:$AP$103)</f>
        <v>2269.7280000000001</v>
      </c>
      <c r="F77" s="136" cm="1">
        <f t="array" ref="F77">SUMPRODUCT((PARIS!$C$4:'PARIS'!$C$103=A77)*PARIS!$V$4:$V$103)+SUMPRODUCT((PARIS!$AA$4:'PARIS'!$AA$103=A77)*PARIS!$AS$4:$AS$103)+SUMPRODUCT((PARIS!$AB$4:'PARIS'!$AB$103=A77)*PARIS!$AS$4:$AS$103)</f>
        <v>134.1198</v>
      </c>
      <c r="G77" s="136" cm="1">
        <f t="array" ref="G77">SUMPRODUCT((PARIS!$C$4:'PARIS'!$C$103=A77)*PARIS!$W$4:$W$103)+SUMPRODUCT((PARIS!$AA$4:'PARIS'!$AA$103=A77)*PARIS!$AT$4:$AT$103)+SUMPRODUCT((PARIS!$AB$4:'PARIS'!$AB$103=A77)*PARIS!$AT$4:$AT$103)</f>
        <v>113.6773</v>
      </c>
      <c r="H77" s="115"/>
      <c r="I77" s="139">
        <f t="shared" si="12"/>
        <v>57796.081117499991</v>
      </c>
      <c r="J77" s="136">
        <f t="shared" si="13"/>
        <v>15176.662419999999</v>
      </c>
      <c r="K77" s="136">
        <f t="shared" si="14"/>
        <v>41561.018697499996</v>
      </c>
      <c r="L77" s="136">
        <f t="shared" si="15"/>
        <v>3811.401192266796</v>
      </c>
      <c r="M77" s="136">
        <f t="shared" si="16"/>
        <v>2433.2394933356532</v>
      </c>
      <c r="N77" s="115"/>
      <c r="O77" s="131">
        <f>C77*ResourcesEmissions!$B$79</f>
        <v>2967.7808556</v>
      </c>
      <c r="P77" s="131">
        <f>C77*ResourcesEmissions!$C$79</f>
        <v>1503.0353238032301</v>
      </c>
      <c r="Q77" s="131">
        <f>C77*ResourcesEmissions!$E$79</f>
        <v>24380.9748</v>
      </c>
      <c r="R77" s="115"/>
      <c r="S77" s="131">
        <f t="shared" si="20"/>
        <v>68777.514280897172</v>
      </c>
      <c r="T77" s="131">
        <f t="shared" si="21"/>
        <v>48700.397425970812</v>
      </c>
      <c r="U77" s="131">
        <f t="shared" si="22"/>
        <v>631051.86300650577</v>
      </c>
      <c r="V77" s="115"/>
      <c r="W77" s="128"/>
      <c r="X77" s="128"/>
      <c r="Y77" s="128"/>
      <c r="Z77" s="115"/>
      <c r="AA77" s="126"/>
      <c r="AB77" s="126"/>
      <c r="AC77" s="126"/>
      <c r="AD77" s="115"/>
      <c r="AE77" s="126"/>
      <c r="AF77" s="126"/>
      <c r="AG77" s="126"/>
      <c r="AH77" s="115"/>
      <c r="AI77" s="128"/>
      <c r="AJ77" s="128"/>
      <c r="AK77" s="128"/>
      <c r="AL77" s="115"/>
      <c r="AM77" s="126"/>
      <c r="AN77" s="126"/>
      <c r="AO77" s="126"/>
      <c r="AP77" s="115"/>
      <c r="AQ77" s="126"/>
      <c r="AR77" s="126"/>
      <c r="AS77" s="126"/>
    </row>
    <row r="78" spans="1:45" x14ac:dyDescent="0.25">
      <c r="A78" s="94">
        <v>2023</v>
      </c>
      <c r="B78" s="139" cm="1">
        <f t="array" ref="B78">SUMPRODUCT((PARIS!$C$4:'PARIS'!$C$103=A78)*PARIS!$X$4:$X$103)+SUMPRODUCT((PARIS!$AA$4:'PARIS'!$AA$103=A78)*PARIS!$AQ$4:$AQ$103)+SUMPRODUCT((PARIS!$AB$4:'PARIS'!$AB$103=A78)*PARIS!$AQ$4:$AQ$103)</f>
        <v>23577.600000000002</v>
      </c>
      <c r="C78" s="139" cm="1">
        <f t="array" ref="C78">SUMPRODUCT((PARIS!$C$4:'PARIS'!$C$103=A78)*PARIS!$Y$4:$Y$103)+SUMPRODUCT((PARIS!$AA$4:'PARIS'!$AA$103=A78)*PARIS!$AR$4:$AR$103)+SUMPRODUCT((PARIS!$AB$4:'PARIS'!$AB$103=A78)*PARIS!$AR$4:$AR$103)</f>
        <v>943.10400000000004</v>
      </c>
      <c r="D78" s="136" cm="1">
        <f t="array" ref="D78">SUMPRODUCT((PARIS!$C$4:'PARIS'!$C$103=A78)*PARIS!$O$4:$O$103)+SUMPRODUCT((PARIS!$AA$4:'PARIS'!$AA$103=A78)*PARIS!$AM$4:$AM$103)+SUMPRODUCT((PARIS!$AB$4:'PARIS'!$AB$103=A78)*PARIS!$AM$4:$AM$103)</f>
        <v>0</v>
      </c>
      <c r="E78" s="136" cm="1">
        <f t="array" ref="E78">SUMPRODUCT((PARIS!$C$4:'PARIS'!$C$103=A78)*PARIS!$R$4:$R$103)+SUMPRODUCT((PARIS!$AA$4:'PARIS'!$AA$103=A78)*PARIS!$AP$4:$AP$103)+SUMPRODUCT((PARIS!$AB$4:'PARIS'!$AB$103=A78)*PARIS!$AP$4:$AP$103)</f>
        <v>943.10400000000004</v>
      </c>
      <c r="F78" s="136" cm="1">
        <f t="array" ref="F78">SUMPRODUCT((PARIS!$C$4:'PARIS'!$C$103=A78)*PARIS!$V$4:$V$103)+SUMPRODUCT((PARIS!$AA$4:'PARIS'!$AA$103=A78)*PARIS!$AS$4:$AS$103)+SUMPRODUCT((PARIS!$AB$4:'PARIS'!$AB$103=A78)*PARIS!$AS$4:$AS$103)</f>
        <v>46.897411764705879</v>
      </c>
      <c r="G78" s="136" cm="1">
        <f t="array" ref="G78">SUMPRODUCT((PARIS!$C$4:'PARIS'!$C$103=A78)*PARIS!$W$4:$W$103)+SUMPRODUCT((PARIS!$AA$4:'PARIS'!$AA$103=A78)*PARIS!$AT$4:$AT$103)+SUMPRODUCT((PARIS!$AB$4:'PARIS'!$AB$103=A78)*PARIS!$AT$4:$AT$103)</f>
        <v>46.897411764705879</v>
      </c>
      <c r="H78" s="115"/>
      <c r="I78" s="139">
        <f t="shared" si="12"/>
        <v>58739.18511749999</v>
      </c>
      <c r="J78" s="136">
        <f t="shared" si="13"/>
        <v>15176.662419999999</v>
      </c>
      <c r="K78" s="136">
        <f t="shared" si="14"/>
        <v>42504.122697499995</v>
      </c>
      <c r="L78" s="136">
        <f t="shared" si="15"/>
        <v>3858.2986040315018</v>
      </c>
      <c r="M78" s="136">
        <f t="shared" si="16"/>
        <v>2480.1369051003589</v>
      </c>
      <c r="N78" s="115"/>
      <c r="O78" s="131">
        <f>C78*ResourcesEmissions!$B$79</f>
        <v>1044.6763008</v>
      </c>
      <c r="P78" s="131">
        <f>C78*ResourcesEmissions!$C$79</f>
        <v>529.07726629466458</v>
      </c>
      <c r="Q78" s="131">
        <f>C78*ResourcesEmissions!$E$79</f>
        <v>8582.2464</v>
      </c>
      <c r="R78" s="115"/>
      <c r="S78" s="131">
        <f t="shared" si="20"/>
        <v>69822.19058169717</v>
      </c>
      <c r="T78" s="131">
        <f t="shared" si="21"/>
        <v>49229.474692265474</v>
      </c>
      <c r="U78" s="131">
        <f t="shared" si="22"/>
        <v>639634.10940650571</v>
      </c>
      <c r="V78" s="115"/>
      <c r="W78" s="128"/>
      <c r="X78" s="128"/>
      <c r="Y78" s="128"/>
      <c r="Z78" s="115"/>
      <c r="AA78" s="251"/>
      <c r="AB78" s="126"/>
      <c r="AC78" s="126"/>
      <c r="AD78" s="115"/>
      <c r="AE78" s="126"/>
      <c r="AF78" s="126"/>
      <c r="AG78" s="126"/>
      <c r="AH78" s="115"/>
      <c r="AI78" s="128"/>
      <c r="AJ78" s="128"/>
      <c r="AK78" s="128"/>
      <c r="AL78" s="115"/>
      <c r="AM78" s="126"/>
      <c r="AN78" s="126"/>
      <c r="AO78" s="126"/>
      <c r="AP78" s="115"/>
      <c r="AQ78" s="126"/>
      <c r="AR78" s="126"/>
      <c r="AS78" s="126"/>
    </row>
    <row r="79" spans="1:45" x14ac:dyDescent="0.25">
      <c r="A79" s="94">
        <v>2024</v>
      </c>
      <c r="B79" s="139" cm="1">
        <f t="array" ref="B79">SUMPRODUCT((PARIS!$C$4:'PARIS'!$C$103=A79)*PARIS!$X$4:$X$103)+SUMPRODUCT((PARIS!$AA$4:'PARIS'!$AA$103=A79)*PARIS!$AQ$4:$AQ$103)+SUMPRODUCT((PARIS!$AB$4:'PARIS'!$AB$103=A79)*PARIS!$AQ$4:$AQ$103)</f>
        <v>104022.35</v>
      </c>
      <c r="C79" s="139" cm="1">
        <f t="array" ref="C79">SUMPRODUCT((PARIS!$C$4:'PARIS'!$C$103=A79)*PARIS!$Y$4:$Y$103)+SUMPRODUCT((PARIS!$AA$4:'PARIS'!$AA$103=A79)*PARIS!$AR$4:$AR$103)+SUMPRODUCT((PARIS!$AB$4:'PARIS'!$AB$103=A79)*PARIS!$AR$4:$AR$103)</f>
        <v>2724.2513749999998</v>
      </c>
      <c r="D79" s="136" cm="1">
        <f t="array" ref="D79">SUMPRODUCT((PARIS!$C$4:'PARIS'!$C$103=A79)*PARIS!$O$4:$O$103)+SUMPRODUCT((PARIS!$AA$4:'PARIS'!$AA$103=A79)*PARIS!$AM$4:$AM$103)+SUMPRODUCT((PARIS!$AB$4:'PARIS'!$AB$103=A79)*PARIS!$AM$4:$AM$103)</f>
        <v>870.32</v>
      </c>
      <c r="E79" s="136" cm="1">
        <f t="array" ref="E79">SUMPRODUCT((PARIS!$C$4:'PARIS'!$C$103=A79)*PARIS!$R$4:$R$103)+SUMPRODUCT((PARIS!$AA$4:'PARIS'!$AA$103=A79)*PARIS!$AP$4:$AP$103)+SUMPRODUCT((PARIS!$AB$4:'PARIS'!$AB$103=A79)*PARIS!$AP$4:$AP$103)</f>
        <v>1853.9313749999999</v>
      </c>
      <c r="F79" s="136" cm="1">
        <f t="array" ref="F79">SUMPRODUCT((PARIS!$C$4:'PARIS'!$C$103=A79)*PARIS!$V$4:$V$103)+SUMPRODUCT((PARIS!$AA$4:'PARIS'!$AA$103=A79)*PARIS!$AS$4:$AS$103)+SUMPRODUCT((PARIS!$AB$4:'PARIS'!$AB$103=A79)*PARIS!$AS$4:$AS$103)</f>
        <v>197.63813333333331</v>
      </c>
      <c r="G79" s="136" cm="1">
        <f t="array" ref="G79">SUMPRODUCT((PARIS!$C$4:'PARIS'!$C$103=A79)*PARIS!$W$4:$W$103)+SUMPRODUCT((PARIS!$AA$4:'PARIS'!$AA$103=A79)*PARIS!$AT$4:$AT$103)+SUMPRODUCT((PARIS!$AB$4:'PARIS'!$AB$103=A79)*PARIS!$AT$4:$AT$103)</f>
        <v>134.40306666666666</v>
      </c>
      <c r="H79" s="115"/>
      <c r="I79" s="139">
        <f t="shared" si="12"/>
        <v>61463.43649249999</v>
      </c>
      <c r="J79" s="136">
        <f t="shared" si="13"/>
        <v>16046.982419999998</v>
      </c>
      <c r="K79" s="136">
        <f t="shared" si="14"/>
        <v>44358.054072499996</v>
      </c>
      <c r="L79" s="136">
        <f t="shared" si="15"/>
        <v>4055.9367373648352</v>
      </c>
      <c r="M79" s="136">
        <f t="shared" si="16"/>
        <v>2614.5399717670257</v>
      </c>
      <c r="N79" s="115"/>
      <c r="O79" s="131">
        <f>C79*ResourcesEmissions!$B$79</f>
        <v>3017.6532480874994</v>
      </c>
      <c r="P79" s="131">
        <f>C79*ResourcesEmissions!$C$79</f>
        <v>1528.2932425103497</v>
      </c>
      <c r="Q79" s="131">
        <f>C79*ResourcesEmissions!$E$79</f>
        <v>24790.687512499997</v>
      </c>
      <c r="R79" s="115"/>
      <c r="S79" s="131">
        <f t="shared" si="20"/>
        <v>72839.843829784673</v>
      </c>
      <c r="T79" s="131">
        <f t="shared" si="21"/>
        <v>50757.767934775824</v>
      </c>
      <c r="U79" s="131">
        <f t="shared" si="22"/>
        <v>664424.79691900569</v>
      </c>
      <c r="V79" s="115"/>
      <c r="W79" s="128"/>
      <c r="X79" s="128"/>
      <c r="Y79" s="128"/>
      <c r="Z79" s="115"/>
      <c r="AA79" s="126"/>
      <c r="AB79" s="126"/>
      <c r="AC79" s="126"/>
      <c r="AD79" s="115"/>
      <c r="AE79" s="126"/>
      <c r="AF79" s="126"/>
      <c r="AG79" s="126"/>
      <c r="AH79" s="115"/>
      <c r="AI79" s="128"/>
      <c r="AJ79" s="128"/>
      <c r="AK79" s="128"/>
      <c r="AL79" s="115"/>
      <c r="AM79" s="126"/>
      <c r="AN79" s="126"/>
      <c r="AO79" s="126"/>
      <c r="AP79" s="115"/>
      <c r="AQ79" s="126"/>
      <c r="AR79" s="126"/>
      <c r="AS79" s="126"/>
    </row>
    <row r="80" spans="1:45" x14ac:dyDescent="0.25">
      <c r="A80" s="94">
        <v>2025</v>
      </c>
      <c r="B80" s="139" cm="1">
        <f t="array" ref="B80">SUMPRODUCT((PARIS!$C$4:'PARIS'!$C$103=A80)*PARIS!$X$4:$X$103)+SUMPRODUCT((PARIS!$AA$4:'PARIS'!$AA$103=A80)*PARIS!$AQ$4:$AQ$103)+SUMPRODUCT((PARIS!$AB$4:'PARIS'!$AB$103=A80)*PARIS!$AQ$4:$AQ$103)</f>
        <v>145160.25219047617</v>
      </c>
      <c r="C80" s="139" cm="1">
        <f t="array" ref="C80">SUMPRODUCT((PARIS!$C$4:'PARIS'!$C$103=A80)*PARIS!$Y$4:$Y$103)+SUMPRODUCT((PARIS!$AA$4:'PARIS'!$AA$103=A80)*PARIS!$AR$4:$AR$103)+SUMPRODUCT((PARIS!$AB$4:'PARIS'!$AB$103=A80)*PARIS!$AR$4:$AR$103)</f>
        <v>3978.2589676190473</v>
      </c>
      <c r="D80" s="136" cm="1">
        <f t="array" ref="D80">SUMPRODUCT((PARIS!$C$4:'PARIS'!$C$103=A80)*PARIS!$O$4:$O$103)+SUMPRODUCT((PARIS!$AA$4:'PARIS'!$AA$103=A80)*PARIS!$AM$4:$AM$103)+SUMPRODUCT((PARIS!$AB$4:'PARIS'!$AB$103=A80)*PARIS!$AM$4:$AM$103)</f>
        <v>967.83333333333326</v>
      </c>
      <c r="E80" s="136" cm="1">
        <f t="array" ref="E80">SUMPRODUCT((PARIS!$C$4:'PARIS'!$C$103=A80)*PARIS!$R$4:$R$103)+SUMPRODUCT((PARIS!$AA$4:'PARIS'!$AA$103=A80)*PARIS!$AP$4:$AP$103)+SUMPRODUCT((PARIS!$AB$4:'PARIS'!$AB$103=A80)*PARIS!$AP$4:$AP$103)</f>
        <v>3010.4256342857143</v>
      </c>
      <c r="F80" s="136" cm="1">
        <f t="array" ref="F80">SUMPRODUCT((PARIS!$C$4:'PARIS'!$C$103=A80)*PARIS!$V$4:$V$103)+SUMPRODUCT((PARIS!$AA$4:'PARIS'!$AA$103=A80)*PARIS!$AS$4:$AS$103)+SUMPRODUCT((PARIS!$AB$4:'PARIS'!$AB$103=A80)*PARIS!$AS$4:$AS$103)</f>
        <v>378.84013714285709</v>
      </c>
      <c r="G80" s="136" cm="1">
        <f t="array" ref="G80">SUMPRODUCT((PARIS!$C$4:'PARIS'!$C$103=A80)*PARIS!$W$4:$W$103)+SUMPRODUCT((PARIS!$AA$4:'PARIS'!$AA$103=A80)*PARIS!$AT$4:$AT$103)+SUMPRODUCT((PARIS!$AB$4:'PARIS'!$AB$103=A80)*PARIS!$AT$4:$AT$103)</f>
        <v>199.41870857142857</v>
      </c>
      <c r="H80" s="115"/>
      <c r="I80" s="139">
        <f t="shared" si="12"/>
        <v>65441.695460119037</v>
      </c>
      <c r="J80" s="136">
        <f t="shared" si="13"/>
        <v>17014.815753333332</v>
      </c>
      <c r="K80" s="136">
        <f t="shared" si="14"/>
        <v>47368.479706785707</v>
      </c>
      <c r="L80" s="136">
        <f t="shared" si="15"/>
        <v>4434.7768745076919</v>
      </c>
      <c r="M80" s="136">
        <f t="shared" si="16"/>
        <v>2813.9586803384541</v>
      </c>
      <c r="N80" s="115"/>
      <c r="O80" s="131">
        <f>C80*ResourcesEmissions!$B$79</f>
        <v>4406.7174584316181</v>
      </c>
      <c r="P80" s="131">
        <f>C80*ResourcesEmissions!$C$79</f>
        <v>2231.7860800082703</v>
      </c>
      <c r="Q80" s="131">
        <f>C80*ResourcesEmissions!$E$79</f>
        <v>36202.15660533333</v>
      </c>
      <c r="R80" s="115"/>
      <c r="S80" s="131">
        <f t="shared" ref="S80" si="23">O80+S79</f>
        <v>77246.561288216297</v>
      </c>
      <c r="T80" s="131">
        <f t="shared" ref="T80" si="24">P80+T79</f>
        <v>52989.554014784095</v>
      </c>
      <c r="U80" s="131">
        <f t="shared" ref="U80" si="25">Q80+U79</f>
        <v>700626.95352433901</v>
      </c>
      <c r="V80" s="115"/>
      <c r="W80" s="128"/>
      <c r="X80" s="128"/>
      <c r="Y80" s="128"/>
      <c r="Z80" s="115"/>
      <c r="AA80" s="126"/>
      <c r="AB80" s="126"/>
      <c r="AC80" s="126"/>
      <c r="AD80" s="115"/>
      <c r="AE80" s="126"/>
      <c r="AF80" s="126"/>
      <c r="AG80" s="126"/>
      <c r="AH80" s="115"/>
      <c r="AI80" s="128">
        <f>S80</f>
        <v>77246.561288216297</v>
      </c>
      <c r="AJ80" s="128">
        <f>S80</f>
        <v>77246.561288216297</v>
      </c>
      <c r="AK80" s="128">
        <f>S80</f>
        <v>77246.561288216297</v>
      </c>
      <c r="AL80" s="115"/>
      <c r="AM80" s="126">
        <f>T80</f>
        <v>52989.554014784095</v>
      </c>
      <c r="AN80" s="126">
        <f>T80</f>
        <v>52989.554014784095</v>
      </c>
      <c r="AO80" s="126">
        <f>T80</f>
        <v>52989.554014784095</v>
      </c>
      <c r="AP80" s="115"/>
      <c r="AQ80" s="126">
        <f>T80</f>
        <v>52989.554014784095</v>
      </c>
      <c r="AR80" s="126">
        <f>T80</f>
        <v>52989.554014784095</v>
      </c>
      <c r="AS80" s="126">
        <f>T80</f>
        <v>52989.554014784095</v>
      </c>
    </row>
    <row r="81" spans="1:45" x14ac:dyDescent="0.25">
      <c r="A81" s="94">
        <v>2026</v>
      </c>
      <c r="B81" s="139" cm="1">
        <f t="array" ref="B81">SUMPRODUCT((PARIS!$C$4:'PARIS'!$C$103=A81)*PARIS!$X$4:$X$103)+SUMPRODUCT((PARIS!$AA$4:'PARIS'!$AA$103=A81)*PARIS!$AQ$4:$AQ$103)+SUMPRODUCT((PARIS!$AB$4:'PARIS'!$AB$103=A81)*PARIS!$AQ$4:$AQ$103)</f>
        <v>3089.1375000000003</v>
      </c>
      <c r="C81" s="139" cm="1">
        <f t="array" ref="C81">SUMPRODUCT((PARIS!$C$4:'PARIS'!$C$103=A81)*PARIS!$Y$4:$Y$103)+SUMPRODUCT((PARIS!$AA$4:'PARIS'!$AA$103=A81)*PARIS!$AR$4:$AR$103)+SUMPRODUCT((PARIS!$AB$4:'PARIS'!$AB$103=A81)*PARIS!$AR$4:$AR$103)</f>
        <v>139.01118750000001</v>
      </c>
      <c r="D81" s="136" cm="1">
        <f t="array" ref="D81">SUMPRODUCT((PARIS!$C$4:'PARIS'!$C$103=A81)*PARIS!$O$4:$O$103)+SUMPRODUCT((PARIS!$AA$4:'PARIS'!$AA$103=A81)*PARIS!$AM$4:$AM$103)+SUMPRODUCT((PARIS!$AB$4:'PARIS'!$AB$103=A81)*PARIS!$AM$4:$AM$103)</f>
        <v>0</v>
      </c>
      <c r="E81" s="136" cm="1">
        <f t="array" ref="E81">SUMPRODUCT((PARIS!$C$4:'PARIS'!$C$103=A81)*PARIS!$R$4:$R$103)+SUMPRODUCT((PARIS!$AA$4:'PARIS'!$AA$103=A81)*PARIS!$AP$4:$AP$103)+SUMPRODUCT((PARIS!$AB$4:'PARIS'!$AB$103=A81)*PARIS!$AP$4:$AP$103)</f>
        <v>139.01118750000001</v>
      </c>
      <c r="F81" s="136" cm="1">
        <f t="array" ref="F81">SUMPRODUCT((PARIS!$C$4:'PARIS'!$C$103=A81)*PARIS!$V$4:$V$103)+SUMPRODUCT((PARIS!$AA$4:'PARIS'!$AA$103=A81)*PARIS!$AS$4:$AS$103)+SUMPRODUCT((PARIS!$AB$4:'PARIS'!$AB$103=A81)*PARIS!$AS$4:$AS$103)</f>
        <v>5.4918000000000005</v>
      </c>
      <c r="G81" s="136" cm="1">
        <f t="array" ref="G81">SUMPRODUCT((PARIS!$C$4:'PARIS'!$C$103=A81)*PARIS!$W$4:$W$103)+SUMPRODUCT((PARIS!$AA$4:'PARIS'!$AA$103=A81)*PARIS!$AT$4:$AT$103)+SUMPRODUCT((PARIS!$AB$4:'PARIS'!$AB$103=A81)*PARIS!$AT$4:$AT$103)</f>
        <v>5.4918000000000005</v>
      </c>
      <c r="H81" s="115"/>
      <c r="I81" s="139">
        <f t="shared" si="12"/>
        <v>65580.706647619038</v>
      </c>
      <c r="J81" s="136">
        <f t="shared" si="13"/>
        <v>17014.815753333332</v>
      </c>
      <c r="K81" s="136">
        <f t="shared" si="14"/>
        <v>47507.490894285707</v>
      </c>
      <c r="L81" s="136">
        <f t="shared" si="15"/>
        <v>4440.2686745076917</v>
      </c>
      <c r="M81" s="136">
        <f t="shared" si="16"/>
        <v>2819.4504803384539</v>
      </c>
      <c r="N81" s="115"/>
      <c r="O81" s="131"/>
      <c r="P81" s="131"/>
      <c r="Q81" s="131"/>
      <c r="R81" s="115"/>
      <c r="S81" s="131"/>
      <c r="T81" s="131"/>
      <c r="U81" s="131"/>
      <c r="V81" s="115"/>
      <c r="W81" s="128">
        <f>C81*(ResourcesEmissions!$B$79-Hypotheses!$D$31*Hypotheses!H45)</f>
        <v>145.64202114374999</v>
      </c>
      <c r="X81" s="128">
        <f>C81*(ResourcesEmissions!$B$79-Hypotheses!$D$31*Hypotheses!I45)</f>
        <v>145.27546723765244</v>
      </c>
      <c r="Y81" s="128">
        <f>C81*(ResourcesEmissions!$B$79-Hypotheses!$D$31*Hypotheses!J45)</f>
        <v>144.81727485503052</v>
      </c>
      <c r="Z81" s="115"/>
      <c r="AA81" s="126">
        <f>C81*(ResourcesEmissions!$C$79-Hypotheses!$D$30*Hypotheses!H45+(1-Hypotheses!H45)*Hypotheses!$D$14+Hypotheses!H45*Hypotheses!$D$19)</f>
        <v>77.525938225110096</v>
      </c>
      <c r="AB81" s="126">
        <f>C81*(ResourcesEmissions!$C$79-Hypotheses!$D$30*Hypotheses!I45+(1-Hypotheses!I45)*Hypotheses!$D$14+Hypotheses!I45*Hypotheses!$D$19)</f>
        <v>77.432466979055221</v>
      </c>
      <c r="AC81" s="126">
        <f>C81*(ResourcesEmissions!$C$79-Hypotheses!$D$30*Hypotheses!J45+(1-Hypotheses!J45)*Hypotheses!$D$14+Hypotheses!J45*Hypotheses!$D$19)</f>
        <v>77.315627921486637</v>
      </c>
      <c r="AD81" s="115"/>
      <c r="AE81" s="126">
        <f>C81*(ResourcesEmissions!$C$79-Hypotheses!$D$30*Hypotheses!H45+(1-Hypotheses!H45)*Hypotheses!$D$14+Hypotheses!H45*Hypotheses!$D$21)</f>
        <v>77.6510482938601</v>
      </c>
      <c r="AF81" s="126">
        <f>C81*(ResourcesEmissions!$C$79-Hypotheses!$D$30*Hypotheses!I45+(1-Hypotheses!I45)*Hypotheses!$D$14+Hypotheses!I45*Hypotheses!$D$21)</f>
        <v>77.563075356396681</v>
      </c>
      <c r="AG81" s="126">
        <f>C81*(ResourcesEmissions!$C$79-Hypotheses!$D$30*Hypotheses!J45+(1-Hypotheses!J45)*Hypotheses!$D$14+Hypotheses!J45*Hypotheses!$D$21)</f>
        <v>77.453109184567424</v>
      </c>
      <c r="AH81" s="115"/>
      <c r="AI81" s="128">
        <f t="shared" ref="AI81:AI108" si="26">W81+AI80</f>
        <v>77392.203309360048</v>
      </c>
      <c r="AJ81" s="128">
        <f t="shared" ref="AJ81:AJ108" si="27">X81+AJ80</f>
        <v>77391.836755453944</v>
      </c>
      <c r="AK81" s="128">
        <f t="shared" ref="AK81:AK108" si="28">Y81+AK80</f>
        <v>77391.378563071325</v>
      </c>
      <c r="AL81" s="115"/>
      <c r="AM81" s="126">
        <f t="shared" ref="AM81:AM125" si="29">AE81+AM80</f>
        <v>53067.205063077956</v>
      </c>
      <c r="AN81" s="126">
        <f t="shared" ref="AN81:AN125" si="30">AF81+AN80</f>
        <v>53067.117090140491</v>
      </c>
      <c r="AO81" s="126">
        <f t="shared" ref="AO81:AO125" si="31">AG81+AO80</f>
        <v>53067.007123968659</v>
      </c>
      <c r="AP81" s="115"/>
      <c r="AQ81" s="126">
        <f t="shared" ref="AQ81:AQ125" si="32">AE81+AQ80</f>
        <v>53067.205063077956</v>
      </c>
      <c r="AR81" s="126">
        <f t="shared" ref="AR81:AR125" si="33">AF81+AR80</f>
        <v>53067.117090140491</v>
      </c>
      <c r="AS81" s="126">
        <f t="shared" ref="AS81:AS125" si="34">AG81+AS80</f>
        <v>53067.007123968659</v>
      </c>
    </row>
    <row r="82" spans="1:45" x14ac:dyDescent="0.25">
      <c r="A82" s="94">
        <v>2027</v>
      </c>
      <c r="B82" s="139" cm="1">
        <f t="array" ref="B82">SUMPRODUCT((PARIS!$C$4:'PARIS'!$C$103=A82)*PARIS!$X$4:$X$103)+SUMPRODUCT((PARIS!$AA$4:'PARIS'!$AA$103=A82)*PARIS!$AQ$4:$AQ$103)+SUMPRODUCT((PARIS!$AB$4:'PARIS'!$AB$103=A82)*PARIS!$AQ$4:$AQ$103)</f>
        <v>87476</v>
      </c>
      <c r="C82" s="139" cm="1">
        <f t="array" ref="C82">SUMPRODUCT((PARIS!$C$4:'PARIS'!$C$103=A82)*PARIS!$Y$4:$Y$103)+SUMPRODUCT((PARIS!$AA$4:'PARIS'!$AA$103=A82)*PARIS!$AR$4:$AR$103)+SUMPRODUCT((PARIS!$AB$4:'PARIS'!$AB$103=A82)*PARIS!$AR$4:$AR$103)</f>
        <v>3232.2500000000005</v>
      </c>
      <c r="D82" s="136" cm="1">
        <f t="array" ref="D82">SUMPRODUCT((PARIS!$C$4:'PARIS'!$C$103=A82)*PARIS!$O$4:$O$103)+SUMPRODUCT((PARIS!$AA$4:'PARIS'!$AA$103=A82)*PARIS!$AM$4:$AM$103)+SUMPRODUCT((PARIS!$AB$4:'PARIS'!$AB$103=A82)*PARIS!$AM$4:$AM$103)</f>
        <v>156.41500000000002</v>
      </c>
      <c r="E82" s="136" cm="1">
        <f t="array" ref="E82">SUMPRODUCT((PARIS!$C$4:'PARIS'!$C$103=A82)*PARIS!$R$4:$R$103)+SUMPRODUCT((PARIS!$AA$4:'PARIS'!$AA$103=A82)*PARIS!$AP$4:$AP$103)+SUMPRODUCT((PARIS!$AB$4:'PARIS'!$AB$103=A82)*PARIS!$AP$4:$AP$103)</f>
        <v>3075.8350000000005</v>
      </c>
      <c r="F82" s="136" cm="1">
        <f t="array" ref="F82">SUMPRODUCT((PARIS!$C$4:'PARIS'!$C$103=A82)*PARIS!$V$4:$V$103)+SUMPRODUCT((PARIS!$AA$4:'PARIS'!$AA$103=A82)*PARIS!$AS$4:$AS$103)+SUMPRODUCT((PARIS!$AB$4:'PARIS'!$AB$103=A82)*PARIS!$AS$4:$AS$103)</f>
        <v>195.64602564102566</v>
      </c>
      <c r="G82" s="136" cm="1">
        <f t="array" ref="G82">SUMPRODUCT((PARIS!$C$4:'PARIS'!$C$103=A82)*PARIS!$W$4:$W$103)+SUMPRODUCT((PARIS!$AA$4:'PARIS'!$AA$103=A82)*PARIS!$AT$4:$AT$103)+SUMPRODUCT((PARIS!$AB$4:'PARIS'!$AB$103=A82)*PARIS!$AT$4:$AT$103)</f>
        <v>166.60435897435897</v>
      </c>
      <c r="H82" s="115"/>
      <c r="I82" s="139">
        <f t="shared" si="12"/>
        <v>68812.956647619038</v>
      </c>
      <c r="J82" s="136">
        <f t="shared" si="13"/>
        <v>17171.230753333333</v>
      </c>
      <c r="K82" s="136">
        <f t="shared" si="14"/>
        <v>50583.325894285706</v>
      </c>
      <c r="L82" s="136">
        <f t="shared" si="15"/>
        <v>4635.9147001487172</v>
      </c>
      <c r="M82" s="136">
        <f t="shared" si="16"/>
        <v>2986.0548393128129</v>
      </c>
      <c r="N82" s="115"/>
      <c r="O82" s="131"/>
      <c r="P82" s="131"/>
      <c r="Q82" s="131"/>
      <c r="R82" s="115"/>
      <c r="S82" s="131"/>
      <c r="T82" s="131"/>
      <c r="U82" s="131"/>
      <c r="V82" s="115"/>
      <c r="W82" s="128">
        <f>C82*(ResourcesEmissions!$B$79-Hypotheses!$D$31*Hypotheses!H46)</f>
        <v>3386.4283249999999</v>
      </c>
      <c r="X82" s="128">
        <f>C82*(ResourcesEmissions!$B$79-Hypotheses!$D$31*Hypotheses!I46)</f>
        <v>3372.4757024840069</v>
      </c>
      <c r="Y82" s="128">
        <f>C82*(ResourcesEmissions!$B$79-Hypotheses!$D$31*Hypotheses!J46)</f>
        <v>3355.034924339016</v>
      </c>
      <c r="Z82" s="115"/>
      <c r="AA82" s="126">
        <f>C82*(ResourcesEmissions!$C$79-Hypotheses!$D$30*Hypotheses!H46+(1-Hypotheses!H46)*Hypotheses!$D$14+Hypotheses!H46*Hypotheses!$D$19)</f>
        <v>1802.6118496981558</v>
      </c>
      <c r="AB82" s="126">
        <f>C82*(ResourcesEmissions!$C$79-Hypotheses!$D$30*Hypotheses!I46+(1-Hypotheses!I46)*Hypotheses!$D$14+Hypotheses!I46*Hypotheses!$D$19)</f>
        <v>1799.0539309565779</v>
      </c>
      <c r="AC82" s="126">
        <f>C82*(ResourcesEmissions!$C$79-Hypotheses!$D$30*Hypotheses!J46+(1-Hypotheses!J46)*Hypotheses!$D$14+Hypotheses!J46*Hypotheses!$D$19)</f>
        <v>1794.6065325296051</v>
      </c>
      <c r="AD82" s="115"/>
      <c r="AE82" s="126">
        <f>C82*(ResourcesEmissions!$C$79-Hypotheses!$D$30*Hypotheses!H46+(1-Hypotheses!H46)*Hypotheses!$D$14+Hypotheses!H46*Hypotheses!$D$21)</f>
        <v>1805.5208746981557</v>
      </c>
      <c r="AF82" s="126">
        <f>C82*(ResourcesEmissions!$C$79-Hypotheses!$D$30*Hypotheses!I46+(1-Hypotheses!I46)*Hypotheses!$D$14+Hypotheses!I46*Hypotheses!$D$21)</f>
        <v>1802.1722452943179</v>
      </c>
      <c r="AG82" s="126">
        <f>C82*(ResourcesEmissions!$C$79-Hypotheses!$D$30*Hypotheses!J46+(1-Hypotheses!J46)*Hypotheses!$D$14+Hypotheses!J46*Hypotheses!$D$21)</f>
        <v>1797.9864585395198</v>
      </c>
      <c r="AH82" s="115"/>
      <c r="AI82" s="128">
        <f t="shared" si="26"/>
        <v>80778.631634360048</v>
      </c>
      <c r="AJ82" s="128">
        <f t="shared" si="27"/>
        <v>80764.312457937951</v>
      </c>
      <c r="AK82" s="128">
        <f t="shared" si="28"/>
        <v>80746.413487410347</v>
      </c>
      <c r="AL82" s="115"/>
      <c r="AM82" s="126">
        <f t="shared" si="29"/>
        <v>54872.725937776115</v>
      </c>
      <c r="AN82" s="126">
        <f t="shared" si="30"/>
        <v>54869.289335434813</v>
      </c>
      <c r="AO82" s="126">
        <f t="shared" si="31"/>
        <v>54864.993582508177</v>
      </c>
      <c r="AP82" s="115"/>
      <c r="AQ82" s="126">
        <f t="shared" si="32"/>
        <v>54872.725937776115</v>
      </c>
      <c r="AR82" s="126">
        <f t="shared" si="33"/>
        <v>54869.289335434813</v>
      </c>
      <c r="AS82" s="126">
        <f t="shared" si="34"/>
        <v>54864.993582508177</v>
      </c>
    </row>
    <row r="83" spans="1:45" x14ac:dyDescent="0.25">
      <c r="A83" s="94">
        <v>2028</v>
      </c>
      <c r="B83" s="139" cm="1">
        <f t="array" ref="B83">SUMPRODUCT((PARIS!$C$4:'PARIS'!$C$103=A83)*PARIS!$X$4:$X$103)+SUMPRODUCT((PARIS!$AA$4:'PARIS'!$AA$103=A83)*PARIS!$AQ$4:$AQ$103)+SUMPRODUCT((PARIS!$AB$4:'PARIS'!$AB$103=A83)*PARIS!$AQ$4:$AQ$103)</f>
        <v>5290.92</v>
      </c>
      <c r="C83" s="139" cm="1">
        <f t="array" ref="C83">SUMPRODUCT((PARIS!$C$4:'PARIS'!$C$103=A83)*PARIS!$Y$4:$Y$103)+SUMPRODUCT((PARIS!$AA$4:'PARIS'!$AA$103=A83)*PARIS!$AR$4:$AR$103)+SUMPRODUCT((PARIS!$AB$4:'PARIS'!$AB$103=A83)*PARIS!$AR$4:$AR$103)</f>
        <v>238.09139999999999</v>
      </c>
      <c r="D83" s="136" cm="1">
        <f t="array" ref="D83">SUMPRODUCT((PARIS!$C$4:'PARIS'!$C$103=A83)*PARIS!$O$4:$O$103)+SUMPRODUCT((PARIS!$AA$4:'PARIS'!$AA$103=A83)*PARIS!$AM$4:$AM$103)+SUMPRODUCT((PARIS!$AB$4:'PARIS'!$AB$103=A83)*PARIS!$AM$4:$AM$103)</f>
        <v>0</v>
      </c>
      <c r="E83" s="136" cm="1">
        <f t="array" ref="E83">SUMPRODUCT((PARIS!$C$4:'PARIS'!$C$103=A83)*PARIS!$R$4:$R$103)+SUMPRODUCT((PARIS!$AA$4:'PARIS'!$AA$103=A83)*PARIS!$AP$4:$AP$103)+SUMPRODUCT((PARIS!$AB$4:'PARIS'!$AB$103=A83)*PARIS!$AP$4:$AP$103)</f>
        <v>238.09139999999999</v>
      </c>
      <c r="F83" s="136" cm="1">
        <f t="array" ref="F83">SUMPRODUCT((PARIS!$C$4:'PARIS'!$C$103=A83)*PARIS!$V$4:$V$103)+SUMPRODUCT((PARIS!$AA$4:'PARIS'!$AA$103=A83)*PARIS!$AS$4:$AS$103)+SUMPRODUCT((PARIS!$AB$4:'PARIS'!$AB$103=A83)*PARIS!$AS$4:$AS$103)</f>
        <v>11.16972</v>
      </c>
      <c r="G83" s="136" cm="1">
        <f t="array" ref="G83">SUMPRODUCT((PARIS!$C$4:'PARIS'!$C$103=A83)*PARIS!$W$4:$W$103)+SUMPRODUCT((PARIS!$AA$4:'PARIS'!$AA$103=A83)*PARIS!$AT$4:$AT$103)+SUMPRODUCT((PARIS!$AB$4:'PARIS'!$AB$103=A83)*PARIS!$AT$4:$AT$103)</f>
        <v>11.16972</v>
      </c>
      <c r="H83" s="115"/>
      <c r="I83" s="139">
        <f t="shared" si="12"/>
        <v>69051.048047619042</v>
      </c>
      <c r="J83" s="136">
        <f t="shared" si="13"/>
        <v>17171.230753333333</v>
      </c>
      <c r="K83" s="136">
        <f t="shared" si="14"/>
        <v>50821.417294285704</v>
      </c>
      <c r="L83" s="136">
        <f t="shared" si="15"/>
        <v>4647.0844201487171</v>
      </c>
      <c r="M83" s="136">
        <f t="shared" si="16"/>
        <v>2997.2245593128127</v>
      </c>
      <c r="N83" s="115"/>
      <c r="O83" s="131"/>
      <c r="P83" s="131"/>
      <c r="Q83" s="131"/>
      <c r="R83" s="115"/>
      <c r="S83" s="131"/>
      <c r="T83" s="131"/>
      <c r="U83" s="131"/>
      <c r="V83" s="115"/>
      <c r="W83" s="128">
        <f>C83*(ResourcesEmissions!$B$79-Hypotheses!$D$31*Hypotheses!H47)</f>
        <v>249.44835977999995</v>
      </c>
      <c r="X83" s="128">
        <f>C83*(ResourcesEmissions!$B$79-Hypotheses!$D$31*Hypotheses!I47)</f>
        <v>247.77340216638876</v>
      </c>
      <c r="Y83" s="128">
        <f>C83*(ResourcesEmissions!$B$79-Hypotheses!$D$31*Hypotheses!J47)</f>
        <v>245.67970514937471</v>
      </c>
      <c r="Z83" s="115"/>
      <c r="AA83" s="126">
        <f>C83*(ResourcesEmissions!$C$79-Hypotheses!$D$30*Hypotheses!H47+(1-Hypotheses!H47)*Hypotheses!$D$14+Hypotheses!H47*Hypotheses!$D$19)</f>
        <v>132.78254434255498</v>
      </c>
      <c r="AB83" s="126">
        <f>C83*(ResourcesEmissions!$C$79-Hypotheses!$D$30*Hypotheses!I47+(1-Hypotheses!I47)*Hypotheses!$D$14+Hypotheses!I47*Hypotheses!$D$19)</f>
        <v>132.35543015108414</v>
      </c>
      <c r="AC83" s="126">
        <f>C83*(ResourcesEmissions!$C$79-Hypotheses!$D$30*Hypotheses!J47+(1-Hypotheses!J47)*Hypotheses!$D$14+Hypotheses!J47*Hypotheses!$D$19)</f>
        <v>131.82153741174557</v>
      </c>
      <c r="AD83" s="115"/>
      <c r="AE83" s="126">
        <f>C83*(ResourcesEmissions!$C$79-Hypotheses!$D$30*Hypotheses!H47+(1-Hypotheses!H47)*Hypotheses!$D$14+Hypotheses!H47*Hypotheses!$D$21)</f>
        <v>132.99682660255499</v>
      </c>
      <c r="AF83" s="126">
        <f>C83*(ResourcesEmissions!$C$79-Hypotheses!$D$30*Hypotheses!I47+(1-Hypotheses!I47)*Hypotheses!$D$14+Hypotheses!I47*Hypotheses!$D$21)</f>
        <v>132.59483677528831</v>
      </c>
      <c r="AG83" s="126">
        <f>C83*(ResourcesEmissions!$C$79-Hypotheses!$D$30*Hypotheses!J47+(1-Hypotheses!J47)*Hypotheses!$D$14+Hypotheses!J47*Hypotheses!$D$21)</f>
        <v>132.09234949120494</v>
      </c>
      <c r="AH83" s="115"/>
      <c r="AI83" s="128">
        <f t="shared" si="26"/>
        <v>81028.079994140047</v>
      </c>
      <c r="AJ83" s="128">
        <f t="shared" si="27"/>
        <v>81012.085860104344</v>
      </c>
      <c r="AK83" s="128">
        <f t="shared" si="28"/>
        <v>80992.093192559725</v>
      </c>
      <c r="AL83" s="115"/>
      <c r="AM83" s="126">
        <f t="shared" si="29"/>
        <v>55005.722764378668</v>
      </c>
      <c r="AN83" s="126">
        <f t="shared" si="30"/>
        <v>55001.884172210099</v>
      </c>
      <c r="AO83" s="126">
        <f t="shared" si="31"/>
        <v>54997.085931999383</v>
      </c>
      <c r="AP83" s="115"/>
      <c r="AQ83" s="126">
        <f t="shared" si="32"/>
        <v>55005.722764378668</v>
      </c>
      <c r="AR83" s="126">
        <f t="shared" si="33"/>
        <v>55001.884172210099</v>
      </c>
      <c r="AS83" s="126">
        <f t="shared" si="34"/>
        <v>54997.085931999383</v>
      </c>
    </row>
    <row r="84" spans="1:45" x14ac:dyDescent="0.25">
      <c r="A84" s="94">
        <v>2029</v>
      </c>
      <c r="B84" s="139" cm="1">
        <f t="array" ref="B84">SUMPRODUCT((PARIS!$C$4:'PARIS'!$C$103=A84)*PARIS!$X$4:$X$103)+SUMPRODUCT((PARIS!$AA$4:'PARIS'!$AA$103=A84)*PARIS!$AQ$4:$AQ$103)+SUMPRODUCT((PARIS!$AB$4:'PARIS'!$AB$103=A84)*PARIS!$AQ$4:$AQ$103)</f>
        <v>0</v>
      </c>
      <c r="C84" s="139" cm="1">
        <f t="array" ref="C84">SUMPRODUCT((PARIS!$C$4:'PARIS'!$C$103=A84)*PARIS!$Y$4:$Y$103)+SUMPRODUCT((PARIS!$AA$4:'PARIS'!$AA$103=A84)*PARIS!$AR$4:$AR$103)+SUMPRODUCT((PARIS!$AB$4:'PARIS'!$AB$103=A84)*PARIS!$AR$4:$AR$103)</f>
        <v>0</v>
      </c>
      <c r="D84" s="136" cm="1">
        <f t="array" ref="D84">SUMPRODUCT((PARIS!$C$4:'PARIS'!$C$103=A84)*PARIS!$O$4:$O$103)+SUMPRODUCT((PARIS!$AA$4:'PARIS'!$AA$103=A84)*PARIS!$AM$4:$AM$103)+SUMPRODUCT((PARIS!$AB$4:'PARIS'!$AB$103=A84)*PARIS!$AM$4:$AM$103)</f>
        <v>0</v>
      </c>
      <c r="E84" s="136" cm="1">
        <f t="array" ref="E84">SUMPRODUCT((PARIS!$C$4:'PARIS'!$C$103=A84)*PARIS!$R$4:$R$103)+SUMPRODUCT((PARIS!$AA$4:'PARIS'!$AA$103=A84)*PARIS!$AP$4:$AP$103)+SUMPRODUCT((PARIS!$AB$4:'PARIS'!$AB$103=A84)*PARIS!$AP$4:$AP$103)</f>
        <v>0</v>
      </c>
      <c r="F84" s="136" cm="1">
        <f t="array" ref="F84">SUMPRODUCT((PARIS!$C$4:'PARIS'!$C$103=A84)*PARIS!$V$4:$V$103)+SUMPRODUCT((PARIS!$AA$4:'PARIS'!$AA$103=A84)*PARIS!$AS$4:$AS$103)+SUMPRODUCT((PARIS!$AB$4:'PARIS'!$AB$103=A84)*PARIS!$AS$4:$AS$103)</f>
        <v>0</v>
      </c>
      <c r="G84" s="136" cm="1">
        <f t="array" ref="G84">SUMPRODUCT((PARIS!$C$4:'PARIS'!$C$103=A84)*PARIS!$W$4:$W$103)+SUMPRODUCT((PARIS!$AA$4:'PARIS'!$AA$103=A84)*PARIS!$AT$4:$AT$103)+SUMPRODUCT((PARIS!$AB$4:'PARIS'!$AB$103=A84)*PARIS!$AT$4:$AT$103)</f>
        <v>0</v>
      </c>
      <c r="H84" s="115"/>
      <c r="I84" s="139">
        <f t="shared" si="12"/>
        <v>69051.048047619042</v>
      </c>
      <c r="J84" s="136">
        <f t="shared" si="13"/>
        <v>17171.230753333333</v>
      </c>
      <c r="K84" s="136">
        <f t="shared" si="14"/>
        <v>50821.417294285704</v>
      </c>
      <c r="L84" s="136">
        <f t="shared" si="15"/>
        <v>4647.0844201487171</v>
      </c>
      <c r="M84" s="136">
        <f t="shared" si="16"/>
        <v>2997.2245593128127</v>
      </c>
      <c r="N84" s="115"/>
      <c r="O84" s="131"/>
      <c r="P84" s="131"/>
      <c r="Q84" s="131"/>
      <c r="R84" s="115"/>
      <c r="S84" s="131"/>
      <c r="T84" s="131"/>
      <c r="U84" s="131"/>
      <c r="V84" s="115"/>
      <c r="W84" s="128">
        <f>C84*(ResourcesEmissions!$B$79-Hypotheses!$D$31*Hypotheses!H48)</f>
        <v>0</v>
      </c>
      <c r="X84" s="128">
        <f>C84*(ResourcesEmissions!$B$79-Hypotheses!$D$31*Hypotheses!I48)</f>
        <v>0</v>
      </c>
      <c r="Y84" s="128">
        <f>C84*(ResourcesEmissions!$B$79-Hypotheses!$D$31*Hypotheses!J48)</f>
        <v>0</v>
      </c>
      <c r="Z84" s="115"/>
      <c r="AA84" s="126">
        <f>C84*(ResourcesEmissions!$C$79-Hypotheses!$D$30*Hypotheses!H48+(1-Hypotheses!H48)*Hypotheses!$D$14+Hypotheses!H48*Hypotheses!$D$19)</f>
        <v>0</v>
      </c>
      <c r="AB84" s="126">
        <f>C84*(ResourcesEmissions!$C$79-Hypotheses!$D$30*Hypotheses!I48+(1-Hypotheses!I48)*Hypotheses!$D$14+Hypotheses!I48*Hypotheses!$D$19)</f>
        <v>0</v>
      </c>
      <c r="AC84" s="126">
        <f>C84*(ResourcesEmissions!$C$79-Hypotheses!$D$30*Hypotheses!J48+(1-Hypotheses!J48)*Hypotheses!$D$14+Hypotheses!J48*Hypotheses!$D$19)</f>
        <v>0</v>
      </c>
      <c r="AD84" s="115"/>
      <c r="AE84" s="126">
        <f>C84*(ResourcesEmissions!$C$79-Hypotheses!$D$30*Hypotheses!H48+(1-Hypotheses!H48)*Hypotheses!$D$14+Hypotheses!H48*Hypotheses!$D$21)</f>
        <v>0</v>
      </c>
      <c r="AF84" s="126">
        <f>C84*(ResourcesEmissions!$C$79-Hypotheses!$D$30*Hypotheses!I48+(1-Hypotheses!I48)*Hypotheses!$D$14+Hypotheses!I48*Hypotheses!$D$21)</f>
        <v>0</v>
      </c>
      <c r="AG84" s="126">
        <f>C84*(ResourcesEmissions!$C$79-Hypotheses!$D$30*Hypotheses!J48+(1-Hypotheses!J48)*Hypotheses!$D$14+Hypotheses!J48*Hypotheses!$D$21)</f>
        <v>0</v>
      </c>
      <c r="AH84" s="115"/>
      <c r="AI84" s="128">
        <f t="shared" si="26"/>
        <v>81028.079994140047</v>
      </c>
      <c r="AJ84" s="128">
        <f t="shared" si="27"/>
        <v>81012.085860104344</v>
      </c>
      <c r="AK84" s="128">
        <f t="shared" si="28"/>
        <v>80992.093192559725</v>
      </c>
      <c r="AL84" s="115"/>
      <c r="AM84" s="126">
        <f t="shared" si="29"/>
        <v>55005.722764378668</v>
      </c>
      <c r="AN84" s="126">
        <f t="shared" si="30"/>
        <v>55001.884172210099</v>
      </c>
      <c r="AO84" s="126">
        <f t="shared" si="31"/>
        <v>54997.085931999383</v>
      </c>
      <c r="AP84" s="115"/>
      <c r="AQ84" s="126">
        <f t="shared" si="32"/>
        <v>55005.722764378668</v>
      </c>
      <c r="AR84" s="126">
        <f t="shared" si="33"/>
        <v>55001.884172210099</v>
      </c>
      <c r="AS84" s="126">
        <f t="shared" si="34"/>
        <v>54997.085931999383</v>
      </c>
    </row>
    <row r="85" spans="1:45" x14ac:dyDescent="0.25">
      <c r="A85" s="94">
        <v>2030</v>
      </c>
      <c r="B85" s="139" cm="1">
        <f t="array" ref="B85">SUMPRODUCT((PARIS!$C$4:'PARIS'!$C$103=A85)*PARIS!$X$4:$X$103)+SUMPRODUCT((PARIS!$AA$4:'PARIS'!$AA$103=A85)*PARIS!$AQ$4:$AQ$103)+SUMPRODUCT((PARIS!$AB$4:'PARIS'!$AB$103=A85)*PARIS!$AQ$4:$AQ$103)</f>
        <v>10741.875</v>
      </c>
      <c r="C85" s="139" cm="1">
        <f t="array" ref="C85">SUMPRODUCT((PARIS!$C$4:'PARIS'!$C$103=A85)*PARIS!$Y$4:$Y$103)+SUMPRODUCT((PARIS!$AA$4:'PARIS'!$AA$103=A85)*PARIS!$AR$4:$AR$103)+SUMPRODUCT((PARIS!$AB$4:'PARIS'!$AB$103=A85)*PARIS!$AR$4:$AR$103)</f>
        <v>429.67500000000001</v>
      </c>
      <c r="D85" s="136" cm="1">
        <f t="array" ref="D85">SUMPRODUCT((PARIS!$C$4:'PARIS'!$C$103=A85)*PARIS!$O$4:$O$103)+SUMPRODUCT((PARIS!$AA$4:'PARIS'!$AA$103=A85)*PARIS!$AM$4:$AM$103)+SUMPRODUCT((PARIS!$AB$4:'PARIS'!$AB$103=A85)*PARIS!$AM$4:$AM$103)</f>
        <v>0</v>
      </c>
      <c r="E85" s="136" cm="1">
        <f t="array" ref="E85">SUMPRODUCT((PARIS!$C$4:'PARIS'!$C$103=A85)*PARIS!$R$4:$R$103)+SUMPRODUCT((PARIS!$AA$4:'PARIS'!$AA$103=A85)*PARIS!$AP$4:$AP$103)+SUMPRODUCT((PARIS!$AB$4:'PARIS'!$AB$103=A85)*PARIS!$AP$4:$AP$103)</f>
        <v>429.67500000000001</v>
      </c>
      <c r="F85" s="136" cm="1">
        <f t="array" ref="F85">SUMPRODUCT((PARIS!$C$4:'PARIS'!$C$103=A85)*PARIS!$V$4:$V$103)+SUMPRODUCT((PARIS!$AA$4:'PARIS'!$AA$103=A85)*PARIS!$AS$4:$AS$103)+SUMPRODUCT((PARIS!$AB$4:'PARIS'!$AB$103=A85)*PARIS!$AS$4:$AS$103)</f>
        <v>67.356233766233771</v>
      </c>
      <c r="G85" s="136" cm="1">
        <f t="array" ref="G85">SUMPRODUCT((PARIS!$C$4:'PARIS'!$C$103=A85)*PARIS!$W$4:$W$103)+SUMPRODUCT((PARIS!$AA$4:'PARIS'!$AA$103=A85)*PARIS!$AT$4:$AT$103)+SUMPRODUCT((PARIS!$AB$4:'PARIS'!$AB$103=A85)*PARIS!$AT$4:$AT$103)</f>
        <v>33.678116883116886</v>
      </c>
      <c r="H85" s="115"/>
      <c r="I85" s="139">
        <f t="shared" si="12"/>
        <v>69480.723047619045</v>
      </c>
      <c r="J85" s="136">
        <f t="shared" si="13"/>
        <v>17171.230753333333</v>
      </c>
      <c r="K85" s="136">
        <f t="shared" si="14"/>
        <v>51251.092294285707</v>
      </c>
      <c r="L85" s="136">
        <f t="shared" si="15"/>
        <v>4714.4406539149504</v>
      </c>
      <c r="M85" s="136">
        <f t="shared" si="16"/>
        <v>3030.9026761959294</v>
      </c>
      <c r="N85" s="115"/>
      <c r="O85" s="131"/>
      <c r="P85" s="131"/>
      <c r="Q85" s="131"/>
      <c r="R85" s="115"/>
      <c r="S85" s="131"/>
      <c r="T85" s="131"/>
      <c r="U85" s="131"/>
      <c r="V85" s="115"/>
      <c r="W85" s="128">
        <f>C85*(ResourcesEmissions!$B$79-Hypotheses!$D$31*Hypotheses!H49)</f>
        <v>450.17049749999995</v>
      </c>
      <c r="X85" s="128">
        <f>C85*(ResourcesEmissions!$B$79-Hypotheses!$D$31*Hypotheses!I49)</f>
        <v>442.34785025984928</v>
      </c>
      <c r="Y85" s="128">
        <f>C85*(ResourcesEmissions!$B$79-Hypotheses!$D$31*Hypotheses!J49)</f>
        <v>432.56954120966094</v>
      </c>
      <c r="Z85" s="115"/>
      <c r="AA85" s="126">
        <f>C85*(ResourcesEmissions!$C$79-Hypotheses!$D$30*Hypotheses!H49+(1-Hypotheses!H49)*Hypotheses!$D$14+Hypotheses!H49*Hypotheses!$D$19)</f>
        <v>239.62788971120889</v>
      </c>
      <c r="AB85" s="126">
        <f>C85*(ResourcesEmissions!$C$79-Hypotheses!$D$30*Hypotheses!I49+(1-Hypotheses!I49)*Hypotheses!$D$14+Hypotheses!I49*Hypotheses!$D$19)</f>
        <v>237.63311466497049</v>
      </c>
      <c r="AC85" s="126">
        <f>C85*(ResourcesEmissions!$C$79-Hypotheses!$D$30*Hypotheses!J49+(1-Hypotheses!J49)*Hypotheses!$D$14+Hypotheses!J49*Hypotheses!$D$19)</f>
        <v>235.13964585717244</v>
      </c>
      <c r="AD85" s="115"/>
      <c r="AE85" s="126">
        <f>C85*(ResourcesEmissions!$C$79-Hypotheses!$D$30*Hypotheses!H49+(1-Hypotheses!H49)*Hypotheses!$D$14+Hypotheses!H49*Hypotheses!$D$21)</f>
        <v>240.01459721120889</v>
      </c>
      <c r="AF85" s="126">
        <f>C85*(ResourcesEmissions!$C$79-Hypotheses!$D$30*Hypotheses!I49+(1-Hypotheses!I49)*Hypotheses!$D$14+Hypotheses!I49*Hypotheses!$D$21)</f>
        <v>238.13716187357275</v>
      </c>
      <c r="AG85" s="126">
        <f>C85*(ResourcesEmissions!$C$79-Hypotheses!$D$30*Hypotheses!J49+(1-Hypotheses!J49)*Hypotheses!$D$14+Hypotheses!J49*Hypotheses!$D$21)</f>
        <v>235.79036770152752</v>
      </c>
      <c r="AH85" s="115"/>
      <c r="AI85" s="128">
        <f t="shared" si="26"/>
        <v>81478.25049164005</v>
      </c>
      <c r="AJ85" s="128">
        <f t="shared" si="27"/>
        <v>81454.433710364188</v>
      </c>
      <c r="AK85" s="128">
        <f t="shared" si="28"/>
        <v>81424.662733769379</v>
      </c>
      <c r="AL85" s="115"/>
      <c r="AM85" s="126">
        <f t="shared" si="29"/>
        <v>55245.737361589876</v>
      </c>
      <c r="AN85" s="126">
        <f t="shared" si="30"/>
        <v>55240.021334083671</v>
      </c>
      <c r="AO85" s="126">
        <f t="shared" si="31"/>
        <v>55232.876299700911</v>
      </c>
      <c r="AP85" s="115"/>
      <c r="AQ85" s="126">
        <f t="shared" si="32"/>
        <v>55245.737361589876</v>
      </c>
      <c r="AR85" s="126">
        <f t="shared" si="33"/>
        <v>55240.021334083671</v>
      </c>
      <c r="AS85" s="126">
        <f t="shared" si="34"/>
        <v>55232.876299700911</v>
      </c>
    </row>
    <row r="86" spans="1:45" x14ac:dyDescent="0.25">
      <c r="A86" s="94">
        <v>2031</v>
      </c>
      <c r="B86" s="139" cm="1">
        <f t="array" ref="B86">SUMPRODUCT((PARIS!$C$4:'PARIS'!$C$103=A86)*PARIS!$X$4:$X$103)+SUMPRODUCT((PARIS!$AA$4:'PARIS'!$AA$103=A86)*PARIS!$AQ$4:$AQ$103)+SUMPRODUCT((PARIS!$AB$4:'PARIS'!$AB$103=A86)*PARIS!$AQ$4:$AQ$103)</f>
        <v>0</v>
      </c>
      <c r="C86" s="139" cm="1">
        <f t="array" ref="C86">SUMPRODUCT((PARIS!$C$4:'PARIS'!$C$103=A86)*PARIS!$Y$4:$Y$103)+SUMPRODUCT((PARIS!$AA$4:'PARIS'!$AA$103=A86)*PARIS!$AR$4:$AR$103)+SUMPRODUCT((PARIS!$AB$4:'PARIS'!$AB$103=A86)*PARIS!$AR$4:$AR$103)</f>
        <v>0</v>
      </c>
      <c r="D86" s="136" cm="1">
        <f t="array" ref="D86">SUMPRODUCT((PARIS!$C$4:'PARIS'!$C$103=A86)*PARIS!$O$4:$O$103)+SUMPRODUCT((PARIS!$AA$4:'PARIS'!$AA$103=A86)*PARIS!$AM$4:$AM$103)+SUMPRODUCT((PARIS!$AB$4:'PARIS'!$AB$103=A86)*PARIS!$AM$4:$AM$103)</f>
        <v>0</v>
      </c>
      <c r="E86" s="136" cm="1">
        <f t="array" ref="E86">SUMPRODUCT((PARIS!$C$4:'PARIS'!$C$103=A86)*PARIS!$R$4:$R$103)+SUMPRODUCT((PARIS!$AA$4:'PARIS'!$AA$103=A86)*PARIS!$AP$4:$AP$103)+SUMPRODUCT((PARIS!$AB$4:'PARIS'!$AB$103=A86)*PARIS!$AP$4:$AP$103)</f>
        <v>0</v>
      </c>
      <c r="F86" s="136" cm="1">
        <f t="array" ref="F86">SUMPRODUCT((PARIS!$C$4:'PARIS'!$C$103=A86)*PARIS!$V$4:$V$103)+SUMPRODUCT((PARIS!$AA$4:'PARIS'!$AA$103=A86)*PARIS!$AS$4:$AS$103)+SUMPRODUCT((PARIS!$AB$4:'PARIS'!$AB$103=A86)*PARIS!$AS$4:$AS$103)</f>
        <v>0</v>
      </c>
      <c r="G86" s="136" cm="1">
        <f t="array" ref="G86">SUMPRODUCT((PARIS!$C$4:'PARIS'!$C$103=A86)*PARIS!$W$4:$W$103)+SUMPRODUCT((PARIS!$AA$4:'PARIS'!$AA$103=A86)*PARIS!$AT$4:$AT$103)+SUMPRODUCT((PARIS!$AB$4:'PARIS'!$AB$103=A86)*PARIS!$AT$4:$AT$103)</f>
        <v>0</v>
      </c>
      <c r="H86" s="115"/>
      <c r="I86" s="139">
        <f t="shared" si="12"/>
        <v>69480.723047619045</v>
      </c>
      <c r="J86" s="136">
        <f t="shared" si="13"/>
        <v>17171.230753333333</v>
      </c>
      <c r="K86" s="136">
        <f t="shared" si="14"/>
        <v>51251.092294285707</v>
      </c>
      <c r="L86" s="136">
        <f t="shared" si="15"/>
        <v>4714.4406539149504</v>
      </c>
      <c r="M86" s="136">
        <f t="shared" si="16"/>
        <v>3030.9026761959294</v>
      </c>
      <c r="N86" s="115"/>
      <c r="O86" s="131"/>
      <c r="P86" s="131"/>
      <c r="Q86" s="131"/>
      <c r="R86" s="115"/>
      <c r="S86" s="131"/>
      <c r="T86" s="131"/>
      <c r="U86" s="131"/>
      <c r="V86" s="115"/>
      <c r="W86" s="128">
        <f>C86*(ResourcesEmissions!$B$79-Hypotheses!$D$31*Hypotheses!H50)</f>
        <v>0</v>
      </c>
      <c r="X86" s="128">
        <f>C86*(ResourcesEmissions!$B$79-Hypotheses!$D$31*Hypotheses!I50)</f>
        <v>0</v>
      </c>
      <c r="Y86" s="128">
        <f>C86*(ResourcesEmissions!$B$79-Hypotheses!$D$31*Hypotheses!J50)</f>
        <v>0</v>
      </c>
      <c r="Z86" s="115"/>
      <c r="AA86" s="126">
        <f>C86*(ResourcesEmissions!$C$79-Hypotheses!$D$30*Hypotheses!H50+(1-Hypotheses!H50)*Hypotheses!$D$14+Hypotheses!H50*Hypotheses!$D$19)</f>
        <v>0</v>
      </c>
      <c r="AB86" s="126">
        <f>C86*(ResourcesEmissions!$C$79-Hypotheses!$D$30*Hypotheses!I50+(1-Hypotheses!I50)*Hypotheses!$D$14+Hypotheses!I50*Hypotheses!$D$19)</f>
        <v>0</v>
      </c>
      <c r="AC86" s="126">
        <f>C86*(ResourcesEmissions!$C$79-Hypotheses!$D$30*Hypotheses!J50+(1-Hypotheses!J50)*Hypotheses!$D$14+Hypotheses!J50*Hypotheses!$D$19)</f>
        <v>0</v>
      </c>
      <c r="AD86" s="115"/>
      <c r="AE86" s="126">
        <f>C86*(ResourcesEmissions!$C$79-Hypotheses!$D$30*Hypotheses!H50+(1-Hypotheses!H50)*Hypotheses!$D$14+Hypotheses!H50*Hypotheses!$D$21)</f>
        <v>0</v>
      </c>
      <c r="AF86" s="126">
        <f>C86*(ResourcesEmissions!$C$79-Hypotheses!$D$30*Hypotheses!I50+(1-Hypotheses!I50)*Hypotheses!$D$14+Hypotheses!I50*Hypotheses!$D$21)</f>
        <v>0</v>
      </c>
      <c r="AG86" s="126">
        <f>C86*(ResourcesEmissions!$C$79-Hypotheses!$D$30*Hypotheses!J50+(1-Hypotheses!J50)*Hypotheses!$D$14+Hypotheses!J50*Hypotheses!$D$21)</f>
        <v>0</v>
      </c>
      <c r="AH86" s="115"/>
      <c r="AI86" s="128">
        <f t="shared" si="26"/>
        <v>81478.25049164005</v>
      </c>
      <c r="AJ86" s="128">
        <f t="shared" si="27"/>
        <v>81454.433710364188</v>
      </c>
      <c r="AK86" s="128">
        <f t="shared" si="28"/>
        <v>81424.662733769379</v>
      </c>
      <c r="AL86" s="115"/>
      <c r="AM86" s="126">
        <f t="shared" si="29"/>
        <v>55245.737361589876</v>
      </c>
      <c r="AN86" s="126">
        <f t="shared" si="30"/>
        <v>55240.021334083671</v>
      </c>
      <c r="AO86" s="126">
        <f t="shared" si="31"/>
        <v>55232.876299700911</v>
      </c>
      <c r="AP86" s="115"/>
      <c r="AQ86" s="126">
        <f t="shared" si="32"/>
        <v>55245.737361589876</v>
      </c>
      <c r="AR86" s="126">
        <f t="shared" si="33"/>
        <v>55240.021334083671</v>
      </c>
      <c r="AS86" s="126">
        <f t="shared" si="34"/>
        <v>55232.876299700911</v>
      </c>
    </row>
    <row r="87" spans="1:45" x14ac:dyDescent="0.25">
      <c r="A87" s="94">
        <v>2032</v>
      </c>
      <c r="B87" s="139" cm="1">
        <f t="array" ref="B87">SUMPRODUCT((PARIS!$C$4:'PARIS'!$C$103=A87)*PARIS!$X$4:$X$103)+SUMPRODUCT((PARIS!$AA$4:'PARIS'!$AA$103=A87)*PARIS!$AQ$4:$AQ$103)+SUMPRODUCT((PARIS!$AB$4:'PARIS'!$AB$103=A87)*PARIS!$AQ$4:$AQ$103)</f>
        <v>13935.312000000002</v>
      </c>
      <c r="C87" s="139" cm="1">
        <f t="array" ref="C87">SUMPRODUCT((PARIS!$C$4:'PARIS'!$C$103=A87)*PARIS!$Y$4:$Y$103)+SUMPRODUCT((PARIS!$AA$4:'PARIS'!$AA$103=A87)*PARIS!$AR$4:$AR$103)+SUMPRODUCT((PARIS!$AB$4:'PARIS'!$AB$103=A87)*PARIS!$AR$4:$AR$103)</f>
        <v>411.64056000000005</v>
      </c>
      <c r="D87" s="136" cm="1">
        <f t="array" ref="D87">SUMPRODUCT((PARIS!$C$4:'PARIS'!$C$103=A87)*PARIS!$O$4:$O$103)+SUMPRODUCT((PARIS!$AA$4:'PARIS'!$AA$103=A87)*PARIS!$AM$4:$AM$103)+SUMPRODUCT((PARIS!$AB$4:'PARIS'!$AB$103=A87)*PARIS!$AM$4:$AM$103)</f>
        <v>242.95320000000004</v>
      </c>
      <c r="E87" s="136" cm="1">
        <f t="array" ref="E87">SUMPRODUCT((PARIS!$C$4:'PARIS'!$C$103=A87)*PARIS!$R$4:$R$103)+SUMPRODUCT((PARIS!$AA$4:'PARIS'!$AA$103=A87)*PARIS!$AP$4:$AP$103)+SUMPRODUCT((PARIS!$AB$4:'PARIS'!$AB$103=A87)*PARIS!$AP$4:$AP$103)</f>
        <v>168.68736000000001</v>
      </c>
      <c r="F87" s="136" cm="1">
        <f t="array" ref="F87">SUMPRODUCT((PARIS!$C$4:'PARIS'!$C$103=A87)*PARIS!$V$4:$V$103)+SUMPRODUCT((PARIS!$AA$4:'PARIS'!$AA$103=A87)*PARIS!$AS$4:$AS$103)+SUMPRODUCT((PARIS!$AB$4:'PARIS'!$AB$103=A87)*PARIS!$AS$4:$AS$103)</f>
        <v>18.357119999999998</v>
      </c>
      <c r="G87" s="136" cm="1">
        <f t="array" ref="G87">SUMPRODUCT((PARIS!$C$4:'PARIS'!$C$103=A87)*PARIS!$W$4:$W$103)+SUMPRODUCT((PARIS!$AA$4:'PARIS'!$AA$103=A87)*PARIS!$AT$4:$AT$103)+SUMPRODUCT((PARIS!$AB$4:'PARIS'!$AB$103=A87)*PARIS!$AT$4:$AT$103)</f>
        <v>9.1785599999999992</v>
      </c>
      <c r="H87" s="115"/>
      <c r="I87" s="139">
        <f t="shared" si="12"/>
        <v>69892.363607619045</v>
      </c>
      <c r="J87" s="136">
        <f t="shared" si="13"/>
        <v>17414.183953333333</v>
      </c>
      <c r="K87" s="136">
        <f t="shared" si="14"/>
        <v>51419.77965428571</v>
      </c>
      <c r="L87" s="136">
        <f t="shared" si="15"/>
        <v>4732.7977739149501</v>
      </c>
      <c r="M87" s="136">
        <f t="shared" si="16"/>
        <v>3040.0812361959293</v>
      </c>
      <c r="N87" s="115"/>
      <c r="O87" s="131"/>
      <c r="P87" s="131"/>
      <c r="Q87" s="131"/>
      <c r="R87" s="115"/>
      <c r="S87" s="131"/>
      <c r="T87" s="131"/>
      <c r="U87" s="131"/>
      <c r="V87" s="115"/>
      <c r="W87" s="128">
        <f>C87*(ResourcesEmissions!$B$79-Hypotheses!$D$31*Hypotheses!H51)</f>
        <v>431.275814712</v>
      </c>
      <c r="X87" s="128">
        <f>C87*(ResourcesEmissions!$B$79-Hypotheses!$D$31*Hypotheses!I51)</f>
        <v>413.25331596529395</v>
      </c>
      <c r="Y87" s="128">
        <f>C87*(ResourcesEmissions!$B$79-Hypotheses!$D$31*Hypotheses!J51)</f>
        <v>390.72519253191138</v>
      </c>
      <c r="Z87" s="115"/>
      <c r="AA87" s="126">
        <f>C87*(ResourcesEmissions!$C$79-Hypotheses!$D$30*Hypotheses!H51+(1-Hypotheses!H51)*Hypotheses!$D$14+Hypotheses!H51*Hypotheses!$D$19)</f>
        <v>229.5701604988428</v>
      </c>
      <c r="AB87" s="126">
        <f>C87*(ResourcesEmissions!$C$79-Hypotheses!$D$30*Hypotheses!I51+(1-Hypotheses!I51)*Hypotheses!$D$14+Hypotheses!I51*Hypotheses!$D$19)</f>
        <v>224.9744233184328</v>
      </c>
      <c r="AC87" s="126">
        <f>C87*(ResourcesEmissions!$C$79-Hypotheses!$D$30*Hypotheses!J51+(1-Hypotheses!J51)*Hypotheses!$D$14+Hypotheses!J51*Hypotheses!$D$19)</f>
        <v>219.22975184292022</v>
      </c>
      <c r="AD87" s="115"/>
      <c r="AE87" s="126">
        <f>C87*(ResourcesEmissions!$C$79-Hypotheses!$D$30*Hypotheses!H51+(1-Hypotheses!H51)*Hypotheses!$D$14+Hypotheses!H51*Hypotheses!$D$21)</f>
        <v>229.94063700284281</v>
      </c>
      <c r="AF87" s="126">
        <f>C87*(ResourcesEmissions!$C$79-Hypotheses!$D$30*Hypotheses!I51+(1-Hypotheses!I51)*Hypotheses!$D$14+Hypotheses!I51*Hypotheses!$D$21)</f>
        <v>225.61523730363336</v>
      </c>
      <c r="AG87" s="126">
        <f>C87*(ResourcesEmissions!$C$79-Hypotheses!$D$30*Hypotheses!J51+(1-Hypotheses!J51)*Hypotheses!$D$14+Hypotheses!J51*Hypotheses!$D$21)</f>
        <v>220.20848767962156</v>
      </c>
      <c r="AH87" s="115"/>
      <c r="AI87" s="128">
        <f t="shared" si="26"/>
        <v>81909.526306352054</v>
      </c>
      <c r="AJ87" s="128">
        <f t="shared" si="27"/>
        <v>81867.687026329484</v>
      </c>
      <c r="AK87" s="128">
        <f t="shared" si="28"/>
        <v>81815.387926301293</v>
      </c>
      <c r="AL87" s="115"/>
      <c r="AM87" s="126">
        <f t="shared" si="29"/>
        <v>55475.677998592721</v>
      </c>
      <c r="AN87" s="126">
        <f t="shared" si="30"/>
        <v>55465.636571387302</v>
      </c>
      <c r="AO87" s="126">
        <f t="shared" si="31"/>
        <v>55453.084787380532</v>
      </c>
      <c r="AP87" s="115"/>
      <c r="AQ87" s="126">
        <f t="shared" si="32"/>
        <v>55475.677998592721</v>
      </c>
      <c r="AR87" s="126">
        <f t="shared" si="33"/>
        <v>55465.636571387302</v>
      </c>
      <c r="AS87" s="126">
        <f t="shared" si="34"/>
        <v>55453.084787380532</v>
      </c>
    </row>
    <row r="88" spans="1:45" x14ac:dyDescent="0.25">
      <c r="A88" s="94">
        <v>2033</v>
      </c>
      <c r="B88" s="139" cm="1">
        <f t="array" ref="B88">SUMPRODUCT((PARIS!$C$4:'PARIS'!$C$103=A88)*PARIS!$X$4:$X$103)+SUMPRODUCT((PARIS!$AA$4:'PARIS'!$AA$103=A88)*PARIS!$AQ$4:$AQ$103)+SUMPRODUCT((PARIS!$AB$4:'PARIS'!$AB$103=A88)*PARIS!$AQ$4:$AQ$103)</f>
        <v>0</v>
      </c>
      <c r="C88" s="139" cm="1">
        <f t="array" ref="C88">SUMPRODUCT((PARIS!$C$4:'PARIS'!$C$103=A88)*PARIS!$Y$4:$Y$103)+SUMPRODUCT((PARIS!$AA$4:'PARIS'!$AA$103=A88)*PARIS!$AR$4:$AR$103)+SUMPRODUCT((PARIS!$AB$4:'PARIS'!$AB$103=A88)*PARIS!$AR$4:$AR$103)</f>
        <v>0</v>
      </c>
      <c r="D88" s="136" cm="1">
        <f t="array" ref="D88">SUMPRODUCT((PARIS!$C$4:'PARIS'!$C$103=A88)*PARIS!$O$4:$O$103)+SUMPRODUCT((PARIS!$AA$4:'PARIS'!$AA$103=A88)*PARIS!$AM$4:$AM$103)+SUMPRODUCT((PARIS!$AB$4:'PARIS'!$AB$103=A88)*PARIS!$AM$4:$AM$103)</f>
        <v>0</v>
      </c>
      <c r="E88" s="136" cm="1">
        <f t="array" ref="E88">SUMPRODUCT((PARIS!$C$4:'PARIS'!$C$103=A88)*PARIS!$R$4:$R$103)+SUMPRODUCT((PARIS!$AA$4:'PARIS'!$AA$103=A88)*PARIS!$AP$4:$AP$103)+SUMPRODUCT((PARIS!$AB$4:'PARIS'!$AB$103=A88)*PARIS!$AP$4:$AP$103)</f>
        <v>0</v>
      </c>
      <c r="F88" s="136" cm="1">
        <f t="array" ref="F88">SUMPRODUCT((PARIS!$C$4:'PARIS'!$C$103=A88)*PARIS!$V$4:$V$103)+SUMPRODUCT((PARIS!$AA$4:'PARIS'!$AA$103=A88)*PARIS!$AS$4:$AS$103)+SUMPRODUCT((PARIS!$AB$4:'PARIS'!$AB$103=A88)*PARIS!$AS$4:$AS$103)</f>
        <v>0</v>
      </c>
      <c r="G88" s="136" cm="1">
        <f t="array" ref="G88">SUMPRODUCT((PARIS!$C$4:'PARIS'!$C$103=A88)*PARIS!$W$4:$W$103)+SUMPRODUCT((PARIS!$AA$4:'PARIS'!$AA$103=A88)*PARIS!$AT$4:$AT$103)+SUMPRODUCT((PARIS!$AB$4:'PARIS'!$AB$103=A88)*PARIS!$AT$4:$AT$103)</f>
        <v>0</v>
      </c>
      <c r="H88" s="115"/>
      <c r="I88" s="139">
        <f t="shared" si="12"/>
        <v>69892.363607619045</v>
      </c>
      <c r="J88" s="136">
        <f t="shared" si="13"/>
        <v>17414.183953333333</v>
      </c>
      <c r="K88" s="136">
        <f t="shared" si="14"/>
        <v>51419.77965428571</v>
      </c>
      <c r="L88" s="136">
        <f t="shared" si="15"/>
        <v>4732.7977739149501</v>
      </c>
      <c r="M88" s="136">
        <f t="shared" si="16"/>
        <v>3040.0812361959293</v>
      </c>
      <c r="N88" s="115"/>
      <c r="O88" s="131"/>
      <c r="P88" s="131"/>
      <c r="Q88" s="131"/>
      <c r="R88" s="115"/>
      <c r="S88" s="131"/>
      <c r="T88" s="131"/>
      <c r="U88" s="131"/>
      <c r="V88" s="115"/>
      <c r="W88" s="128">
        <f>C88*(ResourcesEmissions!$B$79-Hypotheses!$D$31*Hypotheses!H52)</f>
        <v>0</v>
      </c>
      <c r="X88" s="128">
        <f>C88*(ResourcesEmissions!$B$79-Hypotheses!$D$31*Hypotheses!I52)</f>
        <v>0</v>
      </c>
      <c r="Y88" s="128">
        <f>C88*(ResourcesEmissions!$B$79-Hypotheses!$D$31*Hypotheses!J52)</f>
        <v>0</v>
      </c>
      <c r="Z88" s="115"/>
      <c r="AA88" s="126">
        <f>C88*(ResourcesEmissions!$C$79-Hypotheses!$D$30*Hypotheses!H52+(1-Hypotheses!H52)*Hypotheses!$D$14+Hypotheses!H52*Hypotheses!$D$19)</f>
        <v>0</v>
      </c>
      <c r="AB88" s="126">
        <f>C88*(ResourcesEmissions!$C$79-Hypotheses!$D$30*Hypotheses!I52+(1-Hypotheses!I52)*Hypotheses!$D$14+Hypotheses!I52*Hypotheses!$D$19)</f>
        <v>0</v>
      </c>
      <c r="AC88" s="126">
        <f>C88*(ResourcesEmissions!$C$79-Hypotheses!$D$30*Hypotheses!J52+(1-Hypotheses!J52)*Hypotheses!$D$14+Hypotheses!J52*Hypotheses!$D$19)</f>
        <v>0</v>
      </c>
      <c r="AD88" s="115"/>
      <c r="AE88" s="126">
        <f>C88*(ResourcesEmissions!$C$79-Hypotheses!$D$30*Hypotheses!H52+(1-Hypotheses!H52)*Hypotheses!$D$14+Hypotheses!H52*Hypotheses!$D$21)</f>
        <v>0</v>
      </c>
      <c r="AF88" s="126">
        <f>C88*(ResourcesEmissions!$C$79-Hypotheses!$D$30*Hypotheses!I52+(1-Hypotheses!I52)*Hypotheses!$D$14+Hypotheses!I52*Hypotheses!$D$21)</f>
        <v>0</v>
      </c>
      <c r="AG88" s="126">
        <f>C88*(ResourcesEmissions!$C$79-Hypotheses!$D$30*Hypotheses!J52+(1-Hypotheses!J52)*Hypotheses!$D$14+Hypotheses!J52*Hypotheses!$D$21)</f>
        <v>0</v>
      </c>
      <c r="AH88" s="115"/>
      <c r="AI88" s="128">
        <f t="shared" si="26"/>
        <v>81909.526306352054</v>
      </c>
      <c r="AJ88" s="128">
        <f t="shared" si="27"/>
        <v>81867.687026329484</v>
      </c>
      <c r="AK88" s="128">
        <f t="shared" si="28"/>
        <v>81815.387926301293</v>
      </c>
      <c r="AL88" s="115"/>
      <c r="AM88" s="126">
        <f t="shared" si="29"/>
        <v>55475.677998592721</v>
      </c>
      <c r="AN88" s="126">
        <f t="shared" si="30"/>
        <v>55465.636571387302</v>
      </c>
      <c r="AO88" s="126">
        <f t="shared" si="31"/>
        <v>55453.084787380532</v>
      </c>
      <c r="AP88" s="115"/>
      <c r="AQ88" s="126">
        <f t="shared" si="32"/>
        <v>55475.677998592721</v>
      </c>
      <c r="AR88" s="126">
        <f t="shared" si="33"/>
        <v>55465.636571387302</v>
      </c>
      <c r="AS88" s="126">
        <f t="shared" si="34"/>
        <v>55453.084787380532</v>
      </c>
    </row>
    <row r="89" spans="1:45" x14ac:dyDescent="0.25">
      <c r="A89" s="94">
        <v>2034</v>
      </c>
      <c r="B89" s="139" cm="1">
        <f t="array" ref="B89">SUMPRODUCT((PARIS!$C$4:'PARIS'!$C$103=A89)*PARIS!$X$4:$X$103)+SUMPRODUCT((PARIS!$AA$4:'PARIS'!$AA$103=A89)*PARIS!$AQ$4:$AQ$103)+SUMPRODUCT((PARIS!$AB$4:'PARIS'!$AB$103=A89)*PARIS!$AQ$4:$AQ$103)</f>
        <v>4668.3</v>
      </c>
      <c r="C89" s="139" cm="1">
        <f t="array" ref="C89">SUMPRODUCT((PARIS!$C$4:'PARIS'!$C$103=A89)*PARIS!$Y$4:$Y$103)+SUMPRODUCT((PARIS!$AA$4:'PARIS'!$AA$103=A89)*PARIS!$AR$4:$AR$103)+SUMPRODUCT((PARIS!$AB$4:'PARIS'!$AB$103=A89)*PARIS!$AR$4:$AR$103)</f>
        <v>163.3905</v>
      </c>
      <c r="D89" s="136" cm="1">
        <f t="array" ref="D89">SUMPRODUCT((PARIS!$C$4:'PARIS'!$C$103=A89)*PARIS!$O$4:$O$103)+SUMPRODUCT((PARIS!$AA$4:'PARIS'!$AA$103=A89)*PARIS!$AM$4:$AM$103)+SUMPRODUCT((PARIS!$AB$4:'PARIS'!$AB$103=A89)*PARIS!$AM$4:$AM$103)</f>
        <v>0</v>
      </c>
      <c r="E89" s="136" cm="1">
        <f t="array" ref="E89">SUMPRODUCT((PARIS!$C$4:'PARIS'!$C$103=A89)*PARIS!$R$4:$R$103)+SUMPRODUCT((PARIS!$AA$4:'PARIS'!$AA$103=A89)*PARIS!$AP$4:$AP$103)+SUMPRODUCT((PARIS!$AB$4:'PARIS'!$AB$103=A89)*PARIS!$AP$4:$AP$103)</f>
        <v>163.3905</v>
      </c>
      <c r="F89" s="136" cm="1">
        <f t="array" ref="F89">SUMPRODUCT((PARIS!$C$4:'PARIS'!$C$103=A89)*PARIS!$V$4:$V$103)+SUMPRODUCT((PARIS!$AA$4:'PARIS'!$AA$103=A89)*PARIS!$AS$4:$AS$103)+SUMPRODUCT((PARIS!$AB$4:'PARIS'!$AB$103=A89)*PARIS!$AS$4:$AS$103)</f>
        <v>21.475999999999999</v>
      </c>
      <c r="G89" s="136" cm="1">
        <f t="array" ref="G89">SUMPRODUCT((PARIS!$C$4:'PARIS'!$C$103=A89)*PARIS!$W$4:$W$103)+SUMPRODUCT((PARIS!$AA$4:'PARIS'!$AA$103=A89)*PARIS!$AT$4:$AT$103)+SUMPRODUCT((PARIS!$AB$4:'PARIS'!$AB$103=A89)*PARIS!$AT$4:$AT$103)</f>
        <v>12.375999999999999</v>
      </c>
      <c r="H89" s="115"/>
      <c r="I89" s="139">
        <f t="shared" si="12"/>
        <v>70055.754107619039</v>
      </c>
      <c r="J89" s="136">
        <f t="shared" si="13"/>
        <v>17414.183953333333</v>
      </c>
      <c r="K89" s="136">
        <f t="shared" si="14"/>
        <v>51583.170154285712</v>
      </c>
      <c r="L89" s="136">
        <f t="shared" si="15"/>
        <v>4754.2737739149497</v>
      </c>
      <c r="M89" s="136">
        <f t="shared" si="16"/>
        <v>3052.4572361959295</v>
      </c>
      <c r="N89" s="115"/>
      <c r="O89" s="131"/>
      <c r="P89" s="131"/>
      <c r="Q89" s="131"/>
      <c r="R89" s="115"/>
      <c r="S89" s="131"/>
      <c r="T89" s="131"/>
      <c r="U89" s="131"/>
      <c r="V89" s="115"/>
      <c r="W89" s="128">
        <f>C89*(ResourcesEmissions!$B$79-Hypotheses!$D$31*Hypotheses!H53)</f>
        <v>171.18422684999999</v>
      </c>
      <c r="X89" s="128">
        <f>C89*(ResourcesEmissions!$B$79-Hypotheses!$D$31*Hypotheses!I53)</f>
        <v>156.37945277513677</v>
      </c>
      <c r="Y89" s="128">
        <f>C89*(ResourcesEmissions!$B$79-Hypotheses!$D$31*Hypotheses!J53)</f>
        <v>137.87348518155775</v>
      </c>
      <c r="Z89" s="115"/>
      <c r="AA89" s="126">
        <f>C89*(ResourcesEmissions!$C$79-Hypotheses!$D$30*Hypotheses!H53+(1-Hypotheses!H53)*Hypotheses!$D$14+Hypotheses!H53*Hypotheses!$D$19)</f>
        <v>91.122175397356784</v>
      </c>
      <c r="AB89" s="126">
        <f>C89*(ResourcesEmissions!$C$79-Hypotheses!$D$30*Hypotheses!I53+(1-Hypotheses!I53)*Hypotheses!$D$14+Hypotheses!I53*Hypotheses!$D$19)</f>
        <v>87.346958008266682</v>
      </c>
      <c r="AC89" s="126">
        <f>C89*(ResourcesEmissions!$C$79-Hypotheses!$D$30*Hypotheses!J53+(1-Hypotheses!J53)*Hypotheses!$D$14+Hypotheses!J53*Hypotheses!$D$19)</f>
        <v>82.627936271904034</v>
      </c>
      <c r="AD89" s="115"/>
      <c r="AE89" s="126">
        <f>C89*(ResourcesEmissions!$C$79-Hypotheses!$D$30*Hypotheses!H53+(1-Hypotheses!H53)*Hypotheses!$D$14+Hypotheses!H53*Hypotheses!$D$21)</f>
        <v>91.269226847356791</v>
      </c>
      <c r="AF89" s="126">
        <f>C89*(ResourcesEmissions!$C$79-Hypotheses!$D$30*Hypotheses!I53+(1-Hypotheses!I53)*Hypotheses!$D$14+Hypotheses!I53*Hypotheses!$D$21)</f>
        <v>87.716081069389631</v>
      </c>
      <c r="AG89" s="126">
        <f>C89*(ResourcesEmissions!$C$79-Hypotheses!$D$30*Hypotheses!J53+(1-Hypotheses!J53)*Hypotheses!$D$14+Hypotheses!J53*Hypotheses!$D$21)</f>
        <v>83.27464884693066</v>
      </c>
      <c r="AH89" s="115"/>
      <c r="AI89" s="128">
        <f t="shared" si="26"/>
        <v>82080.710533202058</v>
      </c>
      <c r="AJ89" s="128">
        <f t="shared" si="27"/>
        <v>82024.066479104615</v>
      </c>
      <c r="AK89" s="128">
        <f t="shared" si="28"/>
        <v>81953.261411482847</v>
      </c>
      <c r="AL89" s="115"/>
      <c r="AM89" s="126">
        <f t="shared" si="29"/>
        <v>55566.947225440075</v>
      </c>
      <c r="AN89" s="126">
        <f t="shared" si="30"/>
        <v>55553.352652456691</v>
      </c>
      <c r="AO89" s="126">
        <f t="shared" si="31"/>
        <v>55536.35943622746</v>
      </c>
      <c r="AP89" s="115"/>
      <c r="AQ89" s="126">
        <f t="shared" si="32"/>
        <v>55566.947225440075</v>
      </c>
      <c r="AR89" s="126">
        <f t="shared" si="33"/>
        <v>55553.352652456691</v>
      </c>
      <c r="AS89" s="126">
        <f t="shared" si="34"/>
        <v>55536.35943622746</v>
      </c>
    </row>
    <row r="90" spans="1:45" x14ac:dyDescent="0.25">
      <c r="A90" s="94">
        <v>2035</v>
      </c>
      <c r="B90" s="139" cm="1">
        <f t="array" ref="B90">SUMPRODUCT((PARIS!$C$4:'PARIS'!$C$103=A90)*PARIS!$X$4:$X$103)+SUMPRODUCT((PARIS!$AA$4:'PARIS'!$AA$103=A90)*PARIS!$AQ$4:$AQ$103)+SUMPRODUCT((PARIS!$AB$4:'PARIS'!$AB$103=A90)*PARIS!$AQ$4:$AQ$103)</f>
        <v>73440</v>
      </c>
      <c r="C90" s="139" cm="1">
        <f t="array" ref="C90">SUMPRODUCT((PARIS!$C$4:'PARIS'!$C$103=A90)*PARIS!$Y$4:$Y$103)+SUMPRODUCT((PARIS!$AA$4:'PARIS'!$AA$103=A90)*PARIS!$AR$4:$AR$103)+SUMPRODUCT((PARIS!$AB$4:'PARIS'!$AB$103=A90)*PARIS!$AR$4:$AR$103)</f>
        <v>2386.8000000000002</v>
      </c>
      <c r="D90" s="136" cm="1">
        <f t="array" ref="D90">SUMPRODUCT((PARIS!$C$4:'PARIS'!$C$103=A90)*PARIS!$O$4:$O$103)+SUMPRODUCT((PARIS!$AA$4:'PARIS'!$AA$103=A90)*PARIS!$AM$4:$AM$103)+SUMPRODUCT((PARIS!$AB$4:'PARIS'!$AB$103=A90)*PARIS!$AM$4:$AM$103)</f>
        <v>918</v>
      </c>
      <c r="E90" s="136" cm="1">
        <f t="array" ref="E90">SUMPRODUCT((PARIS!$C$4:'PARIS'!$C$103=A90)*PARIS!$R$4:$R$103)+SUMPRODUCT((PARIS!$AA$4:'PARIS'!$AA$103=A90)*PARIS!$AP$4:$AP$103)+SUMPRODUCT((PARIS!$AB$4:'PARIS'!$AB$103=A90)*PARIS!$AP$4:$AP$103)</f>
        <v>1468.8</v>
      </c>
      <c r="F90" s="136" cm="1">
        <f t="array" ref="F90">SUMPRODUCT((PARIS!$C$4:'PARIS'!$C$103=A90)*PARIS!$V$4:$V$103)+SUMPRODUCT((PARIS!$AA$4:'PARIS'!$AA$103=A90)*PARIS!$AS$4:$AS$103)+SUMPRODUCT((PARIS!$AB$4:'PARIS'!$AB$103=A90)*PARIS!$AS$4:$AS$103)</f>
        <v>97.92</v>
      </c>
      <c r="G90" s="136" cm="1">
        <f t="array" ref="G90">SUMPRODUCT((PARIS!$C$4:'PARIS'!$C$103=A90)*PARIS!$W$4:$W$103)+SUMPRODUCT((PARIS!$AA$4:'PARIS'!$AA$103=A90)*PARIS!$AT$4:$AT$103)+SUMPRODUCT((PARIS!$AB$4:'PARIS'!$AB$103=A90)*PARIS!$AT$4:$AT$103)</f>
        <v>48.96</v>
      </c>
      <c r="H90" s="115"/>
      <c r="I90" s="139">
        <f t="shared" si="12"/>
        <v>72442.554107619042</v>
      </c>
      <c r="J90" s="136">
        <f t="shared" si="13"/>
        <v>18332.183953333333</v>
      </c>
      <c r="K90" s="136">
        <f t="shared" si="14"/>
        <v>53051.970154285715</v>
      </c>
      <c r="L90" s="136">
        <f t="shared" si="15"/>
        <v>4852.1937739149498</v>
      </c>
      <c r="M90" s="136">
        <f t="shared" si="16"/>
        <v>3101.4172361959295</v>
      </c>
      <c r="N90" s="115"/>
      <c r="O90" s="131"/>
      <c r="P90" s="131"/>
      <c r="Q90" s="131"/>
      <c r="R90" s="115"/>
      <c r="S90" s="131"/>
      <c r="T90" s="131"/>
      <c r="U90" s="131"/>
      <c r="V90" s="115"/>
      <c r="W90" s="128">
        <f>C90*(ResourcesEmissions!$B$79-Hypotheses!$D$31*Hypotheses!H54)</f>
        <v>2500.6503599999996</v>
      </c>
      <c r="X90" s="128">
        <f>C90*(ResourcesEmissions!$B$79-Hypotheses!$D$31*Hypotheses!I54)</f>
        <v>2214.2343599999999</v>
      </c>
      <c r="Y90" s="128">
        <f>C90*(ResourcesEmissions!$B$79-Hypotheses!$D$31*Hypotheses!J54)</f>
        <v>1856.2143599999997</v>
      </c>
      <c r="Z90" s="115"/>
      <c r="AA90" s="126">
        <f>C90*(ResourcesEmissions!$C$79-Hypotheses!$D$30*Hypotheses!H54+(1-Hypotheses!H54)*Hypotheses!$D$14+Hypotheses!H54*Hypotheses!$D$19)</f>
        <v>1331.1080401762108</v>
      </c>
      <c r="AB90" s="126">
        <f>C90*(ResourcesEmissions!$C$79-Hypotheses!$D$30*Hypotheses!I54+(1-Hypotheses!I54)*Hypotheses!$D$14+Hypotheses!I54*Hypotheses!$D$19)</f>
        <v>1258.071960176211</v>
      </c>
      <c r="AC90" s="126">
        <f>C90*(ResourcesEmissions!$C$79-Hypotheses!$D$30*Hypotheses!J54+(1-Hypotheses!J54)*Hypotheses!$D$14+Hypotheses!J54*Hypotheses!$D$19)</f>
        <v>1166.7768601762109</v>
      </c>
      <c r="AD90" s="115"/>
      <c r="AE90" s="126">
        <f>C90*(ResourcesEmissions!$C$79-Hypotheses!$D$30*Hypotheses!H54+(1-Hypotheses!H54)*Hypotheses!$D$14+Hypotheses!H54*Hypotheses!$D$21)</f>
        <v>1333.2561601762109</v>
      </c>
      <c r="AF90" s="126">
        <f>C90*(ResourcesEmissions!$C$79-Hypotheses!$D$30*Hypotheses!I54+(1-Hypotheses!I54)*Hypotheses!$D$14+Hypotheses!I54*Hypotheses!$D$21)</f>
        <v>1264.5163201762111</v>
      </c>
      <c r="AG90" s="126">
        <f>C90*(ResourcesEmissions!$C$79-Hypotheses!$D$30*Hypotheses!J54+(1-Hypotheses!J54)*Hypotheses!$D$14+Hypotheses!J54*Hypotheses!$D$21)</f>
        <v>1178.5915201762109</v>
      </c>
      <c r="AH90" s="115"/>
      <c r="AI90" s="128">
        <f t="shared" si="26"/>
        <v>84581.360893202058</v>
      </c>
      <c r="AJ90" s="128">
        <f t="shared" si="27"/>
        <v>84238.300839104617</v>
      </c>
      <c r="AK90" s="128">
        <f t="shared" si="28"/>
        <v>83809.475771482845</v>
      </c>
      <c r="AL90" s="115"/>
      <c r="AM90" s="126">
        <f t="shared" si="29"/>
        <v>56900.203385616289</v>
      </c>
      <c r="AN90" s="126">
        <f t="shared" si="30"/>
        <v>56817.868972632903</v>
      </c>
      <c r="AO90" s="126">
        <f t="shared" si="31"/>
        <v>56714.950956403671</v>
      </c>
      <c r="AP90" s="115"/>
      <c r="AQ90" s="126">
        <f t="shared" si="32"/>
        <v>56900.203385616289</v>
      </c>
      <c r="AR90" s="126">
        <f t="shared" si="33"/>
        <v>56817.868972632903</v>
      </c>
      <c r="AS90" s="126">
        <f t="shared" si="34"/>
        <v>56714.950956403671</v>
      </c>
    </row>
    <row r="91" spans="1:45" x14ac:dyDescent="0.25">
      <c r="A91" s="94">
        <v>2036</v>
      </c>
      <c r="B91" s="139" cm="1">
        <f t="array" ref="B91">SUMPRODUCT((PARIS!$C$4:'PARIS'!$C$103=A91)*PARIS!$X$4:$X$103)+SUMPRODUCT((PARIS!$AA$4:'PARIS'!$AA$103=A91)*PARIS!$AQ$4:$AQ$103)+SUMPRODUCT((PARIS!$AB$4:'PARIS'!$AB$103=A91)*PARIS!$AQ$4:$AQ$103)</f>
        <v>4644.3599999999997</v>
      </c>
      <c r="C91" s="139" cm="1">
        <f t="array" ref="C91">SUMPRODUCT((PARIS!$C$4:'PARIS'!$C$103=A91)*PARIS!$Y$4:$Y$103)+SUMPRODUCT((PARIS!$AA$4:'PARIS'!$AA$103=A91)*PARIS!$AR$4:$AR$103)+SUMPRODUCT((PARIS!$AB$4:'PARIS'!$AB$103=A91)*PARIS!$AR$4:$AR$103)</f>
        <v>557.32319999999993</v>
      </c>
      <c r="D91" s="136" cm="1">
        <f t="array" ref="D91">SUMPRODUCT((PARIS!$C$4:'PARIS'!$C$103=A91)*PARIS!$O$4:$O$103)+SUMPRODUCT((PARIS!$AA$4:'PARIS'!$AA$103=A91)*PARIS!$AM$4:$AM$103)+SUMPRODUCT((PARIS!$AB$4:'PARIS'!$AB$103=A91)*PARIS!$AM$4:$AM$103)</f>
        <v>464.43599999999998</v>
      </c>
      <c r="E91" s="136" cm="1">
        <f t="array" ref="E91">SUMPRODUCT((PARIS!$C$4:'PARIS'!$C$103=A91)*PARIS!$R$4:$R$103)+SUMPRODUCT((PARIS!$AA$4:'PARIS'!$AA$103=A91)*PARIS!$AP$4:$AP$103)+SUMPRODUCT((PARIS!$AB$4:'PARIS'!$AB$103=A91)*PARIS!$AP$4:$AP$103)</f>
        <v>92.887199999999993</v>
      </c>
      <c r="F91" s="136" cm="1">
        <f t="array" ref="F91">SUMPRODUCT((PARIS!$C$4:'PARIS'!$C$103=A91)*PARIS!$V$4:$V$103)+SUMPRODUCT((PARIS!$AA$4:'PARIS'!$AA$103=A91)*PARIS!$AS$4:$AS$103)+SUMPRODUCT((PARIS!$AB$4:'PARIS'!$AB$103=A91)*PARIS!$AS$4:$AS$103)</f>
        <v>36.226007999999993</v>
      </c>
      <c r="G91" s="136" cm="1">
        <f t="array" ref="G91">SUMPRODUCT((PARIS!$C$4:'PARIS'!$C$103=A91)*PARIS!$W$4:$W$103)+SUMPRODUCT((PARIS!$AA$4:'PARIS'!$AA$103=A91)*PARIS!$AT$4:$AT$103)+SUMPRODUCT((PARIS!$AB$4:'PARIS'!$AB$103=A91)*PARIS!$AT$4:$AT$103)</f>
        <v>18.113003999999997</v>
      </c>
      <c r="H91" s="115"/>
      <c r="I91" s="139">
        <f t="shared" si="12"/>
        <v>72999.877307619041</v>
      </c>
      <c r="J91" s="136">
        <f t="shared" si="13"/>
        <v>18796.619953333335</v>
      </c>
      <c r="K91" s="136">
        <f t="shared" si="14"/>
        <v>53144.857354285712</v>
      </c>
      <c r="L91" s="136">
        <f t="shared" si="15"/>
        <v>4888.4197819149495</v>
      </c>
      <c r="M91" s="136">
        <f t="shared" si="16"/>
        <v>3119.5302401959293</v>
      </c>
      <c r="N91" s="115"/>
      <c r="O91" s="131"/>
      <c r="P91" s="131"/>
      <c r="Q91" s="131"/>
      <c r="R91" s="115"/>
      <c r="S91" s="131"/>
      <c r="T91" s="131"/>
      <c r="U91" s="131"/>
      <c r="V91" s="115"/>
      <c r="W91" s="128">
        <f>C91*(ResourcesEmissions!$B$79-Hypotheses!$D$31*Hypotheses!H55)</f>
        <v>583.90751663999981</v>
      </c>
      <c r="X91" s="128">
        <f>C91*(ResourcesEmissions!$B$79-Hypotheses!$D$31*Hypotheses!I55)</f>
        <v>500.64887031953327</v>
      </c>
      <c r="Y91" s="128">
        <f>C91*(ResourcesEmissions!$B$79-Hypotheses!$D$31*Hypotheses!J55)</f>
        <v>396.57556241895014</v>
      </c>
      <c r="Z91" s="115"/>
      <c r="AA91" s="126">
        <f>C91*(ResourcesEmissions!$C$79-Hypotheses!$D$30*Hypotheses!H55+(1-Hypotheses!H55)*Hypotheses!$D$14+Hypotheses!H55*Hypotheses!$D$19)</f>
        <v>310.81673893779714</v>
      </c>
      <c r="AB91" s="126">
        <f>C91*(ResourcesEmissions!$C$79-Hypotheses!$D$30*Hypotheses!I55+(1-Hypotheses!I55)*Hypotheses!$D$14+Hypotheses!I55*Hypotheses!$D$19)</f>
        <v>289.58578412607824</v>
      </c>
      <c r="AC91" s="126">
        <f>C91*(ResourcesEmissions!$C$79-Hypotheses!$D$30*Hypotheses!J55+(1-Hypotheses!J55)*Hypotheses!$D$14+Hypotheses!J55*Hypotheses!$D$19)</f>
        <v>263.0470906114295</v>
      </c>
      <c r="AD91" s="115"/>
      <c r="AE91" s="126">
        <f>C91*(ResourcesEmissions!$C$79-Hypotheses!$D$30*Hypotheses!H55+(1-Hypotheses!H55)*Hypotheses!$D$14+Hypotheses!H55*Hypotheses!$D$21)</f>
        <v>311.31832981779718</v>
      </c>
      <c r="AF91" s="126">
        <f>C91*(ResourcesEmissions!$C$79-Hypotheses!$D$30*Hypotheses!I55+(1-Hypotheses!I55)*Hypotheses!$D$14+Hypotheses!I55*Hypotheses!$D$21)</f>
        <v>291.33625470088521</v>
      </c>
      <c r="AG91" s="126">
        <f>C91*(ResourcesEmissions!$C$79-Hypotheses!$D$30*Hypotheses!J55+(1-Hypotheses!J55)*Hypotheses!$D$14+Hypotheses!J55*Hypotheses!$D$21)</f>
        <v>266.35866080474523</v>
      </c>
      <c r="AH91" s="115"/>
      <c r="AI91" s="128">
        <f t="shared" si="26"/>
        <v>85165.268409842058</v>
      </c>
      <c r="AJ91" s="128">
        <f t="shared" si="27"/>
        <v>84738.949709424152</v>
      </c>
      <c r="AK91" s="128">
        <f t="shared" si="28"/>
        <v>84206.051333901793</v>
      </c>
      <c r="AL91" s="115"/>
      <c r="AM91" s="126">
        <f t="shared" si="29"/>
        <v>57211.521715434086</v>
      </c>
      <c r="AN91" s="126">
        <f t="shared" si="30"/>
        <v>57109.20522733379</v>
      </c>
      <c r="AO91" s="126">
        <f t="shared" si="31"/>
        <v>56981.309617208419</v>
      </c>
      <c r="AP91" s="115"/>
      <c r="AQ91" s="126">
        <f t="shared" si="32"/>
        <v>57211.521715434086</v>
      </c>
      <c r="AR91" s="126">
        <f t="shared" si="33"/>
        <v>57109.20522733379</v>
      </c>
      <c r="AS91" s="126">
        <f t="shared" si="34"/>
        <v>56981.309617208419</v>
      </c>
    </row>
    <row r="92" spans="1:45" x14ac:dyDescent="0.25">
      <c r="A92" s="94">
        <v>2037</v>
      </c>
      <c r="B92" s="139" cm="1">
        <f t="array" ref="B92">SUMPRODUCT((PARIS!$C$4:'PARIS'!$C$103=A92)*PARIS!$X$4:$X$103)+SUMPRODUCT((PARIS!$AA$4:'PARIS'!$AA$103=A92)*PARIS!$AQ$4:$AQ$103)+SUMPRODUCT((PARIS!$AB$4:'PARIS'!$AB$103=A92)*PARIS!$AQ$4:$AQ$103)</f>
        <v>0</v>
      </c>
      <c r="C92" s="139" cm="1">
        <f t="array" ref="C92">SUMPRODUCT((PARIS!$C$4:'PARIS'!$C$103=A92)*PARIS!$Y$4:$Y$103)+SUMPRODUCT((PARIS!$AA$4:'PARIS'!$AA$103=A92)*PARIS!$AR$4:$AR$103)+SUMPRODUCT((PARIS!$AB$4:'PARIS'!$AB$103=A92)*PARIS!$AR$4:$AR$103)</f>
        <v>0</v>
      </c>
      <c r="D92" s="136" cm="1">
        <f t="array" ref="D92">SUMPRODUCT((PARIS!$C$4:'PARIS'!$C$103=A92)*PARIS!$O$4:$O$103)+SUMPRODUCT((PARIS!$AA$4:'PARIS'!$AA$103=A92)*PARIS!$AM$4:$AM$103)+SUMPRODUCT((PARIS!$AB$4:'PARIS'!$AB$103=A92)*PARIS!$AM$4:$AM$103)</f>
        <v>0</v>
      </c>
      <c r="E92" s="136" cm="1">
        <f t="array" ref="E92">SUMPRODUCT((PARIS!$C$4:'PARIS'!$C$103=A92)*PARIS!$R$4:$R$103)+SUMPRODUCT((PARIS!$AA$4:'PARIS'!$AA$103=A92)*PARIS!$AP$4:$AP$103)+SUMPRODUCT((PARIS!$AB$4:'PARIS'!$AB$103=A92)*PARIS!$AP$4:$AP$103)</f>
        <v>0</v>
      </c>
      <c r="F92" s="136" cm="1">
        <f t="array" ref="F92">SUMPRODUCT((PARIS!$C$4:'PARIS'!$C$103=A92)*PARIS!$V$4:$V$103)+SUMPRODUCT((PARIS!$AA$4:'PARIS'!$AA$103=A92)*PARIS!$AS$4:$AS$103)+SUMPRODUCT((PARIS!$AB$4:'PARIS'!$AB$103=A92)*PARIS!$AS$4:$AS$103)</f>
        <v>0</v>
      </c>
      <c r="G92" s="136" cm="1">
        <f t="array" ref="G92">SUMPRODUCT((PARIS!$C$4:'PARIS'!$C$103=A92)*PARIS!$W$4:$W$103)+SUMPRODUCT((PARIS!$AA$4:'PARIS'!$AA$103=A92)*PARIS!$AT$4:$AT$103)+SUMPRODUCT((PARIS!$AB$4:'PARIS'!$AB$103=A92)*PARIS!$AT$4:$AT$103)</f>
        <v>0</v>
      </c>
      <c r="H92" s="115"/>
      <c r="I92" s="139">
        <f t="shared" si="12"/>
        <v>72999.877307619041</v>
      </c>
      <c r="J92" s="136">
        <f t="shared" si="13"/>
        <v>18796.619953333335</v>
      </c>
      <c r="K92" s="136">
        <f t="shared" si="14"/>
        <v>53144.857354285712</v>
      </c>
      <c r="L92" s="136">
        <f t="shared" si="15"/>
        <v>4888.4197819149495</v>
      </c>
      <c r="M92" s="136">
        <f t="shared" si="16"/>
        <v>3119.5302401959293</v>
      </c>
      <c r="N92" s="115"/>
      <c r="O92" s="131"/>
      <c r="P92" s="131"/>
      <c r="Q92" s="131"/>
      <c r="R92" s="115"/>
      <c r="S92" s="131"/>
      <c r="T92" s="131"/>
      <c r="U92" s="131"/>
      <c r="V92" s="115"/>
      <c r="W92" s="128">
        <f>C92*(ResourcesEmissions!$B$79-Hypotheses!$D$31*Hypotheses!H56)</f>
        <v>0</v>
      </c>
      <c r="X92" s="128">
        <f>C92*(ResourcesEmissions!$B$79-Hypotheses!$D$31*Hypotheses!I56)</f>
        <v>0</v>
      </c>
      <c r="Y92" s="128">
        <f>C92*(ResourcesEmissions!$B$79-Hypotheses!$D$31*Hypotheses!J56)</f>
        <v>0</v>
      </c>
      <c r="Z92" s="115"/>
      <c r="AA92" s="126">
        <f>C92*(ResourcesEmissions!$C$79-Hypotheses!$D$30*Hypotheses!H56+(1-Hypotheses!H56)*Hypotheses!$D$14+Hypotheses!H56*Hypotheses!$D$19)</f>
        <v>0</v>
      </c>
      <c r="AB92" s="126">
        <f>C92*(ResourcesEmissions!$C$79-Hypotheses!$D$30*Hypotheses!I56+(1-Hypotheses!I56)*Hypotheses!$D$14+Hypotheses!I56*Hypotheses!$D$19)</f>
        <v>0</v>
      </c>
      <c r="AC92" s="126">
        <f>C92*(ResourcesEmissions!$C$79-Hypotheses!$D$30*Hypotheses!J56+(1-Hypotheses!J56)*Hypotheses!$D$14+Hypotheses!J56*Hypotheses!$D$19)</f>
        <v>0</v>
      </c>
      <c r="AD92" s="115"/>
      <c r="AE92" s="126">
        <f>C92*(ResourcesEmissions!$C$79-Hypotheses!$D$30*Hypotheses!H56+(1-Hypotheses!H56)*Hypotheses!$D$14+Hypotheses!H56*Hypotheses!$D$21)</f>
        <v>0</v>
      </c>
      <c r="AF92" s="126">
        <f>C92*(ResourcesEmissions!$C$79-Hypotheses!$D$30*Hypotheses!I56+(1-Hypotheses!I56)*Hypotheses!$D$14+Hypotheses!I56*Hypotheses!$D$21)</f>
        <v>0</v>
      </c>
      <c r="AG92" s="126">
        <f>C92*(ResourcesEmissions!$C$79-Hypotheses!$D$30*Hypotheses!J56+(1-Hypotheses!J56)*Hypotheses!$D$14+Hypotheses!J56*Hypotheses!$D$21)</f>
        <v>0</v>
      </c>
      <c r="AH92" s="115"/>
      <c r="AI92" s="128">
        <f t="shared" si="26"/>
        <v>85165.268409842058</v>
      </c>
      <c r="AJ92" s="128">
        <f t="shared" si="27"/>
        <v>84738.949709424152</v>
      </c>
      <c r="AK92" s="128">
        <f t="shared" si="28"/>
        <v>84206.051333901793</v>
      </c>
      <c r="AL92" s="115"/>
      <c r="AM92" s="126">
        <f t="shared" si="29"/>
        <v>57211.521715434086</v>
      </c>
      <c r="AN92" s="126">
        <f t="shared" si="30"/>
        <v>57109.20522733379</v>
      </c>
      <c r="AO92" s="126">
        <f t="shared" si="31"/>
        <v>56981.309617208419</v>
      </c>
      <c r="AP92" s="115"/>
      <c r="AQ92" s="126">
        <f t="shared" si="32"/>
        <v>57211.521715434086</v>
      </c>
      <c r="AR92" s="126">
        <f t="shared" si="33"/>
        <v>57109.20522733379</v>
      </c>
      <c r="AS92" s="126">
        <f t="shared" si="34"/>
        <v>56981.309617208419</v>
      </c>
    </row>
    <row r="93" spans="1:45" x14ac:dyDescent="0.25">
      <c r="A93" s="94">
        <v>2038</v>
      </c>
      <c r="B93" s="139" cm="1">
        <f t="array" ref="B93">SUMPRODUCT((PARIS!$C$4:'PARIS'!$C$103=A93)*PARIS!$X$4:$X$103)+SUMPRODUCT((PARIS!$AA$4:'PARIS'!$AA$103=A93)*PARIS!$AQ$4:$AQ$103)+SUMPRODUCT((PARIS!$AB$4:'PARIS'!$AB$103=A93)*PARIS!$AQ$4:$AQ$103)</f>
        <v>27587.279999999999</v>
      </c>
      <c r="C93" s="139" cm="1">
        <f t="array" ref="C93">SUMPRODUCT((PARIS!$C$4:'PARIS'!$C$103=A93)*PARIS!$Y$4:$Y$103)+SUMPRODUCT((PARIS!$AA$4:'PARIS'!$AA$103=A93)*PARIS!$AR$4:$AR$103)+SUMPRODUCT((PARIS!$AB$4:'PARIS'!$AB$103=A93)*PARIS!$AR$4:$AR$103)</f>
        <v>990.86579999999992</v>
      </c>
      <c r="D93" s="136" cm="1">
        <f t="array" ref="D93">SUMPRODUCT((PARIS!$C$4:'PARIS'!$C$103=A93)*PARIS!$O$4:$O$103)+SUMPRODUCT((PARIS!$AA$4:'PARIS'!$AA$103=A93)*PARIS!$AM$4:$AM$103)+SUMPRODUCT((PARIS!$AB$4:'PARIS'!$AB$103=A93)*PARIS!$AM$4:$AM$103)</f>
        <v>163.125</v>
      </c>
      <c r="E93" s="136" cm="1">
        <f t="array" ref="E93">SUMPRODUCT((PARIS!$C$4:'PARIS'!$C$103=A93)*PARIS!$R$4:$R$103)+SUMPRODUCT((PARIS!$AA$4:'PARIS'!$AA$103=A93)*PARIS!$AP$4:$AP$103)+SUMPRODUCT((PARIS!$AB$4:'PARIS'!$AB$103=A93)*PARIS!$AP$4:$AP$103)</f>
        <v>827.74079999999992</v>
      </c>
      <c r="F93" s="136" cm="1">
        <f t="array" ref="F93">SUMPRODUCT((PARIS!$C$4:'PARIS'!$C$103=A93)*PARIS!$V$4:$V$103)+SUMPRODUCT((PARIS!$AA$4:'PARIS'!$AA$103=A93)*PARIS!$AS$4:$AS$103)+SUMPRODUCT((PARIS!$AB$4:'PARIS'!$AB$103=A93)*PARIS!$AS$4:$AS$103)</f>
        <v>84.488159999999993</v>
      </c>
      <c r="G93" s="136" cm="1">
        <f t="array" ref="G93">SUMPRODUCT((PARIS!$C$4:'PARIS'!$C$103=A93)*PARIS!$W$4:$W$103)+SUMPRODUCT((PARIS!$AA$4:'PARIS'!$AA$103=A93)*PARIS!$AT$4:$AT$103)+SUMPRODUCT((PARIS!$AB$4:'PARIS'!$AB$103=A93)*PARIS!$AT$4:$AT$103)</f>
        <v>53.297999999999995</v>
      </c>
      <c r="H93" s="115"/>
      <c r="I93" s="139">
        <f t="shared" si="12"/>
        <v>73990.743107619041</v>
      </c>
      <c r="J93" s="136">
        <f t="shared" si="13"/>
        <v>18959.744953333335</v>
      </c>
      <c r="K93" s="136">
        <f t="shared" si="14"/>
        <v>53972.598154285712</v>
      </c>
      <c r="L93" s="136">
        <f t="shared" si="15"/>
        <v>4972.9079419149493</v>
      </c>
      <c r="M93" s="136">
        <f t="shared" si="16"/>
        <v>3172.8282401959291</v>
      </c>
      <c r="N93" s="115"/>
      <c r="O93" s="131"/>
      <c r="P93" s="131"/>
      <c r="Q93" s="131"/>
      <c r="R93" s="115"/>
      <c r="S93" s="131"/>
      <c r="T93" s="131"/>
      <c r="U93" s="131"/>
      <c r="V93" s="115"/>
      <c r="W93" s="128">
        <f>C93*(ResourcesEmissions!$B$79-Hypotheses!$D$31*Hypotheses!H57)</f>
        <v>1038.1300986599997</v>
      </c>
      <c r="X93" s="128">
        <f>C93*(ResourcesEmissions!$B$79-Hypotheses!$D$31*Hypotheses!I57)</f>
        <v>843.70451768083285</v>
      </c>
      <c r="Y93" s="128">
        <f>C93*(ResourcesEmissions!$B$79-Hypotheses!$D$31*Hypotheses!J57)</f>
        <v>600.67254145687423</v>
      </c>
      <c r="Z93" s="115"/>
      <c r="AA93" s="126">
        <f>C93*(ResourcesEmissions!$C$79-Hypotheses!$D$30*Hypotheses!H57+(1-Hypotheses!H57)*Hypotheses!$D$14+Hypotheses!H57*Hypotheses!$D$19)</f>
        <v>552.60157244663696</v>
      </c>
      <c r="AB93" s="126">
        <f>C93*(ResourcesEmissions!$C$79-Hypotheses!$D$30*Hypotheses!I57+(1-Hypotheses!I57)*Hypotheses!$D$14+Hypotheses!I57*Hypotheses!$D$19)</f>
        <v>503.02304929694947</v>
      </c>
      <c r="AC93" s="126">
        <f>C93*(ResourcesEmissions!$C$79-Hypotheses!$D$30*Hypotheses!J57+(1-Hypotheses!J57)*Hypotheses!$D$14+Hypotheses!J57*Hypotheses!$D$19)</f>
        <v>441.04989535983998</v>
      </c>
      <c r="AD93" s="115"/>
      <c r="AE93" s="126">
        <f>C93*(ResourcesEmissions!$C$79-Hypotheses!$D$30*Hypotheses!H57+(1-Hypotheses!H57)*Hypotheses!$D$14+Hypotheses!H57*Hypotheses!$D$21)</f>
        <v>553.49335166663695</v>
      </c>
      <c r="AF93" s="126">
        <f>C93*(ResourcesEmissions!$C$79-Hypotheses!$D$30*Hypotheses!I57+(1-Hypotheses!I57)*Hypotheses!$D$14+Hypotheses!I57*Hypotheses!$D$21)</f>
        <v>506.83121223163698</v>
      </c>
      <c r="AG93" s="126">
        <f>C93*(ResourcesEmissions!$C$79-Hypotheses!$D$30*Hypotheses!J57+(1-Hypotheses!J57)*Hypotheses!$D$14+Hypotheses!J57*Hypotheses!$D$21)</f>
        <v>448.5035379378869</v>
      </c>
      <c r="AH93" s="115"/>
      <c r="AI93" s="128">
        <f t="shared" si="26"/>
        <v>86203.398508502054</v>
      </c>
      <c r="AJ93" s="128">
        <f t="shared" si="27"/>
        <v>85582.654227104984</v>
      </c>
      <c r="AK93" s="128">
        <f t="shared" si="28"/>
        <v>84806.723875358672</v>
      </c>
      <c r="AL93" s="115"/>
      <c r="AM93" s="126">
        <f t="shared" si="29"/>
        <v>57765.015067100721</v>
      </c>
      <c r="AN93" s="126">
        <f t="shared" si="30"/>
        <v>57616.036439565425</v>
      </c>
      <c r="AO93" s="126">
        <f t="shared" si="31"/>
        <v>57429.813155146308</v>
      </c>
      <c r="AP93" s="115"/>
      <c r="AQ93" s="126">
        <f t="shared" si="32"/>
        <v>57765.015067100721</v>
      </c>
      <c r="AR93" s="126">
        <f t="shared" si="33"/>
        <v>57616.036439565425</v>
      </c>
      <c r="AS93" s="126">
        <f t="shared" si="34"/>
        <v>57429.813155146308</v>
      </c>
    </row>
    <row r="94" spans="1:45" x14ac:dyDescent="0.25">
      <c r="A94" s="94">
        <v>2039</v>
      </c>
      <c r="B94" s="139" cm="1">
        <f t="array" ref="B94">SUMPRODUCT((PARIS!$C$4:'PARIS'!$C$103=A94)*PARIS!$X$4:$X$103)+SUMPRODUCT((PARIS!$AA$4:'PARIS'!$AA$103=A94)*PARIS!$AQ$4:$AQ$103)+SUMPRODUCT((PARIS!$AB$4:'PARIS'!$AB$103=A94)*PARIS!$AQ$4:$AQ$103)</f>
        <v>20867.599999999999</v>
      </c>
      <c r="C94" s="139" cm="1">
        <f t="array" ref="C94">SUMPRODUCT((PARIS!$C$4:'PARIS'!$C$103=A94)*PARIS!$Y$4:$Y$103)+SUMPRODUCT((PARIS!$AA$4:'PARIS'!$AA$103=A94)*PARIS!$AR$4:$AR$103)+SUMPRODUCT((PARIS!$AB$4:'PARIS'!$AB$103=A94)*PARIS!$AR$4:$AR$103)</f>
        <v>745.44200000000001</v>
      </c>
      <c r="D94" s="136" cm="1">
        <f t="array" ref="D94">SUMPRODUCT((PARIS!$C$4:'PARIS'!$C$103=A94)*PARIS!$O$4:$O$103)+SUMPRODUCT((PARIS!$AA$4:'PARIS'!$AA$103=A94)*PARIS!$AM$4:$AM$103)+SUMPRODUCT((PARIS!$AB$4:'PARIS'!$AB$103=A94)*PARIS!$AM$4:$AM$103)</f>
        <v>148.76999999999998</v>
      </c>
      <c r="E94" s="136" cm="1">
        <f t="array" ref="E94">SUMPRODUCT((PARIS!$C$4:'PARIS'!$C$103=A94)*PARIS!$R$4:$R$103)+SUMPRODUCT((PARIS!$AA$4:'PARIS'!$AA$103=A94)*PARIS!$AP$4:$AP$103)+SUMPRODUCT((PARIS!$AB$4:'PARIS'!$AB$103=A94)*PARIS!$AP$4:$AP$103)</f>
        <v>596.67200000000003</v>
      </c>
      <c r="F94" s="136" cm="1">
        <f t="array" ref="F94">SUMPRODUCT((PARIS!$C$4:'PARIS'!$C$103=A94)*PARIS!$V$4:$V$103)+SUMPRODUCT((PARIS!$AA$4:'PARIS'!$AA$103=A94)*PARIS!$AS$4:$AS$103)+SUMPRODUCT((PARIS!$AB$4:'PARIS'!$AB$103=A94)*PARIS!$AS$4:$AS$103)</f>
        <v>59.210840000000005</v>
      </c>
      <c r="G94" s="136" cm="1">
        <f t="array" ref="G94">SUMPRODUCT((PARIS!$C$4:'PARIS'!$C$103=A94)*PARIS!$W$4:$W$103)+SUMPRODUCT((PARIS!$AA$4:'PARIS'!$AA$103=A94)*PARIS!$AT$4:$AT$103)+SUMPRODUCT((PARIS!$AB$4:'PARIS'!$AB$103=A94)*PARIS!$AT$4:$AT$103)</f>
        <v>36.493400000000001</v>
      </c>
      <c r="H94" s="115"/>
      <c r="I94" s="139">
        <f t="shared" si="12"/>
        <v>74736.185107619036</v>
      </c>
      <c r="J94" s="136">
        <f t="shared" si="13"/>
        <v>19108.514953333335</v>
      </c>
      <c r="K94" s="136">
        <f t="shared" si="14"/>
        <v>54569.27015428571</v>
      </c>
      <c r="L94" s="136">
        <f t="shared" si="15"/>
        <v>5032.1187819149491</v>
      </c>
      <c r="M94" s="136">
        <f t="shared" si="16"/>
        <v>3209.3216401959289</v>
      </c>
      <c r="N94" s="115"/>
      <c r="O94" s="131"/>
      <c r="P94" s="131"/>
      <c r="Q94" s="131"/>
      <c r="R94" s="115"/>
      <c r="S94" s="131"/>
      <c r="T94" s="131"/>
      <c r="U94" s="131"/>
      <c r="V94" s="115"/>
      <c r="W94" s="128">
        <f>C94*(ResourcesEmissions!$B$79-Hypotheses!$D$31*Hypotheses!H58)</f>
        <v>780.99958339999989</v>
      </c>
      <c r="X94" s="128">
        <f>C94*(ResourcesEmissions!$B$79-Hypotheses!$D$31*Hypotheses!I58)</f>
        <v>623.4196309035226</v>
      </c>
      <c r="Y94" s="128">
        <f>C94*(ResourcesEmissions!$B$79-Hypotheses!$D$31*Hypotheses!J58)</f>
        <v>426.4446902829261</v>
      </c>
      <c r="Z94" s="115"/>
      <c r="AA94" s="126">
        <f>C94*(ResourcesEmissions!$C$79-Hypotheses!$D$30*Hypotheses!H58+(1-Hypotheses!H58)*Hypotheses!$D$14+Hypotheses!H58*Hypotheses!$D$19)</f>
        <v>415.72978032723097</v>
      </c>
      <c r="AB94" s="126">
        <f>C94*(ResourcesEmissions!$C$79-Hypotheses!$D$30*Hypotheses!I58+(1-Hypotheses!I58)*Hypotheses!$D$14+Hypotheses!I58*Hypotheses!$D$19)</f>
        <v>375.54689244062939</v>
      </c>
      <c r="AC94" s="126">
        <f>C94*(ResourcesEmissions!$C$79-Hypotheses!$D$30*Hypotheses!J58+(1-Hypotheses!J58)*Hypotheses!$D$14+Hypotheses!J58*Hypotheses!$D$19)</f>
        <v>325.31828258237726</v>
      </c>
      <c r="AD94" s="115"/>
      <c r="AE94" s="126">
        <f>C94*(ResourcesEmissions!$C$79-Hypotheses!$D$30*Hypotheses!H58+(1-Hypotheses!H58)*Hypotheses!$D$14+Hypotheses!H58*Hypotheses!$D$21)</f>
        <v>416.400678127231</v>
      </c>
      <c r="AF94" s="126">
        <f>C94*(ResourcesEmissions!$C$79-Hypotheses!$D$30*Hypotheses!I58+(1-Hypotheses!I58)*Hypotheses!$D$14+Hypotheses!I58*Hypotheses!$D$21)</f>
        <v>378.58148952807653</v>
      </c>
      <c r="AG94" s="126">
        <f>C94*(ResourcesEmissions!$C$79-Hypotheses!$D$30*Hypotheses!J58+(1-Hypotheses!J58)*Hypotheses!$D$14+Hypotheses!J58*Hypotheses!$D$21)</f>
        <v>331.30750377913336</v>
      </c>
      <c r="AH94" s="115"/>
      <c r="AI94" s="128">
        <f t="shared" si="26"/>
        <v>86984.398091902054</v>
      </c>
      <c r="AJ94" s="128">
        <f t="shared" si="27"/>
        <v>86206.073858008502</v>
      </c>
      <c r="AK94" s="128">
        <f t="shared" si="28"/>
        <v>85233.168565641594</v>
      </c>
      <c r="AL94" s="115"/>
      <c r="AM94" s="126">
        <f t="shared" si="29"/>
        <v>58181.415745227954</v>
      </c>
      <c r="AN94" s="126">
        <f t="shared" si="30"/>
        <v>57994.617929093503</v>
      </c>
      <c r="AO94" s="126">
        <f t="shared" si="31"/>
        <v>57761.120658925443</v>
      </c>
      <c r="AP94" s="115"/>
      <c r="AQ94" s="126">
        <f t="shared" si="32"/>
        <v>58181.415745227954</v>
      </c>
      <c r="AR94" s="126">
        <f t="shared" si="33"/>
        <v>57994.617929093503</v>
      </c>
      <c r="AS94" s="126">
        <f t="shared" si="34"/>
        <v>57761.120658925443</v>
      </c>
    </row>
    <row r="95" spans="1:45" x14ac:dyDescent="0.25">
      <c r="A95" s="94">
        <v>2040</v>
      </c>
      <c r="B95" s="139" cm="1">
        <f t="array" ref="B95">SUMPRODUCT((PARIS!$C$4:'PARIS'!$C$103=A95)*PARIS!$X$4:$X$103)+SUMPRODUCT((PARIS!$AA$4:'PARIS'!$AA$103=A95)*PARIS!$AQ$4:$AQ$103)+SUMPRODUCT((PARIS!$AB$4:'PARIS'!$AB$103=A95)*PARIS!$AQ$4:$AQ$103)</f>
        <v>6780</v>
      </c>
      <c r="C95" s="139" cm="1">
        <f t="array" ref="C95">SUMPRODUCT((PARIS!$C$4:'PARIS'!$C$103=A95)*PARIS!$Y$4:$Y$103)+SUMPRODUCT((PARIS!$AA$4:'PARIS'!$AA$103=A95)*PARIS!$AR$4:$AR$103)+SUMPRODUCT((PARIS!$AB$4:'PARIS'!$AB$103=A95)*PARIS!$AR$4:$AR$103)</f>
        <v>241.5</v>
      </c>
      <c r="D95" s="136" cm="1">
        <f t="array" ref="D95">SUMPRODUCT((PARIS!$C$4:'PARIS'!$C$103=A95)*PARIS!$O$4:$O$103)+SUMPRODUCT((PARIS!$AA$4:'PARIS'!$AA$103=A95)*PARIS!$AM$4:$AM$103)+SUMPRODUCT((PARIS!$AB$4:'PARIS'!$AB$103=A95)*PARIS!$AM$4:$AM$103)</f>
        <v>0</v>
      </c>
      <c r="E95" s="136" cm="1">
        <f t="array" ref="E95">SUMPRODUCT((PARIS!$C$4:'PARIS'!$C$103=A95)*PARIS!$R$4:$R$103)+SUMPRODUCT((PARIS!$AA$4:'PARIS'!$AA$103=A95)*PARIS!$AP$4:$AP$103)+SUMPRODUCT((PARIS!$AB$4:'PARIS'!$AB$103=A95)*PARIS!$AP$4:$AP$103)</f>
        <v>241.5</v>
      </c>
      <c r="F95" s="136" cm="1">
        <f t="array" ref="F95">SUMPRODUCT((PARIS!$C$4:'PARIS'!$C$103=A95)*PARIS!$V$4:$V$103)+SUMPRODUCT((PARIS!$AA$4:'PARIS'!$AA$103=A95)*PARIS!$AS$4:$AS$103)+SUMPRODUCT((PARIS!$AB$4:'PARIS'!$AB$103=A95)*PARIS!$AS$4:$AS$103)</f>
        <v>16.28</v>
      </c>
      <c r="G95" s="136" cm="1">
        <f t="array" ref="G95">SUMPRODUCT((PARIS!$C$4:'PARIS'!$C$103=A95)*PARIS!$W$4:$W$103)+SUMPRODUCT((PARIS!$AA$4:'PARIS'!$AA$103=A95)*PARIS!$AT$4:$AT$103)+SUMPRODUCT((PARIS!$AB$4:'PARIS'!$AB$103=A95)*PARIS!$AT$4:$AT$103)</f>
        <v>11.714</v>
      </c>
      <c r="H95" s="115"/>
      <c r="I95" s="139">
        <f t="shared" si="12"/>
        <v>74977.685107619036</v>
      </c>
      <c r="J95" s="136">
        <f t="shared" si="13"/>
        <v>19108.514953333335</v>
      </c>
      <c r="K95" s="136">
        <f t="shared" si="14"/>
        <v>54810.77015428571</v>
      </c>
      <c r="L95" s="136">
        <f t="shared" si="15"/>
        <v>5048.3987819149488</v>
      </c>
      <c r="M95" s="136">
        <f t="shared" si="16"/>
        <v>3221.0356401959289</v>
      </c>
      <c r="N95" s="115"/>
      <c r="O95" s="131"/>
      <c r="P95" s="131"/>
      <c r="Q95" s="131"/>
      <c r="R95" s="115"/>
      <c r="S95" s="131"/>
      <c r="T95" s="131"/>
      <c r="U95" s="131"/>
      <c r="V95" s="115"/>
      <c r="W95" s="128">
        <f>C95*(ResourcesEmissions!$B$79-Hypotheses!$D$31*Hypotheses!H59)</f>
        <v>253.01954999999995</v>
      </c>
      <c r="X95" s="128">
        <f>C95*(ResourcesEmissions!$B$79-Hypotheses!$D$31*Hypotheses!I59)</f>
        <v>199.45629011403125</v>
      </c>
      <c r="Y95" s="128">
        <f>C95*(ResourcesEmissions!$B$79-Hypotheses!$D$31*Hypotheses!J59)</f>
        <v>132.50221525657034</v>
      </c>
      <c r="Z95" s="115"/>
      <c r="AA95" s="126">
        <f>C95*(ResourcesEmissions!$C$79-Hypotheses!$D$30*Hypotheses!H59+(1-Hypotheses!H59)*Hypotheses!$D$14+Hypotheses!H59*Hypotheses!$D$19)</f>
        <v>134.68350582476742</v>
      </c>
      <c r="AB95" s="126">
        <f>C95*(ResourcesEmissions!$C$79-Hypotheses!$D$30*Hypotheses!I59+(1-Hypotheses!I59)*Hypotheses!$D$14+Hypotheses!I59*Hypotheses!$D$19)</f>
        <v>121.02487455384542</v>
      </c>
      <c r="AC95" s="126">
        <f>C95*(ResourcesEmissions!$C$79-Hypotheses!$D$30*Hypotheses!J59+(1-Hypotheses!J59)*Hypotheses!$D$14+Hypotheses!J59*Hypotheses!$D$19)</f>
        <v>103.95158546519291</v>
      </c>
      <c r="AD95" s="115"/>
      <c r="AE95" s="126">
        <f>C95*(ResourcesEmissions!$C$79-Hypotheses!$D$30*Hypotheses!H59+(1-Hypotheses!H59)*Hypotheses!$D$14+Hypotheses!H59*Hypotheses!$D$21)</f>
        <v>134.90085582476743</v>
      </c>
      <c r="AF95" s="126">
        <f>C95*(ResourcesEmissions!$C$79-Hypotheses!$D$30*Hypotheses!I59+(1-Hypotheses!I59)*Hypotheses!$D$14+Hypotheses!I59*Hypotheses!$D$21)</f>
        <v>122.04567345213496</v>
      </c>
      <c r="AG95" s="126">
        <f>C95*(ResourcesEmissions!$C$79-Hypotheses!$D$30*Hypotheses!J59+(1-Hypotheses!J59)*Hypotheses!$D$14+Hypotheses!J59*Hypotheses!$D$21)</f>
        <v>105.97669548634434</v>
      </c>
      <c r="AH95" s="115"/>
      <c r="AI95" s="128">
        <f t="shared" si="26"/>
        <v>87237.417641902051</v>
      </c>
      <c r="AJ95" s="128">
        <f t="shared" si="27"/>
        <v>86405.530148122532</v>
      </c>
      <c r="AK95" s="128">
        <f t="shared" si="28"/>
        <v>85365.670780898159</v>
      </c>
      <c r="AL95" s="115"/>
      <c r="AM95" s="126">
        <f t="shared" si="29"/>
        <v>58316.31660105272</v>
      </c>
      <c r="AN95" s="126">
        <f t="shared" si="30"/>
        <v>58116.663602545639</v>
      </c>
      <c r="AO95" s="126">
        <f t="shared" si="31"/>
        <v>57867.097354411788</v>
      </c>
      <c r="AP95" s="115"/>
      <c r="AQ95" s="126">
        <f t="shared" si="32"/>
        <v>58316.31660105272</v>
      </c>
      <c r="AR95" s="126">
        <f t="shared" si="33"/>
        <v>58116.663602545639</v>
      </c>
      <c r="AS95" s="126">
        <f t="shared" si="34"/>
        <v>57867.097354411788</v>
      </c>
    </row>
    <row r="96" spans="1:45" x14ac:dyDescent="0.25">
      <c r="A96" s="94">
        <v>2041</v>
      </c>
      <c r="B96" s="139" cm="1">
        <f t="array" ref="B96">SUMPRODUCT((PARIS!$C$4:'PARIS'!$C$103=A96)*PARIS!$X$4:$X$103)+SUMPRODUCT((PARIS!$AA$4:'PARIS'!$AA$103=A96)*PARIS!$AQ$4:$AQ$103)+SUMPRODUCT((PARIS!$AB$4:'PARIS'!$AB$103=A96)*PARIS!$AQ$4:$AQ$103)</f>
        <v>124453.125</v>
      </c>
      <c r="C96" s="139" cm="1">
        <f t="array" ref="C96">SUMPRODUCT((PARIS!$C$4:'PARIS'!$C$103=A96)*PARIS!$Y$4:$Y$103)+SUMPRODUCT((PARIS!$AA$4:'PARIS'!$AA$103=A96)*PARIS!$AR$4:$AR$103)+SUMPRODUCT((PARIS!$AB$4:'PARIS'!$AB$103=A96)*PARIS!$AR$4:$AR$103)</f>
        <v>3764.0699999999997</v>
      </c>
      <c r="D96" s="136" cm="1">
        <f t="array" ref="D96">SUMPRODUCT((PARIS!$C$4:'PARIS'!$C$103=A96)*PARIS!$O$4:$O$103)+SUMPRODUCT((PARIS!$AA$4:'PARIS'!$AA$103=A96)*PARIS!$AM$4:$AM$103)+SUMPRODUCT((PARIS!$AB$4:'PARIS'!$AB$103=A96)*PARIS!$AM$4:$AM$103)</f>
        <v>1300.05</v>
      </c>
      <c r="E96" s="136" cm="1">
        <f t="array" ref="E96">SUMPRODUCT((PARIS!$C$4:'PARIS'!$C$103=A96)*PARIS!$R$4:$R$103)+SUMPRODUCT((PARIS!$AA$4:'PARIS'!$AA$103=A96)*PARIS!$AP$4:$AP$103)+SUMPRODUCT((PARIS!$AB$4:'PARIS'!$AB$103=A96)*PARIS!$AP$4:$AP$103)</f>
        <v>2464.02</v>
      </c>
      <c r="F96" s="136" cm="1">
        <f t="array" ref="F96">SUMPRODUCT((PARIS!$C$4:'PARIS'!$C$103=A96)*PARIS!$V$4:$V$103)+SUMPRODUCT((PARIS!$AA$4:'PARIS'!$AA$103=A96)*PARIS!$AS$4:$AS$103)+SUMPRODUCT((PARIS!$AB$4:'PARIS'!$AB$103=A96)*PARIS!$AS$4:$AS$103)</f>
        <v>214.16849999999997</v>
      </c>
      <c r="G96" s="136" cm="1">
        <f t="array" ref="G96">SUMPRODUCT((PARIS!$C$4:'PARIS'!$C$103=A96)*PARIS!$W$4:$W$103)+SUMPRODUCT((PARIS!$AA$4:'PARIS'!$AA$103=A96)*PARIS!$AT$4:$AT$103)+SUMPRODUCT((PARIS!$AB$4:'PARIS'!$AB$103=A96)*PARIS!$AT$4:$AT$103)</f>
        <v>126.53549999999998</v>
      </c>
      <c r="H96" s="115"/>
      <c r="I96" s="139">
        <f t="shared" si="12"/>
        <v>78741.755107619043</v>
      </c>
      <c r="J96" s="136">
        <f t="shared" si="13"/>
        <v>20408.564953333334</v>
      </c>
      <c r="K96" s="136">
        <f t="shared" si="14"/>
        <v>57274.790154285707</v>
      </c>
      <c r="L96" s="136">
        <f t="shared" si="15"/>
        <v>5262.5672819149486</v>
      </c>
      <c r="M96" s="136">
        <f t="shared" si="16"/>
        <v>3347.5711401959288</v>
      </c>
      <c r="N96" s="115"/>
      <c r="O96" s="131"/>
      <c r="P96" s="131"/>
      <c r="Q96" s="131"/>
      <c r="R96" s="115"/>
      <c r="S96" s="131"/>
      <c r="T96" s="131"/>
      <c r="U96" s="131"/>
      <c r="V96" s="115"/>
      <c r="W96" s="128">
        <f>C96*(ResourcesEmissions!$B$79-Hypotheses!$D$31*Hypotheses!H60)</f>
        <v>3943.6161389999993</v>
      </c>
      <c r="X96" s="128">
        <f>C96*(ResourcesEmissions!$B$79-Hypotheses!$D$31*Hypotheses!I60)</f>
        <v>3083.082772548355</v>
      </c>
      <c r="Y96" s="128">
        <f>C96*(ResourcesEmissions!$B$79-Hypotheses!$D$31*Hypotheses!J60)</f>
        <v>2007.4160644838005</v>
      </c>
      <c r="Z96" s="115"/>
      <c r="AA96" s="126">
        <f>C96*(ResourcesEmissions!$C$79-Hypotheses!$D$30*Hypotheses!H60+(1-Hypotheses!H60)*Hypotheses!$D$14+Hypotheses!H60*Hypotheses!$D$19)</f>
        <v>2099.2055642643159</v>
      </c>
      <c r="AB96" s="126">
        <f>C96*(ResourcesEmissions!$C$79-Hypotheses!$D$30*Hypotheses!I60+(1-Hypotheses!I60)*Hypotheses!$D$14+Hypotheses!I60*Hypotheses!$D$19)</f>
        <v>1879.7695558191469</v>
      </c>
      <c r="AC96" s="126">
        <f>C96*(ResourcesEmissions!$C$79-Hypotheses!$D$30*Hypotheses!J60+(1-Hypotheses!J60)*Hypotheses!$D$14+Hypotheses!J60*Hypotheses!$D$19)</f>
        <v>1605.4745452626858</v>
      </c>
      <c r="AD96" s="115"/>
      <c r="AE96" s="126">
        <f>C96*(ResourcesEmissions!$C$79-Hypotheses!$D$30*Hypotheses!H60+(1-Hypotheses!H60)*Hypotheses!$D$14+Hypotheses!H60*Hypotheses!$D$21)</f>
        <v>2102.5932272643158</v>
      </c>
      <c r="AF96" s="126">
        <f>C96*(ResourcesEmissions!$C$79-Hypotheses!$D$30*Hypotheses!I60+(1-Hypotheses!I60)*Hypotheses!$D$14+Hypotheses!I60*Hypotheses!$D$21)</f>
        <v>1896.0652193159215</v>
      </c>
      <c r="AG96" s="126">
        <f>C96*(ResourcesEmissions!$C$79-Hypotheses!$D$30*Hypotheses!J60+(1-Hypotheses!J60)*Hypotheses!$D$14+Hypotheses!J60*Hypotheses!$D$21)</f>
        <v>1637.9052093804287</v>
      </c>
      <c r="AH96" s="115"/>
      <c r="AI96" s="128">
        <f t="shared" si="26"/>
        <v>91181.033780902057</v>
      </c>
      <c r="AJ96" s="128">
        <f t="shared" si="27"/>
        <v>89488.612920670887</v>
      </c>
      <c r="AK96" s="128">
        <f t="shared" si="28"/>
        <v>87373.086845381957</v>
      </c>
      <c r="AL96" s="115"/>
      <c r="AM96" s="126">
        <f t="shared" si="29"/>
        <v>60418.909828317039</v>
      </c>
      <c r="AN96" s="126">
        <f t="shared" si="30"/>
        <v>60012.728821861558</v>
      </c>
      <c r="AO96" s="126">
        <f t="shared" si="31"/>
        <v>59505.002563792215</v>
      </c>
      <c r="AP96" s="115"/>
      <c r="AQ96" s="126">
        <f t="shared" si="32"/>
        <v>60418.909828317039</v>
      </c>
      <c r="AR96" s="126">
        <f t="shared" si="33"/>
        <v>60012.728821861558</v>
      </c>
      <c r="AS96" s="126">
        <f t="shared" si="34"/>
        <v>59505.002563792215</v>
      </c>
    </row>
    <row r="97" spans="1:45" x14ac:dyDescent="0.25">
      <c r="A97" s="94">
        <v>2042</v>
      </c>
      <c r="B97" s="139" cm="1">
        <f t="array" ref="B97">SUMPRODUCT((PARIS!$C$4:'PARIS'!$C$103=A97)*PARIS!$X$4:$X$103)+SUMPRODUCT((PARIS!$AA$4:'PARIS'!$AA$103=A97)*PARIS!$AQ$4:$AQ$103)+SUMPRODUCT((PARIS!$AB$4:'PARIS'!$AB$103=A97)*PARIS!$AQ$4:$AQ$103)</f>
        <v>10414.719999999999</v>
      </c>
      <c r="C97" s="139" cm="1">
        <f t="array" ref="C97">SUMPRODUCT((PARIS!$C$4:'PARIS'!$C$103=A97)*PARIS!$Y$4:$Y$103)+SUMPRODUCT((PARIS!$AA$4:'PARIS'!$AA$103=A97)*PARIS!$AR$4:$AR$103)+SUMPRODUCT((PARIS!$AB$4:'PARIS'!$AB$103=A97)*PARIS!$AR$4:$AR$103)</f>
        <v>400.94499999999999</v>
      </c>
      <c r="D97" s="136" cm="1">
        <f t="array" ref="D97">SUMPRODUCT((PARIS!$C$4:'PARIS'!$C$103=A97)*PARIS!$O$4:$O$103)+SUMPRODUCT((PARIS!$AA$4:'PARIS'!$AA$103=A97)*PARIS!$AM$4:$AM$103)+SUMPRODUCT((PARIS!$AB$4:'PARIS'!$AB$103=A97)*PARIS!$AM$4:$AM$103)</f>
        <v>0</v>
      </c>
      <c r="E97" s="136" cm="1">
        <f t="array" ref="E97">SUMPRODUCT((PARIS!$C$4:'PARIS'!$C$103=A97)*PARIS!$R$4:$R$103)+SUMPRODUCT((PARIS!$AA$4:'PARIS'!$AA$103=A97)*PARIS!$AP$4:$AP$103)+SUMPRODUCT((PARIS!$AB$4:'PARIS'!$AB$103=A97)*PARIS!$AP$4:$AP$103)</f>
        <v>400.94499999999999</v>
      </c>
      <c r="F97" s="136" cm="1">
        <f t="array" ref="F97">SUMPRODUCT((PARIS!$C$4:'PARIS'!$C$103=A97)*PARIS!$V$4:$V$103)+SUMPRODUCT((PARIS!$AA$4:'PARIS'!$AA$103=A97)*PARIS!$AS$4:$AS$103)+SUMPRODUCT((PARIS!$AB$4:'PARIS'!$AB$103=A97)*PARIS!$AS$4:$AS$103)</f>
        <v>29.929600000000001</v>
      </c>
      <c r="G97" s="136" cm="1">
        <f t="array" ref="G97">SUMPRODUCT((PARIS!$C$4:'PARIS'!$C$103=A97)*PARIS!$W$4:$W$103)+SUMPRODUCT((PARIS!$AA$4:'PARIS'!$AA$103=A97)*PARIS!$AT$4:$AT$103)+SUMPRODUCT((PARIS!$AB$4:'PARIS'!$AB$103=A97)*PARIS!$AT$4:$AT$103)</f>
        <v>29.929600000000001</v>
      </c>
      <c r="H97" s="115"/>
      <c r="I97" s="139">
        <f t="shared" si="12"/>
        <v>79142.70010761905</v>
      </c>
      <c r="J97" s="136">
        <f t="shared" si="13"/>
        <v>20408.564953333334</v>
      </c>
      <c r="K97" s="136">
        <f t="shared" si="14"/>
        <v>57675.735154285707</v>
      </c>
      <c r="L97" s="136">
        <f t="shared" si="15"/>
        <v>5292.496881914949</v>
      </c>
      <c r="M97" s="136">
        <f t="shared" si="16"/>
        <v>3377.5007401959288</v>
      </c>
      <c r="N97" s="115"/>
      <c r="O97" s="131"/>
      <c r="P97" s="131"/>
      <c r="Q97" s="131"/>
      <c r="R97" s="115"/>
      <c r="S97" s="131"/>
      <c r="T97" s="131"/>
      <c r="U97" s="131"/>
      <c r="V97" s="115"/>
      <c r="W97" s="128">
        <f>C97*(ResourcesEmissions!$B$79-Hypotheses!$D$31*Hypotheses!H61)</f>
        <v>420.07007649999991</v>
      </c>
      <c r="X97" s="128">
        <f>C97*(ResourcesEmissions!$B$79-Hypotheses!$D$31*Hypotheses!I61)</f>
        <v>326.6638986660646</v>
      </c>
      <c r="Y97" s="128">
        <f>C97*(ResourcesEmissions!$B$79-Hypotheses!$D$31*Hypotheses!J61)</f>
        <v>209.90617637364537</v>
      </c>
      <c r="Z97" s="115"/>
      <c r="AA97" s="126">
        <f>C97*(ResourcesEmissions!$C$79-Hypotheses!$D$30*Hypotheses!H61+(1-Hypotheses!H61)*Hypotheses!$D$14+Hypotheses!H61*Hypotheses!$D$19)</f>
        <v>223.60529293131006</v>
      </c>
      <c r="AB97" s="126">
        <f>C97*(ResourcesEmissions!$C$79-Hypotheses!$D$30*Hypotheses!I61+(1-Hypotheses!I61)*Hypotheses!$D$14+Hypotheses!I61*Hypotheses!$D$19)</f>
        <v>199.78671758365655</v>
      </c>
      <c r="AC97" s="126">
        <f>C97*(ResourcesEmissions!$C$79-Hypotheses!$D$30*Hypotheses!J61+(1-Hypotheses!J61)*Hypotheses!$D$14+Hypotheses!J61*Hypotheses!$D$19)</f>
        <v>170.01349839908968</v>
      </c>
      <c r="AD97" s="115"/>
      <c r="AE97" s="126">
        <f>C97*(ResourcesEmissions!$C$79-Hypotheses!$D$30*Hypotheses!H61+(1-Hypotheses!H61)*Hypotheses!$D$14+Hypotheses!H61*Hypotheses!$D$21)</f>
        <v>223.96614343131006</v>
      </c>
      <c r="AF97" s="126">
        <f>C97*(ResourcesEmissions!$C$79-Hypotheses!$D$30*Hypotheses!I61+(1-Hypotheses!I61)*Hypotheses!$D$14+Hypotheses!I61*Hypotheses!$D$21)</f>
        <v>201.54866075116558</v>
      </c>
      <c r="AG97" s="126">
        <f>C97*(ResourcesEmissions!$C$79-Hypotheses!$D$30*Hypotheses!J61+(1-Hypotheses!J61)*Hypotheses!$D$14+Hypotheses!J61*Hypotheses!$D$21)</f>
        <v>173.52680740098498</v>
      </c>
      <c r="AH97" s="115"/>
      <c r="AI97" s="128">
        <f t="shared" si="26"/>
        <v>91601.103857402049</v>
      </c>
      <c r="AJ97" s="128">
        <f t="shared" si="27"/>
        <v>89815.276819336956</v>
      </c>
      <c r="AK97" s="128">
        <f t="shared" si="28"/>
        <v>87582.993021755596</v>
      </c>
      <c r="AL97" s="115"/>
      <c r="AM97" s="126">
        <f t="shared" si="29"/>
        <v>60642.875971748348</v>
      </c>
      <c r="AN97" s="126">
        <f t="shared" si="30"/>
        <v>60214.277482612721</v>
      </c>
      <c r="AO97" s="126">
        <f t="shared" si="31"/>
        <v>59678.529371193203</v>
      </c>
      <c r="AP97" s="115"/>
      <c r="AQ97" s="126">
        <f t="shared" si="32"/>
        <v>60642.875971748348</v>
      </c>
      <c r="AR97" s="126">
        <f t="shared" si="33"/>
        <v>60214.277482612721</v>
      </c>
      <c r="AS97" s="126">
        <f t="shared" si="34"/>
        <v>59678.529371193203</v>
      </c>
    </row>
    <row r="98" spans="1:45" x14ac:dyDescent="0.25">
      <c r="A98" s="94">
        <v>2043</v>
      </c>
      <c r="B98" s="139" cm="1">
        <f t="array" ref="B98">SUMPRODUCT((PARIS!$C$4:'PARIS'!$C$103=A98)*PARIS!$X$4:$X$103)+SUMPRODUCT((PARIS!$AA$4:'PARIS'!$AA$103=A98)*PARIS!$AQ$4:$AQ$103)+SUMPRODUCT((PARIS!$AB$4:'PARIS'!$AB$103=A98)*PARIS!$AQ$4:$AQ$103)</f>
        <v>23299.719999999998</v>
      </c>
      <c r="C98" s="139" cm="1">
        <f t="array" ref="C98">SUMPRODUCT((PARIS!$C$4:'PARIS'!$C$103=A98)*PARIS!$Y$4:$Y$103)+SUMPRODUCT((PARIS!$AA$4:'PARIS'!$AA$103=A98)*PARIS!$AR$4:$AR$103)+SUMPRODUCT((PARIS!$AB$4:'PARIS'!$AB$103=A98)*PARIS!$AR$4:$AR$103)</f>
        <v>773.01519999999994</v>
      </c>
      <c r="D98" s="136" cm="1">
        <f t="array" ref="D98">SUMPRODUCT((PARIS!$C$4:'PARIS'!$C$103=A98)*PARIS!$O$4:$O$103)+SUMPRODUCT((PARIS!$AA$4:'PARIS'!$AA$103=A98)*PARIS!$AM$4:$AM$103)+SUMPRODUCT((PARIS!$AB$4:'PARIS'!$AB$103=A98)*PARIS!$AM$4:$AM$103)</f>
        <v>158.97359999999998</v>
      </c>
      <c r="E98" s="136" cm="1">
        <f t="array" ref="E98">SUMPRODUCT((PARIS!$C$4:'PARIS'!$C$103=A98)*PARIS!$R$4:$R$103)+SUMPRODUCT((PARIS!$AA$4:'PARIS'!$AA$103=A98)*PARIS!$AP$4:$AP$103)+SUMPRODUCT((PARIS!$AB$4:'PARIS'!$AB$103=A98)*PARIS!$AP$4:$AP$103)</f>
        <v>614.04160000000002</v>
      </c>
      <c r="F98" s="136" cm="1">
        <f t="array" ref="F98">SUMPRODUCT((PARIS!$C$4:'PARIS'!$C$103=A98)*PARIS!$V$4:$V$103)+SUMPRODUCT((PARIS!$AA$4:'PARIS'!$AA$103=A98)*PARIS!$AS$4:$AS$103)+SUMPRODUCT((PARIS!$AB$4:'PARIS'!$AB$103=A98)*PARIS!$AS$4:$AS$103)</f>
        <v>71.603000000000009</v>
      </c>
      <c r="G98" s="136" cm="1">
        <f t="array" ref="G98">SUMPRODUCT((PARIS!$C$4:'PARIS'!$C$103=A98)*PARIS!$W$4:$W$103)+SUMPRODUCT((PARIS!$AA$4:'PARIS'!$AA$103=A98)*PARIS!$AT$4:$AT$103)+SUMPRODUCT((PARIS!$AB$4:'PARIS'!$AB$103=A98)*PARIS!$AT$4:$AT$103)</f>
        <v>37.414999999999999</v>
      </c>
      <c r="H98" s="115"/>
      <c r="I98" s="139">
        <f t="shared" si="12"/>
        <v>79915.715307619044</v>
      </c>
      <c r="J98" s="136">
        <f t="shared" si="13"/>
        <v>20567.538553333336</v>
      </c>
      <c r="K98" s="136">
        <f t="shared" si="14"/>
        <v>58289.776754285704</v>
      </c>
      <c r="L98" s="136">
        <f t="shared" si="15"/>
        <v>5364.099881914949</v>
      </c>
      <c r="M98" s="136">
        <f t="shared" si="16"/>
        <v>3414.9157401959287</v>
      </c>
      <c r="N98" s="115"/>
      <c r="O98" s="131"/>
      <c r="P98" s="131"/>
      <c r="Q98" s="131"/>
      <c r="R98" s="115"/>
      <c r="S98" s="131"/>
      <c r="T98" s="131"/>
      <c r="U98" s="131"/>
      <c r="V98" s="115"/>
      <c r="W98" s="128">
        <f>C98*(ResourcesEmissions!$B$79-Hypotheses!$D$31*Hypotheses!H62)</f>
        <v>809.88802503999977</v>
      </c>
      <c r="X98" s="128">
        <f>C98*(ResourcesEmissions!$B$79-Hypotheses!$D$31*Hypotheses!I62)</f>
        <v>627.70124432586101</v>
      </c>
      <c r="Y98" s="128">
        <f>C98*(ResourcesEmissions!$B$79-Hypotheses!$D$31*Hypotheses!J62)</f>
        <v>399.96776843318747</v>
      </c>
      <c r="Z98" s="115"/>
      <c r="AA98" s="126">
        <f>C98*(ResourcesEmissions!$C$79-Hypotheses!$D$30*Hypotheses!H62+(1-Hypotheses!H62)*Hypotheses!$D$14+Hypotheses!H62*Hypotheses!$D$19)</f>
        <v>431.10723474879399</v>
      </c>
      <c r="AB98" s="126">
        <f>C98*(ResourcesEmissions!$C$79-Hypotheses!$D$30*Hypotheses!I62+(1-Hypotheses!I62)*Hypotheses!$D$14+Hypotheses!I62*Hypotheses!$D$19)</f>
        <v>384.64960566668861</v>
      </c>
      <c r="AC98" s="126">
        <f>C98*(ResourcesEmissions!$C$79-Hypotheses!$D$30*Hypotheses!J62+(1-Hypotheses!J62)*Hypotheses!$D$14+Hypotheses!J62*Hypotheses!$D$19)</f>
        <v>326.57756931405692</v>
      </c>
      <c r="AD98" s="115"/>
      <c r="AE98" s="126">
        <f>C98*(ResourcesEmissions!$C$79-Hypotheses!$D$30*Hypotheses!H62+(1-Hypotheses!H62)*Hypotheses!$D$14+Hypotheses!H62*Hypotheses!$D$21)</f>
        <v>431.80294842879402</v>
      </c>
      <c r="AF98" s="126">
        <f>C98*(ResourcesEmissions!$C$79-Hypotheses!$D$30*Hypotheses!I62+(1-Hypotheses!I62)*Hypotheses!$D$14+Hypotheses!I62*Hypotheses!$D$21)</f>
        <v>388.07812105740072</v>
      </c>
      <c r="AG98" s="126">
        <f>C98*(ResourcesEmissions!$C$79-Hypotheses!$D$30*Hypotheses!J62+(1-Hypotheses!J62)*Hypotheses!$D$14+Hypotheses!J62*Hypotheses!$D$21)</f>
        <v>333.42208684315909</v>
      </c>
      <c r="AH98" s="115"/>
      <c r="AI98" s="128">
        <f t="shared" si="26"/>
        <v>92410.991882442046</v>
      </c>
      <c r="AJ98" s="128">
        <f t="shared" si="27"/>
        <v>90442.978063662813</v>
      </c>
      <c r="AK98" s="128">
        <f t="shared" si="28"/>
        <v>87982.960790188779</v>
      </c>
      <c r="AL98" s="115"/>
      <c r="AM98" s="126">
        <f t="shared" si="29"/>
        <v>61074.678920177139</v>
      </c>
      <c r="AN98" s="126">
        <f t="shared" si="30"/>
        <v>60602.355603670119</v>
      </c>
      <c r="AO98" s="126">
        <f t="shared" si="31"/>
        <v>60011.951458036361</v>
      </c>
      <c r="AP98" s="115"/>
      <c r="AQ98" s="126">
        <f t="shared" si="32"/>
        <v>61074.678920177139</v>
      </c>
      <c r="AR98" s="126">
        <f t="shared" si="33"/>
        <v>60602.355603670119</v>
      </c>
      <c r="AS98" s="126">
        <f t="shared" si="34"/>
        <v>60011.951458036361</v>
      </c>
    </row>
    <row r="99" spans="1:45" x14ac:dyDescent="0.25">
      <c r="A99" s="94">
        <v>2044</v>
      </c>
      <c r="B99" s="139" cm="1">
        <f t="array" ref="B99">SUMPRODUCT((PARIS!$C$4:'PARIS'!$C$103=A99)*PARIS!$X$4:$X$103)+SUMPRODUCT((PARIS!$AA$4:'PARIS'!$AA$103=A99)*PARIS!$AQ$4:$AQ$103)+SUMPRODUCT((PARIS!$AB$4:'PARIS'!$AB$103=A99)*PARIS!$AQ$4:$AQ$103)</f>
        <v>39322</v>
      </c>
      <c r="C99" s="139" cm="1">
        <f t="array" ref="C99">SUMPRODUCT((PARIS!$C$4:'PARIS'!$C$103=A99)*PARIS!$Y$4:$Y$103)+SUMPRODUCT((PARIS!$AA$4:'PARIS'!$AA$103=A99)*PARIS!$AR$4:$AR$103)+SUMPRODUCT((PARIS!$AB$4:'PARIS'!$AB$103=A99)*PARIS!$AR$4:$AR$103)</f>
        <v>1440</v>
      </c>
      <c r="D99" s="136" cm="1">
        <f t="array" ref="D99">SUMPRODUCT((PARIS!$C$4:'PARIS'!$C$103=A99)*PARIS!$O$4:$O$103)+SUMPRODUCT((PARIS!$AA$4:'PARIS'!$AA$103=A99)*PARIS!$AM$4:$AM$103)+SUMPRODUCT((PARIS!$AB$4:'PARIS'!$AB$103=A99)*PARIS!$AM$4:$AM$103)</f>
        <v>188.28</v>
      </c>
      <c r="E99" s="136" cm="1">
        <f t="array" ref="E99">SUMPRODUCT((PARIS!$C$4:'PARIS'!$C$103=A99)*PARIS!$R$4:$R$103)+SUMPRODUCT((PARIS!$AA$4:'PARIS'!$AA$103=A99)*PARIS!$AP$4:$AP$103)+SUMPRODUCT((PARIS!$AB$4:'PARIS'!$AB$103=A99)*PARIS!$AP$4:$AP$103)</f>
        <v>1251.72</v>
      </c>
      <c r="F99" s="136" cm="1">
        <f t="array" ref="F99">SUMPRODUCT((PARIS!$C$4:'PARIS'!$C$103=A99)*PARIS!$V$4:$V$103)+SUMPRODUCT((PARIS!$AA$4:'PARIS'!$AA$103=A99)*PARIS!$AS$4:$AS$103)+SUMPRODUCT((PARIS!$AB$4:'PARIS'!$AB$103=A99)*PARIS!$AS$4:$AS$103)</f>
        <v>75.314666666666668</v>
      </c>
      <c r="G99" s="136" cm="1">
        <f t="array" ref="G99">SUMPRODUCT((PARIS!$C$4:'PARIS'!$C$103=A99)*PARIS!$W$4:$W$103)+SUMPRODUCT((PARIS!$AA$4:'PARIS'!$AA$103=A99)*PARIS!$AT$4:$AT$103)+SUMPRODUCT((PARIS!$AB$4:'PARIS'!$AB$103=A99)*PARIS!$AT$4:$AT$103)</f>
        <v>54.557333333333332</v>
      </c>
      <c r="H99" s="115"/>
      <c r="I99" s="139">
        <f t="shared" si="12"/>
        <v>81355.715307619044</v>
      </c>
      <c r="J99" s="136">
        <f t="shared" si="13"/>
        <v>20755.818553333334</v>
      </c>
      <c r="K99" s="136">
        <f t="shared" si="14"/>
        <v>59541.496754285705</v>
      </c>
      <c r="L99" s="136">
        <f t="shared" si="15"/>
        <v>5439.4145485816161</v>
      </c>
      <c r="M99" s="136">
        <f t="shared" si="16"/>
        <v>3469.4730735292619</v>
      </c>
      <c r="N99" s="115"/>
      <c r="O99" s="131"/>
      <c r="P99" s="131"/>
      <c r="Q99" s="131"/>
      <c r="R99" s="115"/>
      <c r="S99" s="131"/>
      <c r="T99" s="131"/>
      <c r="U99" s="131"/>
      <c r="V99" s="115"/>
      <c r="W99" s="128">
        <f>C99*(ResourcesEmissions!$B$79-Hypotheses!$D$31*Hypotheses!H63)</f>
        <v>1508.6879999999999</v>
      </c>
      <c r="X99" s="128">
        <f>C99*(ResourcesEmissions!$B$79-Hypotheses!$D$31*Hypotheses!I63)</f>
        <v>1166.8850873731328</v>
      </c>
      <c r="Y99" s="128">
        <f>C99*(ResourcesEmissions!$B$79-Hypotheses!$D$31*Hypotheses!J63)</f>
        <v>739.63144658954911</v>
      </c>
      <c r="Z99" s="115"/>
      <c r="AA99" s="126">
        <f>C99*(ResourcesEmissions!$C$79-Hypotheses!$D$30*Hypotheses!H63+(1-Hypotheses!H63)*Hypotheses!$D$14+Hypotheses!H63*Hypotheses!$D$19)</f>
        <v>803.08177386196735</v>
      </c>
      <c r="AB99" s="126">
        <f>C99*(ResourcesEmissions!$C$79-Hypotheses!$D$30*Hypotheses!I63+(1-Hypotheses!I63)*Hypotheses!$D$14+Hypotheses!I63*Hypotheses!$D$19)</f>
        <v>715.92203114211634</v>
      </c>
      <c r="AC99" s="126">
        <f>C99*(ResourcesEmissions!$C$79-Hypotheses!$D$30*Hypotheses!J63+(1-Hypotheses!J63)*Hypotheses!$D$14+Hypotheses!J63*Hypotheses!$D$19)</f>
        <v>606.97235274230252</v>
      </c>
      <c r="AD99" s="115"/>
      <c r="AE99" s="126">
        <f>C99*(ResourcesEmissions!$C$79-Hypotheses!$D$30*Hypotheses!H63+(1-Hypotheses!H63)*Hypotheses!$D$14+Hypotheses!H63*Hypotheses!$D$21)</f>
        <v>804.37777386196728</v>
      </c>
      <c r="AF99" s="126">
        <f>C99*(ResourcesEmissions!$C$79-Hypotheses!$D$30*Hypotheses!I63+(1-Hypotheses!I63)*Hypotheses!$D$14+Hypotheses!I63*Hypotheses!$D$21)</f>
        <v>722.34507483151936</v>
      </c>
      <c r="AG99" s="126">
        <f>C99*(ResourcesEmissions!$C$79-Hypotheses!$D$30*Hypotheses!J63+(1-Hypotheses!J63)*Hypotheses!$D$14+Hypotheses!J63*Hypotheses!$D$21)</f>
        <v>619.80420104345922</v>
      </c>
      <c r="AH99" s="115"/>
      <c r="AI99" s="128">
        <f t="shared" si="26"/>
        <v>93919.67988244204</v>
      </c>
      <c r="AJ99" s="128">
        <f t="shared" si="27"/>
        <v>91609.863151035941</v>
      </c>
      <c r="AK99" s="128">
        <f t="shared" si="28"/>
        <v>88722.592236778335</v>
      </c>
      <c r="AL99" s="115"/>
      <c r="AM99" s="126">
        <f t="shared" si="29"/>
        <v>61879.056694039107</v>
      </c>
      <c r="AN99" s="126">
        <f t="shared" si="30"/>
        <v>61324.700678501642</v>
      </c>
      <c r="AO99" s="126">
        <f t="shared" si="31"/>
        <v>60631.755659079819</v>
      </c>
      <c r="AP99" s="115"/>
      <c r="AQ99" s="126">
        <f t="shared" si="32"/>
        <v>61879.056694039107</v>
      </c>
      <c r="AR99" s="126">
        <f t="shared" si="33"/>
        <v>61324.700678501642</v>
      </c>
      <c r="AS99" s="126">
        <f t="shared" si="34"/>
        <v>60631.755659079819</v>
      </c>
    </row>
    <row r="100" spans="1:45" x14ac:dyDescent="0.25">
      <c r="A100" s="94">
        <v>2045</v>
      </c>
      <c r="B100" s="139" cm="1">
        <f t="array" ref="B100">SUMPRODUCT((PARIS!$C$4:'PARIS'!$C$103=A100)*PARIS!$X$4:$X$103)+SUMPRODUCT((PARIS!$AA$4:'PARIS'!$AA$103=A100)*PARIS!$AQ$4:$AQ$103)+SUMPRODUCT((PARIS!$AB$4:'PARIS'!$AB$103=A100)*PARIS!$AQ$4:$AQ$103)</f>
        <v>29241.576000000001</v>
      </c>
      <c r="C100" s="139" cm="1">
        <f t="array" ref="C100">SUMPRODUCT((PARIS!$C$4:'PARIS'!$C$103=A100)*PARIS!$Y$4:$Y$103)+SUMPRODUCT((PARIS!$AA$4:'PARIS'!$AA$103=A100)*PARIS!$AR$4:$AR$103)+SUMPRODUCT((PARIS!$AB$4:'PARIS'!$AB$103=A100)*PARIS!$AR$4:$AR$103)</f>
        <v>1271.0394000000001</v>
      </c>
      <c r="D100" s="136" cm="1">
        <f t="array" ref="D100">SUMPRODUCT((PARIS!$C$4:'PARIS'!$C$103=A100)*PARIS!$O$4:$O$103)+SUMPRODUCT((PARIS!$AA$4:'PARIS'!$AA$103=A100)*PARIS!$AM$4:$AM$103)+SUMPRODUCT((PARIS!$AB$4:'PARIS'!$AB$103=A100)*PARIS!$AM$4:$AM$103)</f>
        <v>0</v>
      </c>
      <c r="E100" s="136" cm="1">
        <f t="array" ref="E100">SUMPRODUCT((PARIS!$C$4:'PARIS'!$C$103=A100)*PARIS!$R$4:$R$103)+SUMPRODUCT((PARIS!$AA$4:'PARIS'!$AA$103=A100)*PARIS!$AP$4:$AP$103)+SUMPRODUCT((PARIS!$AB$4:'PARIS'!$AB$103=A100)*PARIS!$AP$4:$AP$103)</f>
        <v>1271.0394000000001</v>
      </c>
      <c r="F100" s="136" cm="1">
        <f t="array" ref="F100">SUMPRODUCT((PARIS!$C$4:'PARIS'!$C$103=A100)*PARIS!$V$4:$V$103)+SUMPRODUCT((PARIS!$AA$4:'PARIS'!$AA$103=A100)*PARIS!$AS$4:$AS$103)+SUMPRODUCT((PARIS!$AB$4:'PARIS'!$AB$103=A100)*PARIS!$AS$4:$AS$103)</f>
        <v>36.875280000000004</v>
      </c>
      <c r="G100" s="136" cm="1">
        <f t="array" ref="G100">SUMPRODUCT((PARIS!$C$4:'PARIS'!$C$103=A100)*PARIS!$W$4:$W$103)+SUMPRODUCT((PARIS!$AA$4:'PARIS'!$AA$103=A100)*PARIS!$AT$4:$AT$103)+SUMPRODUCT((PARIS!$AB$4:'PARIS'!$AB$103=A100)*PARIS!$AT$4:$AT$103)</f>
        <v>36.875280000000004</v>
      </c>
      <c r="H100" s="115"/>
      <c r="I100" s="139">
        <f t="shared" si="12"/>
        <v>82626.754707619039</v>
      </c>
      <c r="J100" s="136">
        <f t="shared" si="13"/>
        <v>20755.818553333334</v>
      </c>
      <c r="K100" s="136">
        <f t="shared" si="14"/>
        <v>60812.536154285706</v>
      </c>
      <c r="L100" s="136">
        <f t="shared" si="15"/>
        <v>5476.2898285816163</v>
      </c>
      <c r="M100" s="136">
        <f t="shared" si="16"/>
        <v>3506.3483535292621</v>
      </c>
      <c r="N100" s="115"/>
      <c r="O100" s="131"/>
      <c r="P100" s="131"/>
      <c r="Q100" s="131"/>
      <c r="R100" s="115"/>
      <c r="S100" s="131"/>
      <c r="T100" s="131"/>
      <c r="U100" s="131"/>
      <c r="V100" s="115"/>
      <c r="W100" s="128">
        <f>C100*(ResourcesEmissions!$B$79-Hypotheses!$D$31*Hypotheses!H64)</f>
        <v>1331.6679793799999</v>
      </c>
      <c r="X100" s="128">
        <f>C100*(ResourcesEmissions!$B$79-Hypotheses!$D$31*Hypotheses!I64)</f>
        <v>1028.6601739135422</v>
      </c>
      <c r="Y100" s="128">
        <f>C100*(ResourcesEmissions!$B$79-Hypotheses!$D$31*Hypotheses!J64)</f>
        <v>649.90041708046977</v>
      </c>
      <c r="Z100" s="115"/>
      <c r="AA100" s="126">
        <f>C100*(ResourcesEmissions!$C$79-Hypotheses!$D$30*Hypotheses!H64+(1-Hypotheses!H64)*Hypotheses!$D$14+Hypotheses!H64*Hypotheses!$D$19)</f>
        <v>708.85317777809075</v>
      </c>
      <c r="AB100" s="126">
        <f>C100*(ResourcesEmissions!$C$79-Hypotheses!$D$30*Hypotheses!I64+(1-Hypotheses!I64)*Hypotheses!$D$14+Hypotheses!I64*Hypotheses!$D$19)</f>
        <v>631.58618738414407</v>
      </c>
      <c r="AC100" s="126">
        <f>C100*(ResourcesEmissions!$C$79-Hypotheses!$D$30*Hypotheses!J64+(1-Hypotheses!J64)*Hypotheses!$D$14+Hypotheses!J64*Hypotheses!$D$19)</f>
        <v>535.00244939171068</v>
      </c>
      <c r="AD100" s="115"/>
      <c r="AE100" s="126">
        <f>C100*(ResourcesEmissions!$C$79-Hypotheses!$D$30*Hypotheses!H64+(1-Hypotheses!H64)*Hypotheses!$D$14+Hypotheses!H64*Hypotheses!$D$21)</f>
        <v>709.99711323809072</v>
      </c>
      <c r="AF100" s="126">
        <f>C100*(ResourcesEmissions!$C$79-Hypotheses!$D$30*Hypotheses!I64+(1-Hypotheses!I64)*Hypotheses!$D$14+Hypotheses!I64*Hypotheses!$D$21)</f>
        <v>637.2752399261409</v>
      </c>
      <c r="AG100" s="126">
        <f>C100*(ResourcesEmissions!$C$79-Hypotheses!$D$30*Hypotheses!J64+(1-Hypotheses!J64)*Hypotheses!$D$14+Hypotheses!J64*Hypotheses!$D$21)</f>
        <v>546.37289828620362</v>
      </c>
      <c r="AH100" s="115"/>
      <c r="AI100" s="128">
        <f t="shared" si="26"/>
        <v>95251.34786182204</v>
      </c>
      <c r="AJ100" s="128">
        <f t="shared" si="27"/>
        <v>92638.523324949478</v>
      </c>
      <c r="AK100" s="128">
        <f t="shared" si="28"/>
        <v>89372.492653858804</v>
      </c>
      <c r="AL100" s="115"/>
      <c r="AM100" s="126">
        <f t="shared" si="29"/>
        <v>62589.053807277196</v>
      </c>
      <c r="AN100" s="126">
        <f t="shared" si="30"/>
        <v>61961.975918427786</v>
      </c>
      <c r="AO100" s="126">
        <f t="shared" si="31"/>
        <v>61178.128557366021</v>
      </c>
      <c r="AP100" s="115"/>
      <c r="AQ100" s="126">
        <f t="shared" si="32"/>
        <v>62589.053807277196</v>
      </c>
      <c r="AR100" s="126">
        <f t="shared" si="33"/>
        <v>61961.975918427786</v>
      </c>
      <c r="AS100" s="126">
        <f t="shared" si="34"/>
        <v>61178.128557366021</v>
      </c>
    </row>
    <row r="101" spans="1:45" x14ac:dyDescent="0.25">
      <c r="A101" s="94">
        <v>2046</v>
      </c>
      <c r="B101" s="139" cm="1">
        <f t="array" ref="B101">SUMPRODUCT((PARIS!$C$4:'PARIS'!$C$103=A101)*PARIS!$X$4:$X$103)+SUMPRODUCT((PARIS!$AA$4:'PARIS'!$AA$103=A101)*PARIS!$AQ$4:$AQ$103)+SUMPRODUCT((PARIS!$AB$4:'PARIS'!$AB$103=A101)*PARIS!$AQ$4:$AQ$103)</f>
        <v>10764.683999999999</v>
      </c>
      <c r="C101" s="139" cm="1">
        <f t="array" ref="C101">SUMPRODUCT((PARIS!$C$4:'PARIS'!$C$103=A101)*PARIS!$Y$4:$Y$103)+SUMPRODUCT((PARIS!$AA$4:'PARIS'!$AA$103=A101)*PARIS!$AR$4:$AR$103)+SUMPRODUCT((PARIS!$AB$4:'PARIS'!$AB$103=A101)*PARIS!$AR$4:$AR$103)</f>
        <v>430.58735999999993</v>
      </c>
      <c r="D101" s="136" cm="1">
        <f t="array" ref="D101">SUMPRODUCT((PARIS!$C$4:'PARIS'!$C$103=A101)*PARIS!$O$4:$O$103)+SUMPRODUCT((PARIS!$AA$4:'PARIS'!$AA$103=A101)*PARIS!$AM$4:$AM$103)+SUMPRODUCT((PARIS!$AB$4:'PARIS'!$AB$103=A101)*PARIS!$AM$4:$AM$103)</f>
        <v>0</v>
      </c>
      <c r="E101" s="136" cm="1">
        <f t="array" ref="E101">SUMPRODUCT((PARIS!$C$4:'PARIS'!$C$103=A101)*PARIS!$R$4:$R$103)+SUMPRODUCT((PARIS!$AA$4:'PARIS'!$AA$103=A101)*PARIS!$AP$4:$AP$103)+SUMPRODUCT((PARIS!$AB$4:'PARIS'!$AB$103=A101)*PARIS!$AP$4:$AP$103)</f>
        <v>430.58735999999993</v>
      </c>
      <c r="F101" s="136" cm="1">
        <f t="array" ref="F101">SUMPRODUCT((PARIS!$C$4:'PARIS'!$C$103=A101)*PARIS!$V$4:$V$103)+SUMPRODUCT((PARIS!$AA$4:'PARIS'!$AA$103=A101)*PARIS!$AS$4:$AS$103)+SUMPRODUCT((PARIS!$AB$4:'PARIS'!$AB$103=A101)*PARIS!$AS$4:$AS$103)</f>
        <v>45.430199999999999</v>
      </c>
      <c r="G101" s="136" cm="1">
        <f t="array" ref="G101">SUMPRODUCT((PARIS!$C$4:'PARIS'!$C$103=A101)*PARIS!$W$4:$W$103)+SUMPRODUCT((PARIS!$AA$4:'PARIS'!$AA$103=A101)*PARIS!$AT$4:$AT$103)+SUMPRODUCT((PARIS!$AB$4:'PARIS'!$AB$103=A101)*PARIS!$AT$4:$AT$103)</f>
        <v>33.061800000000005</v>
      </c>
      <c r="H101" s="115"/>
      <c r="I101" s="139">
        <f t="shared" si="12"/>
        <v>83057.342067619044</v>
      </c>
      <c r="J101" s="136">
        <f t="shared" si="13"/>
        <v>20755.818553333334</v>
      </c>
      <c r="K101" s="136">
        <f t="shared" si="14"/>
        <v>61243.123514285704</v>
      </c>
      <c r="L101" s="136">
        <f t="shared" si="15"/>
        <v>5521.7200285816161</v>
      </c>
      <c r="M101" s="136">
        <f t="shared" si="16"/>
        <v>3539.4101535292621</v>
      </c>
      <c r="N101" s="115"/>
      <c r="O101" s="131"/>
      <c r="P101" s="131"/>
      <c r="Q101" s="131"/>
      <c r="R101" s="115"/>
      <c r="S101" s="131"/>
      <c r="T101" s="131"/>
      <c r="U101" s="131"/>
      <c r="V101" s="115"/>
      <c r="W101" s="128">
        <f>C101*(ResourcesEmissions!$B$79-Hypotheses!$D$31*Hypotheses!H65)</f>
        <v>451.12637707199985</v>
      </c>
      <c r="X101" s="128">
        <f>C101*(ResourcesEmissions!$B$79-Hypotheses!$D$31*Hypotheses!I65)</f>
        <v>348.20602263694173</v>
      </c>
      <c r="Y101" s="128">
        <f>C101*(ResourcesEmissions!$B$79-Hypotheses!$D$31*Hypotheses!J65)</f>
        <v>219.55557959311898</v>
      </c>
      <c r="Z101" s="115"/>
      <c r="AA101" s="126">
        <f>C101*(ResourcesEmissions!$C$79-Hypotheses!$D$30*Hypotheses!H65+(1-Hypotheses!H65)*Hypotheses!$D$14+Hypotheses!H65*Hypotheses!$D$19)</f>
        <v>240.13670893843155</v>
      </c>
      <c r="AB101" s="126">
        <f>C101*(ResourcesEmissions!$C$79-Hypotheses!$D$30*Hypotheses!I65+(1-Hypotheses!I65)*Hypotheses!$D$14+Hypotheses!I65*Hypotheses!$D$19)</f>
        <v>213.89201855749175</v>
      </c>
      <c r="AC101" s="126">
        <f>C101*(ResourcesEmissions!$C$79-Hypotheses!$D$30*Hypotheses!J65+(1-Hypotheses!J65)*Hypotheses!$D$14+Hypotheses!J65*Hypotheses!$D$19)</f>
        <v>181.08615558131697</v>
      </c>
      <c r="AD101" s="115"/>
      <c r="AE101" s="126">
        <f>C101*(ResourcesEmissions!$C$79-Hypotheses!$D$30*Hypotheses!H65+(1-Hypotheses!H65)*Hypotheses!$D$14+Hypotheses!H65*Hypotheses!$D$21)</f>
        <v>240.52423756243158</v>
      </c>
      <c r="AF101" s="126">
        <f>C101*(ResourcesEmissions!$C$79-Hypotheses!$D$30*Hypotheses!I65+(1-Hypotheses!I65)*Hypotheses!$D$14+Hypotheses!I65*Hypotheses!$D$21)</f>
        <v>215.82335249801764</v>
      </c>
      <c r="AG101" s="126">
        <f>C101*(ResourcesEmissions!$C$79-Hypotheses!$D$30*Hypotheses!J65+(1-Hypotheses!J65)*Hypotheses!$D$14+Hypotheses!J65*Hypotheses!$D$21)</f>
        <v>184.94724616750017</v>
      </c>
      <c r="AH101" s="115"/>
      <c r="AI101" s="128">
        <f t="shared" si="26"/>
        <v>95702.474238894036</v>
      </c>
      <c r="AJ101" s="128">
        <f t="shared" si="27"/>
        <v>92986.729347586413</v>
      </c>
      <c r="AK101" s="128">
        <f t="shared" si="28"/>
        <v>89592.048233451918</v>
      </c>
      <c r="AL101" s="115"/>
      <c r="AM101" s="126">
        <f t="shared" si="29"/>
        <v>62829.578044839625</v>
      </c>
      <c r="AN101" s="126">
        <f t="shared" si="30"/>
        <v>62177.799270925803</v>
      </c>
      <c r="AO101" s="126">
        <f t="shared" si="31"/>
        <v>61363.075803533524</v>
      </c>
      <c r="AP101" s="115"/>
      <c r="AQ101" s="126">
        <f t="shared" si="32"/>
        <v>62829.578044839625</v>
      </c>
      <c r="AR101" s="126">
        <f t="shared" si="33"/>
        <v>62177.799270925803</v>
      </c>
      <c r="AS101" s="126">
        <f t="shared" si="34"/>
        <v>61363.075803533524</v>
      </c>
    </row>
    <row r="102" spans="1:45" x14ac:dyDescent="0.25">
      <c r="A102" s="94">
        <v>2047</v>
      </c>
      <c r="B102" s="139" cm="1">
        <f t="array" ref="B102">SUMPRODUCT((PARIS!$C$4:'PARIS'!$C$103=A102)*PARIS!$X$4:$X$103)+SUMPRODUCT((PARIS!$AA$4:'PARIS'!$AA$103=A102)*PARIS!$AQ$4:$AQ$103)+SUMPRODUCT((PARIS!$AB$4:'PARIS'!$AB$103=A102)*PARIS!$AQ$4:$AQ$103)</f>
        <v>22005.399999999998</v>
      </c>
      <c r="C102" s="139" cm="1">
        <f t="array" ref="C102">SUMPRODUCT((PARIS!$C$4:'PARIS'!$C$103=A102)*PARIS!$Y$4:$Y$103)+SUMPRODUCT((PARIS!$AA$4:'PARIS'!$AA$103=A102)*PARIS!$AR$4:$AR$103)+SUMPRODUCT((PARIS!$AB$4:'PARIS'!$AB$103=A102)*PARIS!$AR$4:$AR$103)</f>
        <v>718.91199999999992</v>
      </c>
      <c r="D102" s="136" cm="1">
        <f t="array" ref="D102">SUMPRODUCT((PARIS!$C$4:'PARIS'!$C$103=A102)*PARIS!$O$4:$O$103)+SUMPRODUCT((PARIS!$AA$4:'PARIS'!$AA$103=A102)*PARIS!$AM$4:$AM$103)+SUMPRODUCT((PARIS!$AB$4:'PARIS'!$AB$103=A102)*PARIS!$AM$4:$AM$103)</f>
        <v>79.38</v>
      </c>
      <c r="E102" s="136" cm="1">
        <f t="array" ref="E102">SUMPRODUCT((PARIS!$C$4:'PARIS'!$C$103=A102)*PARIS!$R$4:$R$103)+SUMPRODUCT((PARIS!$AA$4:'PARIS'!$AA$103=A102)*PARIS!$AP$4:$AP$103)+SUMPRODUCT((PARIS!$AB$4:'PARIS'!$AB$103=A102)*PARIS!$AP$4:$AP$103)</f>
        <v>639.53199999999993</v>
      </c>
      <c r="F102" s="136" cm="1">
        <f t="array" ref="F102">SUMPRODUCT((PARIS!$C$4:'PARIS'!$C$103=A102)*PARIS!$V$4:$V$103)+SUMPRODUCT((PARIS!$AA$4:'PARIS'!$AA$103=A102)*PARIS!$AS$4:$AS$103)+SUMPRODUCT((PARIS!$AB$4:'PARIS'!$AB$103=A102)*PARIS!$AS$4:$AS$103)</f>
        <v>48.974533333333341</v>
      </c>
      <c r="G102" s="136" cm="1">
        <f t="array" ref="G102">SUMPRODUCT((PARIS!$C$4:'PARIS'!$C$103=A102)*PARIS!$W$4:$W$103)+SUMPRODUCT((PARIS!$AA$4:'PARIS'!$AA$103=A102)*PARIS!$AT$4:$AT$103)+SUMPRODUCT((PARIS!$AB$4:'PARIS'!$AB$103=A102)*PARIS!$AT$4:$AT$103)</f>
        <v>40.304533333333339</v>
      </c>
      <c r="H102" s="115"/>
      <c r="I102" s="139">
        <f t="shared" si="12"/>
        <v>83776.25406761904</v>
      </c>
      <c r="J102" s="136">
        <f t="shared" si="13"/>
        <v>20835.198553333335</v>
      </c>
      <c r="K102" s="136">
        <f t="shared" si="14"/>
        <v>61882.655514285703</v>
      </c>
      <c r="L102" s="136">
        <f t="shared" si="15"/>
        <v>5570.6945619149492</v>
      </c>
      <c r="M102" s="136">
        <f t="shared" si="16"/>
        <v>3579.7146868625955</v>
      </c>
      <c r="N102" s="115"/>
      <c r="O102" s="131"/>
      <c r="P102" s="131"/>
      <c r="Q102" s="131"/>
      <c r="R102" s="115"/>
      <c r="S102" s="131"/>
      <c r="T102" s="131"/>
      <c r="U102" s="131"/>
      <c r="V102" s="115"/>
      <c r="W102" s="128">
        <f>C102*(ResourcesEmissions!$B$79-Hypotheses!$D$31*Hypotheses!H66)</f>
        <v>753.20410239999978</v>
      </c>
      <c r="X102" s="128">
        <f>C102*(ResourcesEmissions!$B$79-Hypotheses!$D$31*Hypotheses!I66)</f>
        <v>581.09184603010772</v>
      </c>
      <c r="Y102" s="128">
        <f>C102*(ResourcesEmissions!$B$79-Hypotheses!$D$31*Hypotheses!J66)</f>
        <v>365.95152556774252</v>
      </c>
      <c r="Z102" s="115"/>
      <c r="AA102" s="126">
        <f>C102*(ResourcesEmissions!$C$79-Hypotheses!$D$30*Hypotheses!H66+(1-Hypotheses!H66)*Hypotheses!$D$14+Hypotheses!H66*Hypotheses!$D$19)</f>
        <v>400.93411403517678</v>
      </c>
      <c r="AB102" s="126">
        <f>C102*(ResourcesEmissions!$C$79-Hypotheses!$D$30*Hypotheses!I66+(1-Hypotheses!I66)*Hypotheses!$D$14+Hypotheses!I66*Hypotheses!$D$19)</f>
        <v>357.04548866085435</v>
      </c>
      <c r="AC102" s="126">
        <f>C102*(ResourcesEmissions!$C$79-Hypotheses!$D$30*Hypotheses!J66+(1-Hypotheses!J66)*Hypotheses!$D$14+Hypotheses!J66*Hypotheses!$D$19)</f>
        <v>302.18470694295121</v>
      </c>
      <c r="AD102" s="115"/>
      <c r="AE102" s="126">
        <f>C102*(ResourcesEmissions!$C$79-Hypotheses!$D$30*Hypotheses!H66+(1-Hypotheses!H66)*Hypotheses!$D$14+Hypotheses!H66*Hypotheses!$D$21)</f>
        <v>401.58113483517678</v>
      </c>
      <c r="AF102" s="126">
        <f>C102*(ResourcesEmissions!$C$79-Hypotheses!$D$30*Hypotheses!I66+(1-Hypotheses!I66)*Hypotheses!$D$14+Hypotheses!I66*Hypotheses!$D$21)</f>
        <v>360.27419330640276</v>
      </c>
      <c r="AG102" s="126">
        <f>C102*(ResourcesEmissions!$C$79-Hypotheses!$D$30*Hypotheses!J66+(1-Hypotheses!J66)*Hypotheses!$D$14+Hypotheses!J66*Hypotheses!$D$21)</f>
        <v>308.6405163954351</v>
      </c>
      <c r="AH102" s="115"/>
      <c r="AI102" s="128">
        <f t="shared" si="26"/>
        <v>96455.678341294042</v>
      </c>
      <c r="AJ102" s="128">
        <f t="shared" si="27"/>
        <v>93567.821193616517</v>
      </c>
      <c r="AK102" s="128">
        <f t="shared" si="28"/>
        <v>89957.999759019658</v>
      </c>
      <c r="AL102" s="115"/>
      <c r="AM102" s="126">
        <f t="shared" si="29"/>
        <v>63231.159179674803</v>
      </c>
      <c r="AN102" s="126">
        <f t="shared" si="30"/>
        <v>62538.073464232206</v>
      </c>
      <c r="AO102" s="126">
        <f t="shared" si="31"/>
        <v>61671.716319928957</v>
      </c>
      <c r="AP102" s="115"/>
      <c r="AQ102" s="126">
        <f t="shared" si="32"/>
        <v>63231.159179674803</v>
      </c>
      <c r="AR102" s="126">
        <f t="shared" si="33"/>
        <v>62538.073464232206</v>
      </c>
      <c r="AS102" s="126">
        <f t="shared" si="34"/>
        <v>61671.716319928957</v>
      </c>
    </row>
    <row r="103" spans="1:45" x14ac:dyDescent="0.25">
      <c r="A103" s="94">
        <v>2048</v>
      </c>
      <c r="B103" s="139" cm="1">
        <f t="array" ref="B103">SUMPRODUCT((PARIS!$C$4:'PARIS'!$C$103=A103)*PARIS!$X$4:$X$103)+SUMPRODUCT((PARIS!$AA$4:'PARIS'!$AA$103=A103)*PARIS!$AQ$4:$AQ$103)+SUMPRODUCT((PARIS!$AB$4:'PARIS'!$AB$103=A103)*PARIS!$AQ$4:$AQ$103)</f>
        <v>48027</v>
      </c>
      <c r="C103" s="139" cm="1">
        <f t="array" ref="C103">SUMPRODUCT((PARIS!$C$4:'PARIS'!$C$103=A103)*PARIS!$Y$4:$Y$103)+SUMPRODUCT((PARIS!$AA$4:'PARIS'!$AA$103=A103)*PARIS!$AR$4:$AR$103)+SUMPRODUCT((PARIS!$AB$4:'PARIS'!$AB$103=A103)*PARIS!$AR$4:$AR$103)</f>
        <v>1902.4649999999999</v>
      </c>
      <c r="D103" s="136" cm="1">
        <f t="array" ref="D103">SUMPRODUCT((PARIS!$C$4:'PARIS'!$C$103=A103)*PARIS!$O$4:$O$103)+SUMPRODUCT((PARIS!$AA$4:'PARIS'!$AA$103=A103)*PARIS!$AM$4:$AM$103)+SUMPRODUCT((PARIS!$AB$4:'PARIS'!$AB$103=A103)*PARIS!$AM$4:$AM$103)</f>
        <v>135</v>
      </c>
      <c r="E103" s="136" cm="1">
        <f t="array" ref="E103">SUMPRODUCT((PARIS!$C$4:'PARIS'!$C$103=A103)*PARIS!$R$4:$R$103)+SUMPRODUCT((PARIS!$AA$4:'PARIS'!$AA$103=A103)*PARIS!$AP$4:$AP$103)+SUMPRODUCT((PARIS!$AB$4:'PARIS'!$AB$103=A103)*PARIS!$AP$4:$AP$103)</f>
        <v>1767.4649999999999</v>
      </c>
      <c r="F103" s="136" cm="1">
        <f t="array" ref="F103">SUMPRODUCT((PARIS!$C$4:'PARIS'!$C$103=A103)*PARIS!$V$4:$V$103)+SUMPRODUCT((PARIS!$AA$4:'PARIS'!$AA$103=A103)*PARIS!$AS$4:$AS$103)+SUMPRODUCT((PARIS!$AB$4:'PARIS'!$AB$103=A103)*PARIS!$AS$4:$AS$103)</f>
        <v>137.2839619047619</v>
      </c>
      <c r="G103" s="136" cm="1">
        <f t="array" ref="G103">SUMPRODUCT((PARIS!$C$4:'PARIS'!$C$103=A103)*PARIS!$W$4:$W$103)+SUMPRODUCT((PARIS!$AA$4:'PARIS'!$AA$103=A103)*PARIS!$AT$4:$AT$103)+SUMPRODUCT((PARIS!$AB$4:'PARIS'!$AB$103=A103)*PARIS!$AT$4:$AT$103)</f>
        <v>84.560152380952388</v>
      </c>
      <c r="H103" s="115"/>
      <c r="I103" s="139">
        <f t="shared" ref="I103:I125" si="35">C103+I102</f>
        <v>85678.719067619037</v>
      </c>
      <c r="J103" s="136">
        <f t="shared" si="13"/>
        <v>20970.198553333335</v>
      </c>
      <c r="K103" s="136">
        <f t="shared" si="14"/>
        <v>63650.1205142857</v>
      </c>
      <c r="L103" s="136">
        <f t="shared" si="15"/>
        <v>5707.978523819711</v>
      </c>
      <c r="M103" s="136">
        <f t="shared" si="16"/>
        <v>3664.2748392435478</v>
      </c>
      <c r="N103" s="115"/>
      <c r="O103" s="131"/>
      <c r="P103" s="131"/>
      <c r="Q103" s="131"/>
      <c r="R103" s="115"/>
      <c r="S103" s="131"/>
      <c r="T103" s="131"/>
      <c r="U103" s="131"/>
      <c r="V103" s="115"/>
      <c r="W103" s="128">
        <f>C103*(ResourcesEmissions!$B$79-Hypotheses!$D$31*Hypotheses!H67)</f>
        <v>1993.2125804999996</v>
      </c>
      <c r="X103" s="128">
        <f>C103*(ResourcesEmissions!$B$79-Hypotheses!$D$31*Hypotheses!I67)</f>
        <v>1537.306407708495</v>
      </c>
      <c r="Y103" s="128">
        <f>C103*(ResourcesEmissions!$B$79-Hypotheses!$D$31*Hypotheses!J67)</f>
        <v>967.423691719114</v>
      </c>
      <c r="Z103" s="115"/>
      <c r="AA103" s="126">
        <f>C103*(ResourcesEmissions!$C$79-Hypotheses!$D$30*Hypotheses!H67+(1-Hypotheses!H67)*Hypotheses!$D$14+Hypotheses!H67*Hypotheses!$D$19)</f>
        <v>1060.9965047988246</v>
      </c>
      <c r="AB103" s="126">
        <f>C103*(ResourcesEmissions!$C$79-Hypotheses!$D$30*Hypotheses!I67+(1-Hypotheses!I67)*Hypotheses!$D$14+Hypotheses!I67*Hypotheses!$D$19)</f>
        <v>944.74043073699124</v>
      </c>
      <c r="AC103" s="126">
        <f>C103*(ResourcesEmissions!$C$79-Hypotheses!$D$30*Hypotheses!J67+(1-Hypotheses!J67)*Hypotheses!$D$14+Hypotheses!J67*Hypotheses!$D$19)</f>
        <v>799.42033815969899</v>
      </c>
      <c r="AD103" s="115"/>
      <c r="AE103" s="126">
        <f>C103*(ResourcesEmissions!$C$79-Hypotheses!$D$30*Hypotheses!H67+(1-Hypotheses!H67)*Hypotheses!$D$14+Hypotheses!H67*Hypotheses!$D$21)</f>
        <v>1062.7087232988247</v>
      </c>
      <c r="AF103" s="126">
        <f>C103*(ResourcesEmissions!$C$79-Hypotheses!$D$30*Hypotheses!I67+(1-Hypotheses!I67)*Hypotheses!$D$14+Hypotheses!I67*Hypotheses!$D$21)</f>
        <v>953.2912418288638</v>
      </c>
      <c r="AG103" s="126">
        <f>C103*(ResourcesEmissions!$C$79-Hypotheses!$D$30*Hypotheses!J67+(1-Hypotheses!J67)*Hypotheses!$D$14+Hypotheses!J67*Hypotheses!$D$21)</f>
        <v>816.51938999141225</v>
      </c>
      <c r="AH103" s="115"/>
      <c r="AI103" s="128">
        <f t="shared" si="26"/>
        <v>98448.890921794038</v>
      </c>
      <c r="AJ103" s="128">
        <f t="shared" si="27"/>
        <v>95105.127601325017</v>
      </c>
      <c r="AK103" s="128">
        <f t="shared" si="28"/>
        <v>90925.423450738774</v>
      </c>
      <c r="AL103" s="115"/>
      <c r="AM103" s="126">
        <f t="shared" si="29"/>
        <v>64293.86790297363</v>
      </c>
      <c r="AN103" s="126">
        <f t="shared" si="30"/>
        <v>63491.364706061067</v>
      </c>
      <c r="AO103" s="126">
        <f t="shared" si="31"/>
        <v>62488.235709920373</v>
      </c>
      <c r="AP103" s="115"/>
      <c r="AQ103" s="126">
        <f t="shared" si="32"/>
        <v>64293.86790297363</v>
      </c>
      <c r="AR103" s="126">
        <f t="shared" si="33"/>
        <v>63491.364706061067</v>
      </c>
      <c r="AS103" s="126">
        <f t="shared" si="34"/>
        <v>62488.235709920373</v>
      </c>
    </row>
    <row r="104" spans="1:45" x14ac:dyDescent="0.25">
      <c r="A104" s="94">
        <v>2049</v>
      </c>
      <c r="B104" s="139" cm="1">
        <f t="array" ref="B104">SUMPRODUCT((PARIS!$C$4:'PARIS'!$C$103=A104)*PARIS!$X$4:$X$103)+SUMPRODUCT((PARIS!$AA$4:'PARIS'!$AA$103=A104)*PARIS!$AQ$4:$AQ$103)+SUMPRODUCT((PARIS!$AB$4:'PARIS'!$AB$103=A104)*PARIS!$AQ$4:$AQ$103)</f>
        <v>4932</v>
      </c>
      <c r="C104" s="139" cm="1">
        <f t="array" ref="C104">SUMPRODUCT((PARIS!$C$4:'PARIS'!$C$103=A104)*PARIS!$Y$4:$Y$103)+SUMPRODUCT((PARIS!$AA$4:'PARIS'!$AA$103=A104)*PARIS!$AR$4:$AR$103)+SUMPRODUCT((PARIS!$AB$4:'PARIS'!$AB$103=A104)*PARIS!$AR$4:$AR$103)</f>
        <v>221.94</v>
      </c>
      <c r="D104" s="136" cm="1">
        <f t="array" ref="D104">SUMPRODUCT((PARIS!$C$4:'PARIS'!$C$103=A104)*PARIS!$O$4:$O$103)+SUMPRODUCT((PARIS!$AA$4:'PARIS'!$AA$103=A104)*PARIS!$AM$4:$AM$103)+SUMPRODUCT((PARIS!$AB$4:'PARIS'!$AB$103=A104)*PARIS!$AM$4:$AM$103)</f>
        <v>0</v>
      </c>
      <c r="E104" s="136" cm="1">
        <f t="array" ref="E104">SUMPRODUCT((PARIS!$C$4:'PARIS'!$C$103=A104)*PARIS!$R$4:$R$103)+SUMPRODUCT((PARIS!$AA$4:'PARIS'!$AA$103=A104)*PARIS!$AP$4:$AP$103)+SUMPRODUCT((PARIS!$AB$4:'PARIS'!$AB$103=A104)*PARIS!$AP$4:$AP$103)</f>
        <v>221.94</v>
      </c>
      <c r="F104" s="136" cm="1">
        <f t="array" ref="F104">SUMPRODUCT((PARIS!$C$4:'PARIS'!$C$103=A104)*PARIS!$V$4:$V$103)+SUMPRODUCT((PARIS!$AA$4:'PARIS'!$AA$103=A104)*PARIS!$AS$4:$AS$103)+SUMPRODUCT((PARIS!$AB$4:'PARIS'!$AB$103=A104)*PARIS!$AS$4:$AS$103)</f>
        <v>10.521600000000001</v>
      </c>
      <c r="G104" s="136" cm="1">
        <f t="array" ref="G104">SUMPRODUCT((PARIS!$C$4:'PARIS'!$C$103=A104)*PARIS!$W$4:$W$103)+SUMPRODUCT((PARIS!$AA$4:'PARIS'!$AA$103=A104)*PARIS!$AT$4:$AT$103)+SUMPRODUCT((PARIS!$AB$4:'PARIS'!$AB$103=A104)*PARIS!$AT$4:$AT$103)</f>
        <v>10.521600000000001</v>
      </c>
      <c r="H104" s="115"/>
      <c r="I104" s="139">
        <f t="shared" si="35"/>
        <v>85900.659067619039</v>
      </c>
      <c r="J104" s="136">
        <f t="shared" si="13"/>
        <v>20970.198553333335</v>
      </c>
      <c r="K104" s="136">
        <f t="shared" si="14"/>
        <v>63872.060514285702</v>
      </c>
      <c r="L104" s="136">
        <f t="shared" si="15"/>
        <v>5718.500123819711</v>
      </c>
      <c r="M104" s="136">
        <f t="shared" si="16"/>
        <v>3674.7964392435479</v>
      </c>
      <c r="N104" s="115"/>
      <c r="O104" s="131"/>
      <c r="P104" s="131"/>
      <c r="Q104" s="131"/>
      <c r="R104" s="115"/>
      <c r="S104" s="131"/>
      <c r="T104" s="131"/>
      <c r="U104" s="131"/>
      <c r="V104" s="115"/>
      <c r="W104" s="128">
        <f>C104*(ResourcesEmissions!$B$79-Hypotheses!$D$31*Hypotheses!H68)</f>
        <v>232.52653799999996</v>
      </c>
      <c r="X104" s="128">
        <f>C104*(ResourcesEmissions!$B$79-Hypotheses!$D$31*Hypotheses!I68)</f>
        <v>179.30946568850044</v>
      </c>
      <c r="Y104" s="128">
        <f>C104*(ResourcesEmissions!$B$79-Hypotheses!$D$31*Hypotheses!J68)</f>
        <v>112.78812529912602</v>
      </c>
      <c r="Z104" s="115"/>
      <c r="AA104" s="126">
        <f>C104*(ResourcesEmissions!$C$79-Hypotheses!$D$30*Hypotheses!H68+(1-Hypotheses!H68)*Hypotheses!$D$14+Hypotheses!H68*Hypotheses!$D$19)</f>
        <v>123.7749783964757</v>
      </c>
      <c r="AB104" s="126">
        <f>C104*(ResourcesEmissions!$C$79-Hypotheses!$D$30*Hypotheses!I68+(1-Hypotheses!I68)*Hypotheses!$D$14+Hypotheses!I68*Hypotheses!$D$19)</f>
        <v>110.20462495704335</v>
      </c>
      <c r="AC104" s="126">
        <f>C104*(ResourcesEmissions!$C$79-Hypotheses!$D$30*Hypotheses!J68+(1-Hypotheses!J68)*Hypotheses!$D$14+Hypotheses!J68*Hypotheses!$D$19)</f>
        <v>93.241683157752874</v>
      </c>
      <c r="AD104" s="115"/>
      <c r="AE104" s="126">
        <f>C104*(ResourcesEmissions!$C$79-Hypotheses!$D$30*Hypotheses!H68+(1-Hypotheses!H68)*Hypotheses!$D$14+Hypotheses!H68*Hypotheses!$D$21)</f>
        <v>123.97472439647571</v>
      </c>
      <c r="AF104" s="126">
        <f>C104*(ResourcesEmissions!$C$79-Hypotheses!$D$30*Hypotheses!I68+(1-Hypotheses!I68)*Hypotheses!$D$14+Hypotheses!I68*Hypotheses!$D$21)</f>
        <v>111.20262704171586</v>
      </c>
      <c r="AG104" s="126">
        <f>C104*(ResourcesEmissions!$C$79-Hypotheses!$D$30*Hypotheses!J68+(1-Hypotheses!J68)*Hypotheses!$D$14+Hypotheses!J68*Hypotheses!$D$21)</f>
        <v>95.237505348265984</v>
      </c>
      <c r="AH104" s="115"/>
      <c r="AI104" s="128">
        <f t="shared" si="26"/>
        <v>98681.417459794044</v>
      </c>
      <c r="AJ104" s="128">
        <f t="shared" si="27"/>
        <v>95284.43706701351</v>
      </c>
      <c r="AK104" s="128">
        <f t="shared" si="28"/>
        <v>91038.211576037895</v>
      </c>
      <c r="AL104" s="115"/>
      <c r="AM104" s="126">
        <f t="shared" si="29"/>
        <v>64417.842627370104</v>
      </c>
      <c r="AN104" s="126">
        <f t="shared" si="30"/>
        <v>63602.567333102787</v>
      </c>
      <c r="AO104" s="126">
        <f t="shared" si="31"/>
        <v>62583.473215268641</v>
      </c>
      <c r="AP104" s="115"/>
      <c r="AQ104" s="126">
        <f t="shared" si="32"/>
        <v>64417.842627370104</v>
      </c>
      <c r="AR104" s="126">
        <f t="shared" si="33"/>
        <v>63602.567333102787</v>
      </c>
      <c r="AS104" s="126">
        <f t="shared" si="34"/>
        <v>62583.473215268641</v>
      </c>
    </row>
    <row r="105" spans="1:45" x14ac:dyDescent="0.25">
      <c r="A105" s="94">
        <v>2050</v>
      </c>
      <c r="B105" s="139" cm="1">
        <f t="array" ref="B105">SUMPRODUCT((PARIS!$C$4:'PARIS'!$C$103=A105)*PARIS!$X$4:$X$103)+SUMPRODUCT((PARIS!$AA$4:'PARIS'!$AA$103=A105)*PARIS!$AQ$4:$AQ$103)+SUMPRODUCT((PARIS!$AB$4:'PARIS'!$AB$103=A105)*PARIS!$AQ$4:$AQ$103)</f>
        <v>18953.27</v>
      </c>
      <c r="C105" s="139" cm="1">
        <f t="array" ref="C105">SUMPRODUCT((PARIS!$C$4:'PARIS'!$C$103=A105)*PARIS!$Y$4:$Y$103)+SUMPRODUCT((PARIS!$AA$4:'PARIS'!$AA$103=A105)*PARIS!$AR$4:$AR$103)+SUMPRODUCT((PARIS!$AB$4:'PARIS'!$AB$103=A105)*PARIS!$AR$4:$AR$103)</f>
        <v>852.89715000000001</v>
      </c>
      <c r="D105" s="136" cm="1">
        <f t="array" ref="D105">SUMPRODUCT((PARIS!$C$4:'PARIS'!$C$103=A105)*PARIS!$O$4:$O$103)+SUMPRODUCT((PARIS!$AA$4:'PARIS'!$AA$103=A105)*PARIS!$AM$4:$AM$103)+SUMPRODUCT((PARIS!$AB$4:'PARIS'!$AB$103=A105)*PARIS!$AM$4:$AM$103)</f>
        <v>0</v>
      </c>
      <c r="E105" s="136" cm="1">
        <f t="array" ref="E105">SUMPRODUCT((PARIS!$C$4:'PARIS'!$C$103=A105)*PARIS!$R$4:$R$103)+SUMPRODUCT((PARIS!$AA$4:'PARIS'!$AA$103=A105)*PARIS!$AP$4:$AP$103)+SUMPRODUCT((PARIS!$AB$4:'PARIS'!$AB$103=A105)*PARIS!$AP$4:$AP$103)</f>
        <v>852.89715000000001</v>
      </c>
      <c r="F105" s="136" cm="1">
        <f t="array" ref="F105">SUMPRODUCT((PARIS!$C$4:'PARIS'!$C$103=A105)*PARIS!$V$4:$V$103)+SUMPRODUCT((PARIS!$AA$4:'PARIS'!$AA$103=A105)*PARIS!$AS$4:$AS$103)+SUMPRODUCT((PARIS!$AB$4:'PARIS'!$AB$103=A105)*PARIS!$AS$4:$AS$103)</f>
        <v>79.408000000000001</v>
      </c>
      <c r="G105" s="136" cm="1">
        <f t="array" ref="G105">SUMPRODUCT((PARIS!$C$4:'PARIS'!$C$103=A105)*PARIS!$W$4:$W$103)+SUMPRODUCT((PARIS!$AA$4:'PARIS'!$AA$103=A105)*PARIS!$AT$4:$AT$103)+SUMPRODUCT((PARIS!$AB$4:'PARIS'!$AB$103=A105)*PARIS!$AT$4:$AT$103)</f>
        <v>47.404000000000003</v>
      </c>
      <c r="H105" s="115"/>
      <c r="I105" s="139">
        <f t="shared" si="35"/>
        <v>86753.556217619043</v>
      </c>
      <c r="J105" s="136">
        <f t="shared" si="13"/>
        <v>20970.198553333335</v>
      </c>
      <c r="K105" s="136">
        <f t="shared" si="14"/>
        <v>64724.957664285699</v>
      </c>
      <c r="L105" s="136">
        <f t="shared" si="15"/>
        <v>5797.9081238197114</v>
      </c>
      <c r="M105" s="136">
        <f t="shared" si="16"/>
        <v>3722.2004392435479</v>
      </c>
      <c r="N105" s="115"/>
      <c r="O105" s="131"/>
      <c r="P105" s="131"/>
      <c r="Q105" s="131"/>
      <c r="R105" s="115"/>
      <c r="S105" s="131"/>
      <c r="T105" s="131"/>
      <c r="U105" s="131"/>
      <c r="V105" s="115"/>
      <c r="W105" s="128">
        <f>C105*(ResourcesEmissions!$B$79-Hypotheses!$D$31*Hypotheses!H69)</f>
        <v>893.58034405499984</v>
      </c>
      <c r="X105" s="128">
        <f>C105*(ResourcesEmissions!$B$79-Hypotheses!$D$31*Hypotheses!I69)</f>
        <v>688.99817925276307</v>
      </c>
      <c r="Y105" s="128">
        <f>C105*(ResourcesEmissions!$B$79-Hypotheses!$D$31*Hypotheses!J69)</f>
        <v>433.27047324996698</v>
      </c>
      <c r="Z105" s="115"/>
      <c r="AA105" s="126">
        <f>C105*(ResourcesEmissions!$C$79-Hypotheses!$D$30*Hypotheses!H69+(1-Hypotheses!H69)*Hypotheses!$D$14+Hypotheses!H69*Hypotheses!$D$19)</f>
        <v>475.6570528776503</v>
      </c>
      <c r="AB105" s="126">
        <f>C105*(ResourcesEmissions!$C$79-Hypotheses!$D$30*Hypotheses!I69+(1-Hypotheses!I69)*Hypotheses!$D$14+Hypotheses!I69*Hypotheses!$D$19)</f>
        <v>423.48860085307996</v>
      </c>
      <c r="AC105" s="126">
        <f>C105*(ResourcesEmissions!$C$79-Hypotheses!$D$30*Hypotheses!J69+(1-Hypotheses!J69)*Hypotheses!$D$14+Hypotheses!J69*Hypotheses!$D$19)</f>
        <v>358.27803582236697</v>
      </c>
      <c r="AD105" s="115"/>
      <c r="AE105" s="126">
        <f>C105*(ResourcesEmissions!$C$79-Hypotheses!$D$30*Hypotheses!H69+(1-Hypotheses!H69)*Hypotheses!$D$14+Hypotheses!H69*Hypotheses!$D$21)</f>
        <v>476.4246603126503</v>
      </c>
      <c r="AF105" s="126">
        <f>C105*(ResourcesEmissions!$C$79-Hypotheses!$D$30*Hypotheses!I69+(1-Hypotheses!I69)*Hypotheses!$D$14+Hypotheses!I69*Hypotheses!$D$21)</f>
        <v>427.32494076011352</v>
      </c>
      <c r="AG105" s="126">
        <f>C105*(ResourcesEmissions!$C$79-Hypotheses!$D$30*Hypotheses!J69+(1-Hypotheses!J69)*Hypotheses!$D$14+Hypotheses!J69*Hypotheses!$D$21)</f>
        <v>365.95029131944244</v>
      </c>
      <c r="AH105" s="115"/>
      <c r="AI105" s="128">
        <f t="shared" si="26"/>
        <v>99574.997803849037</v>
      </c>
      <c r="AJ105" s="128">
        <f t="shared" si="27"/>
        <v>95973.435246266279</v>
      </c>
      <c r="AK105" s="128">
        <f t="shared" si="28"/>
        <v>91471.482049287864</v>
      </c>
      <c r="AL105" s="115"/>
      <c r="AM105" s="126">
        <f t="shared" si="29"/>
        <v>64894.267287682756</v>
      </c>
      <c r="AN105" s="126">
        <f t="shared" si="30"/>
        <v>64029.892273862897</v>
      </c>
      <c r="AO105" s="126">
        <f t="shared" si="31"/>
        <v>62949.423506588086</v>
      </c>
      <c r="AP105" s="115"/>
      <c r="AQ105" s="126">
        <f t="shared" si="32"/>
        <v>64894.267287682756</v>
      </c>
      <c r="AR105" s="126">
        <f t="shared" si="33"/>
        <v>64029.892273862897</v>
      </c>
      <c r="AS105" s="126">
        <f t="shared" si="34"/>
        <v>62949.423506588086</v>
      </c>
    </row>
    <row r="106" spans="1:45" x14ac:dyDescent="0.25">
      <c r="A106" s="94">
        <v>2051</v>
      </c>
      <c r="B106" s="139" cm="1">
        <f t="array" ref="B106">SUMPRODUCT((PARIS!$C$4:'PARIS'!$C$103=A106)*PARIS!$X$4:$X$103)+SUMPRODUCT((PARIS!$AA$4:'PARIS'!$AA$103=A106)*PARIS!$AQ$4:$AQ$103)+SUMPRODUCT((PARIS!$AB$4:'PARIS'!$AB$103=A106)*PARIS!$AQ$4:$AQ$103)</f>
        <v>55700</v>
      </c>
      <c r="C106" s="139" cm="1">
        <f t="array" ref="C106">SUMPRODUCT((PARIS!$C$4:'PARIS'!$C$103=A106)*PARIS!$Y$4:$Y$103)+SUMPRODUCT((PARIS!$AA$4:'PARIS'!$AA$103=A106)*PARIS!$AR$4:$AR$103)+SUMPRODUCT((PARIS!$AB$4:'PARIS'!$AB$103=A106)*PARIS!$AR$4:$AR$103)</f>
        <v>1966.4999999999998</v>
      </c>
      <c r="D106" s="136" cm="1">
        <f t="array" ref="D106">SUMPRODUCT((PARIS!$C$4:'PARIS'!$C$103=A106)*PARIS!$O$4:$O$103)+SUMPRODUCT((PARIS!$AA$4:'PARIS'!$AA$103=A106)*PARIS!$AM$4:$AM$103)+SUMPRODUCT((PARIS!$AB$4:'PARIS'!$AB$103=A106)*PARIS!$AM$4:$AM$103)</f>
        <v>675</v>
      </c>
      <c r="E106" s="136" cm="1">
        <f t="array" ref="E106">SUMPRODUCT((PARIS!$C$4:'PARIS'!$C$103=A106)*PARIS!$R$4:$R$103)+SUMPRODUCT((PARIS!$AA$4:'PARIS'!$AA$103=A106)*PARIS!$AP$4:$AP$103)+SUMPRODUCT((PARIS!$AB$4:'PARIS'!$AB$103=A106)*PARIS!$AP$4:$AP$103)</f>
        <v>1291.4999999999998</v>
      </c>
      <c r="F106" s="136" cm="1">
        <f t="array" ref="F106">SUMPRODUCT((PARIS!$C$4:'PARIS'!$C$103=A106)*PARIS!$V$4:$V$103)+SUMPRODUCT((PARIS!$AA$4:'PARIS'!$AA$103=A106)*PARIS!$AS$4:$AS$103)+SUMPRODUCT((PARIS!$AB$4:'PARIS'!$AB$103=A106)*PARIS!$AS$4:$AS$103)</f>
        <v>119.05185185185184</v>
      </c>
      <c r="G106" s="136" cm="1">
        <f t="array" ref="G106">SUMPRODUCT((PARIS!$C$4:'PARIS'!$C$103=A106)*PARIS!$W$4:$W$103)+SUMPRODUCT((PARIS!$AA$4:'PARIS'!$AA$103=A106)*PARIS!$AT$4:$AT$103)+SUMPRODUCT((PARIS!$AB$4:'PARIS'!$AB$103=A106)*PARIS!$AT$4:$AT$103)</f>
        <v>59.525925925925918</v>
      </c>
      <c r="H106" s="115"/>
      <c r="I106" s="139">
        <f t="shared" si="35"/>
        <v>88720.056217619043</v>
      </c>
      <c r="J106" s="136">
        <f t="shared" si="13"/>
        <v>21645.198553333335</v>
      </c>
      <c r="K106" s="136">
        <f t="shared" si="14"/>
        <v>66016.457664285699</v>
      </c>
      <c r="L106" s="136">
        <f t="shared" si="15"/>
        <v>5916.9599756715634</v>
      </c>
      <c r="M106" s="136">
        <f t="shared" si="16"/>
        <v>3781.7263651694739</v>
      </c>
      <c r="N106" s="115"/>
      <c r="O106" s="131"/>
      <c r="P106" s="131"/>
      <c r="Q106" s="131"/>
      <c r="R106" s="115"/>
      <c r="S106" s="131"/>
      <c r="T106" s="131"/>
      <c r="U106" s="131"/>
      <c r="V106" s="115"/>
      <c r="W106" s="128">
        <f>C106*(ResourcesEmissions!$B$79-Hypotheses!$D$31*Hypotheses!H70)</f>
        <v>2060.3020499999993</v>
      </c>
      <c r="X106" s="128">
        <f>C106*(ResourcesEmissions!$B$79-Hypotheses!$D$31*Hypotheses!I70)</f>
        <v>1588.5003218475747</v>
      </c>
      <c r="Y106" s="128">
        <f>C106*(ResourcesEmissions!$B$79-Hypotheses!$D$31*Hypotheses!J70)</f>
        <v>998.7481616570434</v>
      </c>
      <c r="Z106" s="115"/>
      <c r="AA106" s="126">
        <f>C106*(ResourcesEmissions!$C$79-Hypotheses!$D$30*Hypotheses!H70+(1-Hypotheses!H70)*Hypotheses!$D$14+Hypotheses!H70*Hypotheses!$D$19)</f>
        <v>1096.7085474302489</v>
      </c>
      <c r="AB106" s="126">
        <f>C106*(ResourcesEmissions!$C$79-Hypotheses!$D$30*Hypotheses!I70+(1-Hypotheses!I70)*Hypotheses!$D$14+Hypotheses!I70*Hypotheses!$D$19)</f>
        <v>976.39910675138071</v>
      </c>
      <c r="AC106" s="126">
        <f>C106*(ResourcesEmissions!$C$79-Hypotheses!$D$30*Hypotheses!J70+(1-Hypotheses!J70)*Hypotheses!$D$14+Hypotheses!J70*Hypotheses!$D$19)</f>
        <v>826.01230590279522</v>
      </c>
      <c r="AD106" s="115"/>
      <c r="AE106" s="126">
        <f>C106*(ResourcesEmissions!$C$79-Hypotheses!$D$30*Hypotheses!H70+(1-Hypotheses!H70)*Hypotheses!$D$14+Hypotheses!H70*Hypotheses!$D$21)</f>
        <v>1098.4783974302491</v>
      </c>
      <c r="AF106" s="126">
        <f>C106*(ResourcesEmissions!$C$79-Hypotheses!$D$30*Hypotheses!I70+(1-Hypotheses!I70)*Hypotheses!$D$14+Hypotheses!I70*Hypotheses!$D$21)</f>
        <v>985.24598267366719</v>
      </c>
      <c r="AG106" s="126">
        <f>C106*(ResourcesEmissions!$C$79-Hypotheses!$D$30*Hypotheses!J70+(1-Hypotheses!J70)*Hypotheses!$D$14+Hypotheses!J70*Hypotheses!$D$21)</f>
        <v>843.7054642279395</v>
      </c>
      <c r="AH106" s="115"/>
      <c r="AI106" s="128">
        <f t="shared" si="26"/>
        <v>101635.29985384904</v>
      </c>
      <c r="AJ106" s="128">
        <f t="shared" si="27"/>
        <v>97561.935568113855</v>
      </c>
      <c r="AK106" s="128">
        <f t="shared" si="28"/>
        <v>92470.230210944908</v>
      </c>
      <c r="AL106" s="115"/>
      <c r="AM106" s="126">
        <f t="shared" si="29"/>
        <v>65992.745685113012</v>
      </c>
      <c r="AN106" s="126">
        <f t="shared" si="30"/>
        <v>65015.138256536564</v>
      </c>
      <c r="AO106" s="126">
        <f t="shared" si="31"/>
        <v>63793.128970816026</v>
      </c>
      <c r="AP106" s="115"/>
      <c r="AQ106" s="126">
        <f t="shared" si="32"/>
        <v>65992.745685113012</v>
      </c>
      <c r="AR106" s="126">
        <f t="shared" si="33"/>
        <v>65015.138256536564</v>
      </c>
      <c r="AS106" s="126">
        <f t="shared" si="34"/>
        <v>63793.128970816026</v>
      </c>
    </row>
    <row r="107" spans="1:45" x14ac:dyDescent="0.25">
      <c r="A107" s="94">
        <v>2052</v>
      </c>
      <c r="B107" s="139" cm="1">
        <f t="array" ref="B107">SUMPRODUCT((PARIS!$C$4:'PARIS'!$C$103=A107)*PARIS!$X$4:$X$103)+SUMPRODUCT((PARIS!$AA$4:'PARIS'!$AA$103=A107)*PARIS!$AQ$4:$AQ$103)+SUMPRODUCT((PARIS!$AB$4:'PARIS'!$AB$103=A107)*PARIS!$AQ$4:$AQ$103)</f>
        <v>23247</v>
      </c>
      <c r="C107" s="139" cm="1">
        <f t="array" ref="C107">SUMPRODUCT((PARIS!$C$4:'PARIS'!$C$103=A107)*PARIS!$Y$4:$Y$103)+SUMPRODUCT((PARIS!$AA$4:'PARIS'!$AA$103=A107)*PARIS!$AR$4:$AR$103)+SUMPRODUCT((PARIS!$AB$4:'PARIS'!$AB$103=A107)*PARIS!$AR$4:$AR$103)</f>
        <v>755.52749999999992</v>
      </c>
      <c r="D107" s="136" cm="1">
        <f t="array" ref="D107">SUMPRODUCT((PARIS!$C$4:'PARIS'!$C$103=A107)*PARIS!$O$4:$O$103)+SUMPRODUCT((PARIS!$AA$4:'PARIS'!$AA$103=A107)*PARIS!$AM$4:$AM$103)+SUMPRODUCT((PARIS!$AB$4:'PARIS'!$AB$103=A107)*PARIS!$AM$4:$AM$103)</f>
        <v>290.58749999999998</v>
      </c>
      <c r="E107" s="136" cm="1">
        <f t="array" ref="E107">SUMPRODUCT((PARIS!$C$4:'PARIS'!$C$103=A107)*PARIS!$R$4:$R$103)+SUMPRODUCT((PARIS!$AA$4:'PARIS'!$AA$103=A107)*PARIS!$AP$4:$AP$103)+SUMPRODUCT((PARIS!$AB$4:'PARIS'!$AB$103=A107)*PARIS!$AP$4:$AP$103)</f>
        <v>464.94</v>
      </c>
      <c r="F107" s="136" cm="1">
        <f t="array" ref="F107">SUMPRODUCT((PARIS!$C$4:'PARIS'!$C$103=A107)*PARIS!$V$4:$V$103)+SUMPRODUCT((PARIS!$AA$4:'PARIS'!$AA$103=A107)*PARIS!$AS$4:$AS$103)+SUMPRODUCT((PARIS!$AB$4:'PARIS'!$AB$103=A107)*PARIS!$AS$4:$AS$103)</f>
        <v>66.42</v>
      </c>
      <c r="G107" s="136" cm="1">
        <f t="array" ref="G107">SUMPRODUCT((PARIS!$C$4:'PARIS'!$C$103=A107)*PARIS!$W$4:$W$103)+SUMPRODUCT((PARIS!$AA$4:'PARIS'!$AA$103=A107)*PARIS!$AT$4:$AT$103)+SUMPRODUCT((PARIS!$AB$4:'PARIS'!$AB$103=A107)*PARIS!$AT$4:$AT$103)</f>
        <v>33.21</v>
      </c>
      <c r="H107" s="115"/>
      <c r="I107" s="139">
        <f t="shared" si="35"/>
        <v>89475.58371761904</v>
      </c>
      <c r="J107" s="136">
        <f t="shared" si="13"/>
        <v>21935.786053333337</v>
      </c>
      <c r="K107" s="136">
        <f t="shared" si="14"/>
        <v>66481.397664285701</v>
      </c>
      <c r="L107" s="136">
        <f t="shared" si="15"/>
        <v>5983.3799756715634</v>
      </c>
      <c r="M107" s="136">
        <f t="shared" si="16"/>
        <v>3814.9363651694739</v>
      </c>
      <c r="N107" s="115"/>
      <c r="O107" s="131"/>
      <c r="P107" s="131"/>
      <c r="Q107" s="131"/>
      <c r="R107" s="115"/>
      <c r="S107" s="131"/>
      <c r="T107" s="131"/>
      <c r="U107" s="131"/>
      <c r="V107" s="115"/>
      <c r="W107" s="128">
        <f>C107*(ResourcesEmissions!$B$79-Hypotheses!$D$31*Hypotheses!H71)</f>
        <v>791.56616174999976</v>
      </c>
      <c r="X107" s="128">
        <f>C107*(ResourcesEmissions!$B$79-Hypotheses!$D$31*Hypotheses!I71)</f>
        <v>610.27644847227884</v>
      </c>
      <c r="Y107" s="128">
        <f>C107*(ResourcesEmissions!$B$79-Hypotheses!$D$31*Hypotheses!J71)</f>
        <v>383.66430687512775</v>
      </c>
      <c r="Z107" s="115"/>
      <c r="AA107" s="126">
        <f>C107*(ResourcesEmissions!$C$79-Hypotheses!$D$30*Hypotheses!H71+(1-Hypotheses!H71)*Hypotheses!$D$14+Hypotheses!H71*Hypotheses!$D$19)</f>
        <v>421.35442007048431</v>
      </c>
      <c r="AB107" s="126">
        <f>C107*(ResourcesEmissions!$C$79-Hypotheses!$D$30*Hypotheses!I71+(1-Hypotheses!I71)*Hypotheses!$D$14+Hypotheses!I71*Hypotheses!$D$19)</f>
        <v>375.12554318466556</v>
      </c>
      <c r="AC107" s="126">
        <f>C107*(ResourcesEmissions!$C$79-Hypotheses!$D$30*Hypotheses!J71+(1-Hypotheses!J71)*Hypotheses!$D$14+Hypotheses!J71*Hypotheses!$D$19)</f>
        <v>317.33944707739198</v>
      </c>
      <c r="AD107" s="115"/>
      <c r="AE107" s="126">
        <f>C107*(ResourcesEmissions!$C$79-Hypotheses!$D$30*Hypotheses!H71+(1-Hypotheses!H71)*Hypotheses!$D$14+Hypotheses!H71*Hypotheses!$D$21)</f>
        <v>422.03439482048435</v>
      </c>
      <c r="AF107" s="126">
        <f>C107*(ResourcesEmissions!$C$79-Hypotheses!$D$30*Hypotheses!I71+(1-Hypotheses!I71)*Hypotheses!$D$14+Hypotheses!I71*Hypotheses!$D$21)</f>
        <v>378.52486363383133</v>
      </c>
      <c r="AG107" s="126">
        <f>C107*(ResourcesEmissions!$C$79-Hypotheses!$D$30*Hypotheses!J71+(1-Hypotheses!J71)*Hypotheses!$D$14+Hypotheses!J71*Hypotheses!$D$21)</f>
        <v>324.13794965051505</v>
      </c>
      <c r="AH107" s="115"/>
      <c r="AI107" s="128">
        <f t="shared" si="26"/>
        <v>102426.86601559904</v>
      </c>
      <c r="AJ107" s="128">
        <f t="shared" si="27"/>
        <v>98172.212016586127</v>
      </c>
      <c r="AK107" s="128">
        <f t="shared" si="28"/>
        <v>92853.894517820037</v>
      </c>
      <c r="AL107" s="115"/>
      <c r="AM107" s="126">
        <f t="shared" si="29"/>
        <v>66414.780079933495</v>
      </c>
      <c r="AN107" s="126">
        <f t="shared" si="30"/>
        <v>65393.663120170393</v>
      </c>
      <c r="AO107" s="126">
        <f t="shared" si="31"/>
        <v>64117.266920466544</v>
      </c>
      <c r="AP107" s="115"/>
      <c r="AQ107" s="126">
        <f t="shared" si="32"/>
        <v>66414.780079933495</v>
      </c>
      <c r="AR107" s="126">
        <f t="shared" si="33"/>
        <v>65393.663120170393</v>
      </c>
      <c r="AS107" s="126">
        <f t="shared" si="34"/>
        <v>64117.266920466544</v>
      </c>
    </row>
    <row r="108" spans="1:45" x14ac:dyDescent="0.25">
      <c r="A108" s="94">
        <v>2053</v>
      </c>
      <c r="B108" s="139" cm="1">
        <f t="array" ref="B108">SUMPRODUCT((PARIS!$C$4:'PARIS'!$C$103=A108)*PARIS!$X$4:$X$103)+SUMPRODUCT((PARIS!$AA$4:'PARIS'!$AA$103=A108)*PARIS!$AQ$4:$AQ$103)+SUMPRODUCT((PARIS!$AB$4:'PARIS'!$AB$103=A108)*PARIS!$AQ$4:$AQ$103)</f>
        <v>17640</v>
      </c>
      <c r="C108" s="139" cm="1">
        <f t="array" ref="C108">SUMPRODUCT((PARIS!$C$4:'PARIS'!$C$103=A108)*PARIS!$Y$4:$Y$103)+SUMPRODUCT((PARIS!$AA$4:'PARIS'!$AA$103=A108)*PARIS!$AR$4:$AR$103)+SUMPRODUCT((PARIS!$AB$4:'PARIS'!$AB$103=A108)*PARIS!$AR$4:$AR$103)</f>
        <v>1058.4000000000001</v>
      </c>
      <c r="D108" s="136" cm="1">
        <f t="array" ref="D108">SUMPRODUCT((PARIS!$C$4:'PARIS'!$C$103=A108)*PARIS!$O$4:$O$103)+SUMPRODUCT((PARIS!$AA$4:'PARIS'!$AA$103=A108)*PARIS!$AM$4:$AM$103)+SUMPRODUCT((PARIS!$AB$4:'PARIS'!$AB$103=A108)*PARIS!$AM$4:$AM$103)</f>
        <v>0</v>
      </c>
      <c r="E108" s="136" cm="1">
        <f t="array" ref="E108">SUMPRODUCT((PARIS!$C$4:'PARIS'!$C$103=A108)*PARIS!$R$4:$R$103)+SUMPRODUCT((PARIS!$AA$4:'PARIS'!$AA$103=A108)*PARIS!$AP$4:$AP$103)+SUMPRODUCT((PARIS!$AB$4:'PARIS'!$AB$103=A108)*PARIS!$AP$4:$AP$103)</f>
        <v>1058.4000000000001</v>
      </c>
      <c r="F108" s="136" cm="1">
        <f t="array" ref="F108">SUMPRODUCT((PARIS!$C$4:'PARIS'!$C$103=A108)*PARIS!$V$4:$V$103)+SUMPRODUCT((PARIS!$AA$4:'PARIS'!$AA$103=A108)*PARIS!$AS$4:$AS$103)+SUMPRODUCT((PARIS!$AB$4:'PARIS'!$AB$103=A108)*PARIS!$AS$4:$AS$103)</f>
        <v>22.819555555555553</v>
      </c>
      <c r="G108" s="136" cm="1">
        <f t="array" ref="G108">SUMPRODUCT((PARIS!$C$4:'PARIS'!$C$103=A108)*PARIS!$W$4:$W$103)+SUMPRODUCT((PARIS!$AA$4:'PARIS'!$AA$103=A108)*PARIS!$AT$4:$AT$103)+SUMPRODUCT((PARIS!$AB$4:'PARIS'!$AB$103=A108)*PARIS!$AT$4:$AT$103)</f>
        <v>34.229333333333329</v>
      </c>
      <c r="H108" s="115"/>
      <c r="I108" s="139">
        <f t="shared" si="35"/>
        <v>90533.983717619034</v>
      </c>
      <c r="J108" s="136">
        <f t="shared" si="13"/>
        <v>21935.786053333337</v>
      </c>
      <c r="K108" s="136">
        <f t="shared" si="14"/>
        <v>67539.797664285696</v>
      </c>
      <c r="L108" s="136">
        <f t="shared" si="15"/>
        <v>6006.1995312271192</v>
      </c>
      <c r="M108" s="136">
        <f t="shared" si="16"/>
        <v>3849.1656985028071</v>
      </c>
      <c r="N108" s="115"/>
      <c r="O108" s="131"/>
      <c r="P108" s="131"/>
      <c r="Q108" s="131"/>
      <c r="R108" s="115"/>
      <c r="S108" s="131"/>
      <c r="T108" s="131"/>
      <c r="U108" s="131"/>
      <c r="V108" s="115"/>
      <c r="W108" s="128">
        <f>C108*(ResourcesEmissions!$B$79-Hypotheses!$D$31*Hypotheses!H72)</f>
        <v>1108.8856799999999</v>
      </c>
      <c r="X108" s="128">
        <f>C108*(ResourcesEmissions!$B$79-Hypotheses!$D$31*Hypotheses!I72)</f>
        <v>854.90102419661378</v>
      </c>
      <c r="Y108" s="128">
        <f>C108*(ResourcesEmissions!$B$79-Hypotheses!$D$31*Hypotheses!J72)</f>
        <v>537.42020444238085</v>
      </c>
      <c r="Z108" s="115"/>
      <c r="AA108" s="126">
        <f>C108*(ResourcesEmissions!$C$79-Hypotheses!$D$30*Hypotheses!H72+(1-Hypotheses!H72)*Hypotheses!$D$14+Hypotheses!H72*Hypotheses!$D$19)</f>
        <v>590.26510378854607</v>
      </c>
      <c r="AB108" s="126">
        <f>C108*(ResourcesEmissions!$C$79-Hypotheses!$D$30*Hypotheses!I72+(1-Hypotheses!I72)*Hypotheses!$D$14+Hypotheses!I72*Hypotheses!$D$19)</f>
        <v>525.49901655868268</v>
      </c>
      <c r="AC108" s="126">
        <f>C108*(ResourcesEmissions!$C$79-Hypotheses!$D$30*Hypotheses!J72+(1-Hypotheses!J72)*Hypotheses!$D$14+Hypotheses!J72*Hypotheses!$D$19)</f>
        <v>444.54140752135322</v>
      </c>
      <c r="AD108" s="115"/>
      <c r="AE108" s="126">
        <f>C108*(ResourcesEmissions!$C$79-Hypotheses!$D$30*Hypotheses!H72+(1-Hypotheses!H72)*Hypotheses!$D$14+Hypotheses!H72*Hypotheses!$D$21)</f>
        <v>591.21766378854602</v>
      </c>
      <c r="AF108" s="126">
        <f>C108*(ResourcesEmissions!$C$79-Hypotheses!$D$30*Hypotheses!I72+(1-Hypotheses!I72)*Hypotheses!$D$14+Hypotheses!I72*Hypotheses!$D$21)</f>
        <v>530.26134639573343</v>
      </c>
      <c r="AG108" s="126">
        <f>C108*(ResourcesEmissions!$C$79-Hypotheses!$D$30*Hypotheses!J72+(1-Hypotheses!J72)*Hypotheses!$D$14+Hypotheses!J72*Hypotheses!$D$21)</f>
        <v>454.06594965471754</v>
      </c>
      <c r="AH108" s="115"/>
      <c r="AI108" s="128">
        <f t="shared" si="26"/>
        <v>103535.75169559904</v>
      </c>
      <c r="AJ108" s="128">
        <f t="shared" si="27"/>
        <v>99027.113040782744</v>
      </c>
      <c r="AK108" s="128">
        <f t="shared" si="28"/>
        <v>93391.314722262425</v>
      </c>
      <c r="AL108" s="115"/>
      <c r="AM108" s="126">
        <f t="shared" si="29"/>
        <v>67005.997743722037</v>
      </c>
      <c r="AN108" s="126">
        <f t="shared" si="30"/>
        <v>65923.924466566124</v>
      </c>
      <c r="AO108" s="126">
        <f t="shared" si="31"/>
        <v>64571.332870121259</v>
      </c>
      <c r="AP108" s="115"/>
      <c r="AQ108" s="126">
        <f t="shared" si="32"/>
        <v>67005.997743722037</v>
      </c>
      <c r="AR108" s="126">
        <f t="shared" si="33"/>
        <v>65923.924466566124</v>
      </c>
      <c r="AS108" s="126">
        <f t="shared" si="34"/>
        <v>64571.332870121259</v>
      </c>
    </row>
    <row r="109" spans="1:45" x14ac:dyDescent="0.25">
      <c r="A109" s="94">
        <v>2054</v>
      </c>
      <c r="B109" s="139" cm="1">
        <f t="array" ref="B109">SUMPRODUCT((PARIS!$C$4:'PARIS'!$C$103=A109)*PARIS!$X$4:$X$103)+SUMPRODUCT((PARIS!$AA$4:'PARIS'!$AA$103=A109)*PARIS!$AQ$4:$AQ$103)+SUMPRODUCT((PARIS!$AB$4:'PARIS'!$AB$103=A109)*PARIS!$AQ$4:$AQ$103)</f>
        <v>70971.679999999993</v>
      </c>
      <c r="C109" s="139" cm="1">
        <f t="array" ref="C109">SUMPRODUCT((PARIS!$C$4:'PARIS'!$C$103=A109)*PARIS!$Y$4:$Y$103)+SUMPRODUCT((PARIS!$AA$4:'PARIS'!$AA$103=A109)*PARIS!$AR$4:$AR$103)+SUMPRODUCT((PARIS!$AB$4:'PARIS'!$AB$103=A109)*PARIS!$AR$4:$AR$103)</f>
        <v>2732.2795999999998</v>
      </c>
      <c r="D109" s="136" cm="1">
        <f t="array" ref="D109">SUMPRODUCT((PARIS!$C$4:'PARIS'!$C$103=A109)*PARIS!$O$4:$O$103)+SUMPRODUCT((PARIS!$AA$4:'PARIS'!$AA$103=A109)*PARIS!$AM$4:$AM$103)+SUMPRODUCT((PARIS!$AB$4:'PARIS'!$AB$103=A109)*PARIS!$AM$4:$AM$103)</f>
        <v>901.15679999999998</v>
      </c>
      <c r="E109" s="136" cm="1">
        <f t="array" ref="E109">SUMPRODUCT((PARIS!$C$4:'PARIS'!$C$103=A109)*PARIS!$R$4:$R$103)+SUMPRODUCT((PARIS!$AA$4:'PARIS'!$AA$103=A109)*PARIS!$AP$4:$AP$103)+SUMPRODUCT((PARIS!$AB$4:'PARIS'!$AB$103=A109)*PARIS!$AP$4:$AP$103)</f>
        <v>1831.1227999999999</v>
      </c>
      <c r="F109" s="136" cm="1">
        <f t="array" ref="F109">SUMPRODUCT((PARIS!$C$4:'PARIS'!$C$103=A109)*PARIS!$V$4:$V$103)+SUMPRODUCT((PARIS!$AA$4:'PARIS'!$AA$103=A109)*PARIS!$AS$4:$AS$103)+SUMPRODUCT((PARIS!$AB$4:'PARIS'!$AB$103=A109)*PARIS!$AS$4:$AS$103)</f>
        <v>115.4928888888889</v>
      </c>
      <c r="G109" s="136" cm="1">
        <f t="array" ref="G109">SUMPRODUCT((PARIS!$C$4:'PARIS'!$C$103=A109)*PARIS!$W$4:$W$103)+SUMPRODUCT((PARIS!$AA$4:'PARIS'!$AA$103=A109)*PARIS!$AT$4:$AT$103)+SUMPRODUCT((PARIS!$AB$4:'PARIS'!$AB$103=A109)*PARIS!$AT$4:$AT$103)</f>
        <v>82.635333333333335</v>
      </c>
      <c r="H109" s="115"/>
      <c r="I109" s="139">
        <f t="shared" si="35"/>
        <v>93266.263317619028</v>
      </c>
      <c r="J109" s="136">
        <f t="shared" si="13"/>
        <v>22836.942853333338</v>
      </c>
      <c r="K109" s="136">
        <f t="shared" si="14"/>
        <v>69370.920464285693</v>
      </c>
      <c r="L109" s="136">
        <f t="shared" si="15"/>
        <v>6121.6924201160082</v>
      </c>
      <c r="M109" s="136">
        <f t="shared" si="16"/>
        <v>3931.8010318361403</v>
      </c>
      <c r="N109" s="115"/>
      <c r="O109" s="131"/>
      <c r="P109" s="131"/>
      <c r="Q109" s="131"/>
      <c r="R109" s="115"/>
      <c r="S109" s="131"/>
      <c r="T109" s="131"/>
      <c r="U109" s="131"/>
      <c r="V109" s="115"/>
      <c r="W109" s="128">
        <f>C109*(ResourcesEmissions!$B$79-Hypotheses!$D$31*Hypotheses!H73)</f>
        <v>2862.6093369199994</v>
      </c>
      <c r="X109" s="128">
        <f>C109*(ResourcesEmissions!$B$79-Hypotheses!$D$31*Hypotheses!I73)</f>
        <v>2206.9113131169352</v>
      </c>
      <c r="Y109" s="128">
        <f>C109*(ResourcesEmissions!$B$79-Hypotheses!$D$31*Hypotheses!J73)</f>
        <v>1387.2887833631044</v>
      </c>
      <c r="Z109" s="115"/>
      <c r="AA109" s="126">
        <f>C109*(ResourcesEmissions!$C$79-Hypotheses!$D$30*Hypotheses!H73+(1-Hypotheses!H73)*Hypotheses!$D$14+Hypotheses!H73*Hypotheses!$D$19)</f>
        <v>1523.7805193436573</v>
      </c>
      <c r="AB109" s="126">
        <f>C109*(ResourcesEmissions!$C$79-Hypotheses!$D$30*Hypotheses!I73+(1-Hypotheses!I73)*Hypotheses!$D$14+Hypotheses!I73*Hypotheses!$D$19)</f>
        <v>1356.5775232738761</v>
      </c>
      <c r="AC109" s="126">
        <f>C109*(ResourcesEmissions!$C$79-Hypotheses!$D$30*Hypotheses!J73+(1-Hypotheses!J73)*Hypotheses!$D$14+Hypotheses!J73*Hypotheses!$D$19)</f>
        <v>1147.5737781866492</v>
      </c>
      <c r="AD109" s="115"/>
      <c r="AE109" s="126">
        <f>C109*(ResourcesEmissions!$C$79-Hypotheses!$D$30*Hypotheses!H73+(1-Hypotheses!H73)*Hypotheses!$D$14+Hypotheses!H73*Hypotheses!$D$21)</f>
        <v>1526.2395709836571</v>
      </c>
      <c r="AF109" s="126">
        <f>C109*(ResourcesEmissions!$C$79-Hypotheses!$D$30*Hypotheses!I73+(1-Hypotheses!I73)*Hypotheses!$D$14+Hypotheses!I73*Hypotheses!$D$21)</f>
        <v>1368.8720452709222</v>
      </c>
      <c r="AG109" s="126">
        <f>C109*(ResourcesEmissions!$C$79-Hypotheses!$D$30*Hypotheses!J73+(1-Hypotheses!J73)*Hypotheses!$D$14+Hypotheses!J73*Hypotheses!$D$21)</f>
        <v>1172.1626381300025</v>
      </c>
      <c r="AH109" s="115"/>
      <c r="AI109" s="128">
        <f t="shared" ref="AI109:AI125" si="36">W109+AI108</f>
        <v>106398.36103251904</v>
      </c>
      <c r="AJ109" s="128">
        <f t="shared" ref="AJ109:AJ125" si="37">X109+AJ108</f>
        <v>101234.02435389967</v>
      </c>
      <c r="AK109" s="128">
        <f t="shared" ref="AK109:AK125" si="38">Y109+AK108</f>
        <v>94778.603505625535</v>
      </c>
      <c r="AL109" s="115"/>
      <c r="AM109" s="126">
        <f t="shared" si="29"/>
        <v>68532.237314705693</v>
      </c>
      <c r="AN109" s="126">
        <f t="shared" si="30"/>
        <v>67292.796511837048</v>
      </c>
      <c r="AO109" s="126">
        <f t="shared" si="31"/>
        <v>65743.495508251261</v>
      </c>
      <c r="AP109" s="115"/>
      <c r="AQ109" s="126">
        <f t="shared" si="32"/>
        <v>68532.237314705693</v>
      </c>
      <c r="AR109" s="126">
        <f t="shared" si="33"/>
        <v>67292.796511837048</v>
      </c>
      <c r="AS109" s="126">
        <f t="shared" si="34"/>
        <v>65743.495508251261</v>
      </c>
    </row>
    <row r="110" spans="1:45" x14ac:dyDescent="0.25">
      <c r="A110" s="94">
        <v>2055</v>
      </c>
      <c r="B110" s="139" cm="1">
        <f t="array" ref="B110">SUMPRODUCT((PARIS!$C$4:'PARIS'!$C$103=A110)*PARIS!$X$4:$X$103)+SUMPRODUCT((PARIS!$AA$4:'PARIS'!$AA$103=A110)*PARIS!$AQ$4:$AQ$103)+SUMPRODUCT((PARIS!$AB$4:'PARIS'!$AB$103=A110)*PARIS!$AQ$4:$AQ$103)</f>
        <v>9500</v>
      </c>
      <c r="C110" s="139" cm="1">
        <f t="array" ref="C110">SUMPRODUCT((PARIS!$C$4:'PARIS'!$C$103=A110)*PARIS!$Y$4:$Y$103)+SUMPRODUCT((PARIS!$AA$4:'PARIS'!$AA$103=A110)*PARIS!$AR$4:$AR$103)+SUMPRODUCT((PARIS!$AB$4:'PARIS'!$AB$103=A110)*PARIS!$AR$4:$AR$103)</f>
        <v>380</v>
      </c>
      <c r="D110" s="136" cm="1">
        <f t="array" ref="D110">SUMPRODUCT((PARIS!$C$4:'PARIS'!$C$103=A110)*PARIS!$O$4:$O$103)+SUMPRODUCT((PARIS!$AA$4:'PARIS'!$AA$103=A110)*PARIS!$AM$4:$AM$103)+SUMPRODUCT((PARIS!$AB$4:'PARIS'!$AB$103=A110)*PARIS!$AM$4:$AM$103)</f>
        <v>0</v>
      </c>
      <c r="E110" s="136" cm="1">
        <f t="array" ref="E110">SUMPRODUCT((PARIS!$C$4:'PARIS'!$C$103=A110)*PARIS!$R$4:$R$103)+SUMPRODUCT((PARIS!$AA$4:'PARIS'!$AA$103=A110)*PARIS!$AP$4:$AP$103)+SUMPRODUCT((PARIS!$AB$4:'PARIS'!$AB$103=A110)*PARIS!$AP$4:$AP$103)</f>
        <v>380</v>
      </c>
      <c r="F110" s="136" cm="1">
        <f t="array" ref="F110">SUMPRODUCT((PARIS!$C$4:'PARIS'!$C$103=A110)*PARIS!$V$4:$V$103)+SUMPRODUCT((PARIS!$AA$4:'PARIS'!$AA$103=A110)*PARIS!$AS$4:$AS$103)+SUMPRODUCT((PARIS!$AB$4:'PARIS'!$AB$103=A110)*PARIS!$AS$4:$AS$103)</f>
        <v>22</v>
      </c>
      <c r="G110" s="136" cm="1">
        <f t="array" ref="G110">SUMPRODUCT((PARIS!$C$4:'PARIS'!$C$103=A110)*PARIS!$W$4:$W$103)+SUMPRODUCT((PARIS!$AA$4:'PARIS'!$AA$103=A110)*PARIS!$AT$4:$AT$103)+SUMPRODUCT((PARIS!$AB$4:'PARIS'!$AB$103=A110)*PARIS!$AT$4:$AT$103)</f>
        <v>22</v>
      </c>
      <c r="H110" s="115"/>
      <c r="I110" s="139">
        <f t="shared" si="35"/>
        <v>93646.263317619028</v>
      </c>
      <c r="J110" s="136">
        <f t="shared" si="13"/>
        <v>22836.942853333338</v>
      </c>
      <c r="K110" s="136">
        <f t="shared" si="14"/>
        <v>69750.920464285693</v>
      </c>
      <c r="L110" s="136">
        <f t="shared" si="15"/>
        <v>6143.6924201160082</v>
      </c>
      <c r="M110" s="136">
        <f t="shared" si="16"/>
        <v>3953.8010318361403</v>
      </c>
      <c r="N110" s="115"/>
      <c r="O110" s="131"/>
      <c r="P110" s="131"/>
      <c r="Q110" s="131"/>
      <c r="R110" s="115"/>
      <c r="S110" s="131"/>
      <c r="T110" s="131"/>
      <c r="U110" s="131"/>
      <c r="V110" s="115"/>
      <c r="W110" s="128">
        <f>C110*(ResourcesEmissions!$B$79-Hypotheses!$D$31*Hypotheses!H74)</f>
        <v>398.12599999999992</v>
      </c>
      <c r="X110" s="128">
        <f>C110*(ResourcesEmissions!$B$79-Hypotheses!$D$31*Hypotheses!I74)</f>
        <v>306.93014028562561</v>
      </c>
      <c r="Y110" s="128">
        <f>C110*(ResourcesEmissions!$B$79-Hypotheses!$D$31*Hypotheses!J74)</f>
        <v>192.93531564265768</v>
      </c>
      <c r="Z110" s="115"/>
      <c r="AA110" s="126">
        <f>C110*(ResourcesEmissions!$C$79-Hypotheses!$D$30*Hypotheses!H74+(1-Hypotheses!H74)*Hypotheses!$D$14+Hypotheses!H74*Hypotheses!$D$19)</f>
        <v>211.92435699135248</v>
      </c>
      <c r="AB110" s="126">
        <f>C110*(ResourcesEmissions!$C$79-Hypotheses!$D$30*Hypotheses!I74+(1-Hypotheses!I74)*Hypotheses!$D$14+Hypotheses!I74*Hypotheses!$D$19)</f>
        <v>188.66941276418706</v>
      </c>
      <c r="AC110" s="126">
        <f>C110*(ResourcesEmissions!$C$79-Hypotheses!$D$30*Hypotheses!J74+(1-Hypotheses!J74)*Hypotheses!$D$14+Hypotheses!J74*Hypotheses!$D$19)</f>
        <v>159.60073248023025</v>
      </c>
      <c r="AD110" s="115"/>
      <c r="AE110" s="126">
        <f>C110*(ResourcesEmissions!$C$79-Hypotheses!$D$30*Hypotheses!H74+(1-Hypotheses!H74)*Hypotheses!$D$14+Hypotheses!H74*Hypotheses!$D$21)</f>
        <v>212.2663569913525</v>
      </c>
      <c r="AF110" s="126">
        <f>C110*(ResourcesEmissions!$C$79-Hypotheses!$D$30*Hypotheses!I74+(1-Hypotheses!I74)*Hypotheses!$D$14+Hypotheses!I74*Hypotheses!$D$21)</f>
        <v>190.37935065990266</v>
      </c>
      <c r="AG110" s="126">
        <f>C110*(ResourcesEmissions!$C$79-Hypotheses!$D$30*Hypotheses!J74+(1-Hypotheses!J74)*Hypotheses!$D$14+Hypotheses!J74*Hypotheses!$D$21)</f>
        <v>163.02059274559036</v>
      </c>
      <c r="AH110" s="115"/>
      <c r="AI110" s="128">
        <f t="shared" si="36"/>
        <v>106796.48703251904</v>
      </c>
      <c r="AJ110" s="128">
        <f t="shared" si="37"/>
        <v>101540.95449418529</v>
      </c>
      <c r="AK110" s="128">
        <f t="shared" si="38"/>
        <v>94971.538821268186</v>
      </c>
      <c r="AL110" s="115"/>
      <c r="AM110" s="126">
        <f t="shared" si="29"/>
        <v>68744.50367169705</v>
      </c>
      <c r="AN110" s="126">
        <f t="shared" si="30"/>
        <v>67483.175862496952</v>
      </c>
      <c r="AO110" s="126">
        <f t="shared" si="31"/>
        <v>65906.516100996858</v>
      </c>
      <c r="AP110" s="115"/>
      <c r="AQ110" s="126">
        <f t="shared" si="32"/>
        <v>68744.50367169705</v>
      </c>
      <c r="AR110" s="126">
        <f t="shared" si="33"/>
        <v>67483.175862496952</v>
      </c>
      <c r="AS110" s="126">
        <f t="shared" si="34"/>
        <v>65906.516100996858</v>
      </c>
    </row>
    <row r="111" spans="1:45" x14ac:dyDescent="0.25">
      <c r="A111" s="94">
        <v>2056</v>
      </c>
      <c r="B111" s="139" cm="1">
        <f t="array" ref="B111">SUMPRODUCT((PARIS!$C$4:'PARIS'!$C$103=A111)*PARIS!$X$4:$X$103)+SUMPRODUCT((PARIS!$AA$4:'PARIS'!$AA$103=A111)*PARIS!$AQ$4:$AQ$103)+SUMPRODUCT((PARIS!$AB$4:'PARIS'!$AB$103=A111)*PARIS!$AQ$4:$AQ$103)</f>
        <v>9828</v>
      </c>
      <c r="C111" s="139" cm="1">
        <f t="array" ref="C111">SUMPRODUCT((PARIS!$C$4:'PARIS'!$C$103=A111)*PARIS!$Y$4:$Y$103)+SUMPRODUCT((PARIS!$AA$4:'PARIS'!$AA$103=A111)*PARIS!$AR$4:$AR$103)+SUMPRODUCT((PARIS!$AB$4:'PARIS'!$AB$103=A111)*PARIS!$AR$4:$AR$103)</f>
        <v>466.20000000000005</v>
      </c>
      <c r="D111" s="136" cm="1">
        <f t="array" ref="D111">SUMPRODUCT((PARIS!$C$4:'PARIS'!$C$103=A111)*PARIS!$O$4:$O$103)+SUMPRODUCT((PARIS!$AA$4:'PARIS'!$AA$103=A111)*PARIS!$AM$4:$AM$103)+SUMPRODUCT((PARIS!$AB$4:'PARIS'!$AB$103=A111)*PARIS!$AM$4:$AM$103)</f>
        <v>239.4</v>
      </c>
      <c r="E111" s="136" cm="1">
        <f t="array" ref="E111">SUMPRODUCT((PARIS!$C$4:'PARIS'!$C$103=A111)*PARIS!$R$4:$R$103)+SUMPRODUCT((PARIS!$AA$4:'PARIS'!$AA$103=A111)*PARIS!$AP$4:$AP$103)+SUMPRODUCT((PARIS!$AB$4:'PARIS'!$AB$103=A111)*PARIS!$AP$4:$AP$103)</f>
        <v>226.8</v>
      </c>
      <c r="F111" s="136" cm="1">
        <f t="array" ref="F111">SUMPRODUCT((PARIS!$C$4:'PARIS'!$C$103=A111)*PARIS!$V$4:$V$103)+SUMPRODUCT((PARIS!$AA$4:'PARIS'!$AA$103=A111)*PARIS!$AS$4:$AS$103)+SUMPRODUCT((PARIS!$AB$4:'PARIS'!$AB$103=A111)*PARIS!$AS$4:$AS$103)</f>
        <v>11.016</v>
      </c>
      <c r="G111" s="136" cm="1">
        <f t="array" ref="G111">SUMPRODUCT((PARIS!$C$4:'PARIS'!$C$103=A111)*PARIS!$W$4:$W$103)+SUMPRODUCT((PARIS!$AA$4:'PARIS'!$AA$103=A111)*PARIS!$AT$4:$AT$103)+SUMPRODUCT((PARIS!$AB$4:'PARIS'!$AB$103=A111)*PARIS!$AT$4:$AT$103)</f>
        <v>6.48</v>
      </c>
      <c r="H111" s="115"/>
      <c r="I111" s="139">
        <f t="shared" si="35"/>
        <v>94112.463317619025</v>
      </c>
      <c r="J111" s="136">
        <f t="shared" si="13"/>
        <v>23076.342853333339</v>
      </c>
      <c r="K111" s="136">
        <f t="shared" si="14"/>
        <v>69977.720464285696</v>
      </c>
      <c r="L111" s="136">
        <f t="shared" si="15"/>
        <v>6154.7084201160078</v>
      </c>
      <c r="M111" s="136">
        <f t="shared" si="16"/>
        <v>3960.2810318361403</v>
      </c>
      <c r="N111" s="115"/>
      <c r="O111" s="131"/>
      <c r="P111" s="131"/>
      <c r="Q111" s="131"/>
      <c r="R111" s="115"/>
      <c r="S111" s="131"/>
      <c r="T111" s="131"/>
      <c r="U111" s="131"/>
      <c r="V111" s="115"/>
      <c r="W111" s="128">
        <f>C111*(ResourcesEmissions!$B$79-Hypotheses!$D$31*Hypotheses!H75)</f>
        <v>488.43773999999996</v>
      </c>
      <c r="X111" s="128">
        <f>C111*(ResourcesEmissions!$B$79-Hypotheses!$D$31*Hypotheses!I75)</f>
        <v>376.55282091340746</v>
      </c>
      <c r="Y111" s="128">
        <f>C111*(ResourcesEmissions!$B$79-Hypotheses!$D$31*Hypotheses!J75)</f>
        <v>236.69667205516674</v>
      </c>
      <c r="Z111" s="115"/>
      <c r="AA111" s="126">
        <f>C111*(ResourcesEmissions!$C$79-Hypotheses!$D$30*Hypotheses!H75+(1-Hypotheses!H75)*Hypotheses!$D$14+Hypotheses!H75*Hypotheses!$D$19)</f>
        <v>259.99772428781193</v>
      </c>
      <c r="AB111" s="126">
        <f>C111*(ResourcesEmissions!$C$79-Hypotheses!$D$30*Hypotheses!I75+(1-Hypotheses!I75)*Hypotheses!$D$14+Hypotheses!I75*Hypotheses!$D$19)</f>
        <v>231.46706992073086</v>
      </c>
      <c r="AC111" s="126">
        <f>C111*(ResourcesEmissions!$C$79-Hypotheses!$D$30*Hypotheses!J75+(1-Hypotheses!J75)*Hypotheses!$D$14+Hypotheses!J75*Hypotheses!$D$19)</f>
        <v>195.8037519618795</v>
      </c>
      <c r="AD111" s="115"/>
      <c r="AE111" s="126">
        <f>C111*(ResourcesEmissions!$C$79-Hypotheses!$D$30*Hypotheses!H75+(1-Hypotheses!H75)*Hypotheses!$D$14+Hypotheses!H75*Hypotheses!$D$21)</f>
        <v>260.41730428781193</v>
      </c>
      <c r="AF111" s="126">
        <f>C111*(ResourcesEmissions!$C$79-Hypotheses!$D$30*Hypotheses!I75+(1-Hypotheses!I75)*Hypotheses!$D$14+Hypotheses!I75*Hypotheses!$D$21)</f>
        <v>233.56492370702975</v>
      </c>
      <c r="AG111" s="126">
        <f>C111*(ResourcesEmissions!$C$79-Hypotheses!$D$30*Hypotheses!J75+(1-Hypotheses!J75)*Hypotheses!$D$14+Hypotheses!J75*Hypotheses!$D$21)</f>
        <v>199.99944798105201</v>
      </c>
      <c r="AH111" s="115"/>
      <c r="AI111" s="128">
        <f t="shared" si="36"/>
        <v>107284.92477251904</v>
      </c>
      <c r="AJ111" s="128">
        <f t="shared" si="37"/>
        <v>101917.5073150987</v>
      </c>
      <c r="AK111" s="128">
        <f t="shared" si="38"/>
        <v>95208.235493323358</v>
      </c>
      <c r="AL111" s="115"/>
      <c r="AM111" s="126">
        <f t="shared" si="29"/>
        <v>69004.92097598486</v>
      </c>
      <c r="AN111" s="126">
        <f t="shared" si="30"/>
        <v>67716.740786203984</v>
      </c>
      <c r="AO111" s="126">
        <f t="shared" si="31"/>
        <v>66106.515548977914</v>
      </c>
      <c r="AP111" s="115"/>
      <c r="AQ111" s="126">
        <f t="shared" si="32"/>
        <v>69004.92097598486</v>
      </c>
      <c r="AR111" s="126">
        <f t="shared" si="33"/>
        <v>67716.740786203984</v>
      </c>
      <c r="AS111" s="126">
        <f t="shared" si="34"/>
        <v>66106.515548977914</v>
      </c>
    </row>
    <row r="112" spans="1:45" x14ac:dyDescent="0.25">
      <c r="A112" s="94">
        <v>2057</v>
      </c>
      <c r="B112" s="139" cm="1">
        <f t="array" ref="B112">SUMPRODUCT((PARIS!$C$4:'PARIS'!$C$103=A112)*PARIS!$X$4:$X$103)+SUMPRODUCT((PARIS!$AA$4:'PARIS'!$AA$103=A112)*PARIS!$AQ$4:$AQ$103)+SUMPRODUCT((PARIS!$AB$4:'PARIS'!$AB$103=A112)*PARIS!$AQ$4:$AQ$103)</f>
        <v>6756.12</v>
      </c>
      <c r="C112" s="139" cm="1">
        <f t="array" ref="C112">SUMPRODUCT((PARIS!$C$4:'PARIS'!$C$103=A112)*PARIS!$Y$4:$Y$103)+SUMPRODUCT((PARIS!$AA$4:'PARIS'!$AA$103=A112)*PARIS!$AR$4:$AR$103)+SUMPRODUCT((PARIS!$AB$4:'PARIS'!$AB$103=A112)*PARIS!$AR$4:$AR$103)</f>
        <v>270.2448</v>
      </c>
      <c r="D112" s="136" cm="1">
        <f t="array" ref="D112">SUMPRODUCT((PARIS!$C$4:'PARIS'!$C$103=A112)*PARIS!$O$4:$O$103)+SUMPRODUCT((PARIS!$AA$4:'PARIS'!$AA$103=A112)*PARIS!$AM$4:$AM$103)+SUMPRODUCT((PARIS!$AB$4:'PARIS'!$AB$103=A112)*PARIS!$AM$4:$AM$103)</f>
        <v>0</v>
      </c>
      <c r="E112" s="136" cm="1">
        <f t="array" ref="E112">SUMPRODUCT((PARIS!$C$4:'PARIS'!$C$103=A112)*PARIS!$R$4:$R$103)+SUMPRODUCT((PARIS!$AA$4:'PARIS'!$AA$103=A112)*PARIS!$AP$4:$AP$103)+SUMPRODUCT((PARIS!$AB$4:'PARIS'!$AB$103=A112)*PARIS!$AP$4:$AP$103)</f>
        <v>270.2448</v>
      </c>
      <c r="F112" s="136" cm="1">
        <f t="array" ref="F112">SUMPRODUCT((PARIS!$C$4:'PARIS'!$C$103=A112)*PARIS!$V$4:$V$103)+SUMPRODUCT((PARIS!$AA$4:'PARIS'!$AA$103=A112)*PARIS!$AS$4:$AS$103)+SUMPRODUCT((PARIS!$AB$4:'PARIS'!$AB$103=A112)*PARIS!$AS$4:$AS$103)</f>
        <v>77.212800000000001</v>
      </c>
      <c r="G112" s="136" cm="1">
        <f t="array" ref="G112">SUMPRODUCT((PARIS!$C$4:'PARIS'!$C$103=A112)*PARIS!$W$4:$W$103)+SUMPRODUCT((PARIS!$AA$4:'PARIS'!$AA$103=A112)*PARIS!$AT$4:$AT$103)+SUMPRODUCT((PARIS!$AB$4:'PARIS'!$AB$103=A112)*PARIS!$AT$4:$AT$103)</f>
        <v>38.606400000000001</v>
      </c>
      <c r="H112" s="115"/>
      <c r="I112" s="139">
        <f t="shared" si="35"/>
        <v>94382.708117619026</v>
      </c>
      <c r="J112" s="136">
        <f t="shared" si="13"/>
        <v>23076.342853333339</v>
      </c>
      <c r="K112" s="136">
        <f t="shared" si="14"/>
        <v>70247.965264285696</v>
      </c>
      <c r="L112" s="136">
        <f t="shared" si="15"/>
        <v>6231.921220116008</v>
      </c>
      <c r="M112" s="136">
        <f t="shared" si="16"/>
        <v>3998.8874318361404</v>
      </c>
      <c r="N112" s="115"/>
      <c r="O112" s="131"/>
      <c r="P112" s="131"/>
      <c r="Q112" s="131"/>
      <c r="R112" s="115"/>
      <c r="S112" s="131"/>
      <c r="T112" s="131"/>
      <c r="U112" s="131"/>
      <c r="V112" s="115"/>
      <c r="W112" s="128">
        <f>C112*(ResourcesEmissions!$B$79-Hypotheses!$D$31*Hypotheses!H76)</f>
        <v>283.13547695999995</v>
      </c>
      <c r="X112" s="128">
        <f>C112*(ResourcesEmissions!$B$79-Hypotheses!$D$31*Hypotheses!I76)</f>
        <v>218.27780819337767</v>
      </c>
      <c r="Y112" s="128">
        <f>C112*(ResourcesEmissions!$B$79-Hypotheses!$D$31*Hypotheses!J76)</f>
        <v>137.20572223509978</v>
      </c>
      <c r="Z112" s="115"/>
      <c r="AA112" s="126">
        <f>C112*(ResourcesEmissions!$C$79-Hypotheses!$D$30*Hypotheses!H76+(1-Hypotheses!H76)*Hypotheses!$D$14+Hypotheses!H76*Hypotheses!$D$19)</f>
        <v>150.71435650067539</v>
      </c>
      <c r="AB112" s="126">
        <f>C112*(ResourcesEmissions!$C$79-Hypotheses!$D$30*Hypotheses!I76+(1-Hypotheses!I76)*Hypotheses!$D$14+Hypotheses!I76*Hypotheses!$D$19)</f>
        <v>134.17565096518672</v>
      </c>
      <c r="AC112" s="126">
        <f>C112*(ResourcesEmissions!$C$79-Hypotheses!$D$30*Hypotheses!J76+(1-Hypotheses!J76)*Hypotheses!$D$14+Hypotheses!J76*Hypotheses!$D$19)</f>
        <v>113.50226904582587</v>
      </c>
      <c r="AD112" s="115"/>
      <c r="AE112" s="126">
        <f>C112*(ResourcesEmissions!$C$79-Hypotheses!$D$30*Hypotheses!H76+(1-Hypotheses!H76)*Hypotheses!$D$14+Hypotheses!H76*Hypotheses!$D$21)</f>
        <v>150.9575768206754</v>
      </c>
      <c r="AF112" s="126">
        <f>C112*(ResourcesEmissions!$C$79-Hypotheses!$D$30*Hypotheses!I76+(1-Hypotheses!I76)*Hypotheses!$D$14+Hypotheses!I76*Hypotheses!$D$21)</f>
        <v>135.39173631668606</v>
      </c>
      <c r="AG112" s="126">
        <f>C112*(ResourcesEmissions!$C$79-Hypotheses!$D$30*Hypotheses!J76+(1-Hypotheses!J76)*Hypotheses!$D$14+Hypotheses!J76*Hypotheses!$D$21)</f>
        <v>115.93443568669937</v>
      </c>
      <c r="AH112" s="115"/>
      <c r="AI112" s="128">
        <f t="shared" si="36"/>
        <v>107568.06024947904</v>
      </c>
      <c r="AJ112" s="128">
        <f t="shared" si="37"/>
        <v>102135.78512329208</v>
      </c>
      <c r="AK112" s="128">
        <f t="shared" si="38"/>
        <v>95345.441215558458</v>
      </c>
      <c r="AL112" s="115"/>
      <c r="AM112" s="126">
        <f t="shared" si="29"/>
        <v>69155.87855280553</v>
      </c>
      <c r="AN112" s="126">
        <f t="shared" si="30"/>
        <v>67852.132522520667</v>
      </c>
      <c r="AO112" s="126">
        <f t="shared" si="31"/>
        <v>66222.449984664607</v>
      </c>
      <c r="AP112" s="115"/>
      <c r="AQ112" s="126">
        <f t="shared" si="32"/>
        <v>69155.87855280553</v>
      </c>
      <c r="AR112" s="126">
        <f t="shared" si="33"/>
        <v>67852.132522520667</v>
      </c>
      <c r="AS112" s="126">
        <f t="shared" si="34"/>
        <v>66222.449984664607</v>
      </c>
    </row>
    <row r="113" spans="1:45" x14ac:dyDescent="0.25">
      <c r="A113" s="94">
        <v>2058</v>
      </c>
      <c r="B113" s="139" cm="1">
        <f t="array" ref="B113">SUMPRODUCT((PARIS!$C$4:'PARIS'!$C$103=A113)*PARIS!$X$4:$X$103)+SUMPRODUCT((PARIS!$AA$4:'PARIS'!$AA$103=A113)*PARIS!$AQ$4:$AQ$103)+SUMPRODUCT((PARIS!$AB$4:'PARIS'!$AB$103=A113)*PARIS!$AQ$4:$AQ$103)</f>
        <v>12095.8</v>
      </c>
      <c r="C113" s="139" cm="1">
        <f t="array" ref="C113">SUMPRODUCT((PARIS!$C$4:'PARIS'!$C$103=A113)*PARIS!$Y$4:$Y$103)+SUMPRODUCT((PARIS!$AA$4:'PARIS'!$AA$103=A113)*PARIS!$AR$4:$AR$103)+SUMPRODUCT((PARIS!$AB$4:'PARIS'!$AB$103=A113)*PARIS!$AR$4:$AR$103)</f>
        <v>496.31099999999998</v>
      </c>
      <c r="D113" s="136" cm="1">
        <f t="array" ref="D113">SUMPRODUCT((PARIS!$C$4:'PARIS'!$C$103=A113)*PARIS!$O$4:$O$103)+SUMPRODUCT((PARIS!$AA$4:'PARIS'!$AA$103=A113)*PARIS!$AM$4:$AM$103)+SUMPRODUCT((PARIS!$AB$4:'PARIS'!$AB$103=A113)*PARIS!$AM$4:$AM$103)</f>
        <v>0</v>
      </c>
      <c r="E113" s="136" cm="1">
        <f t="array" ref="E113">SUMPRODUCT((PARIS!$C$4:'PARIS'!$C$103=A113)*PARIS!$R$4:$R$103)+SUMPRODUCT((PARIS!$AA$4:'PARIS'!$AA$103=A113)*PARIS!$AP$4:$AP$103)+SUMPRODUCT((PARIS!$AB$4:'PARIS'!$AB$103=A113)*PARIS!$AP$4:$AP$103)</f>
        <v>496.31099999999998</v>
      </c>
      <c r="F113" s="136" cm="1">
        <f t="array" ref="F113">SUMPRODUCT((PARIS!$C$4:'PARIS'!$C$103=A113)*PARIS!$V$4:$V$103)+SUMPRODUCT((PARIS!$AA$4:'PARIS'!$AA$103=A113)*PARIS!$AS$4:$AS$103)+SUMPRODUCT((PARIS!$AB$4:'PARIS'!$AB$103=A113)*PARIS!$AS$4:$AS$103)</f>
        <v>70.259205333333341</v>
      </c>
      <c r="G113" s="136" cm="1">
        <f t="array" ref="G113">SUMPRODUCT((PARIS!$C$4:'PARIS'!$C$103=A113)*PARIS!$W$4:$W$103)+SUMPRODUCT((PARIS!$AA$4:'PARIS'!$AA$103=A113)*PARIS!$AT$4:$AT$103)+SUMPRODUCT((PARIS!$AB$4:'PARIS'!$AB$103=A113)*PARIS!$AT$4:$AT$103)</f>
        <v>50.185146666666668</v>
      </c>
      <c r="H113" s="115"/>
      <c r="I113" s="139">
        <f t="shared" si="35"/>
        <v>94879.019117619027</v>
      </c>
      <c r="J113" s="136">
        <f t="shared" si="13"/>
        <v>23076.342853333339</v>
      </c>
      <c r="K113" s="136">
        <f t="shared" si="14"/>
        <v>70744.276264285698</v>
      </c>
      <c r="L113" s="136">
        <f t="shared" si="15"/>
        <v>6302.1804254493418</v>
      </c>
      <c r="M113" s="136">
        <f t="shared" si="16"/>
        <v>4049.0725785028071</v>
      </c>
      <c r="N113" s="115"/>
      <c r="O113" s="131"/>
      <c r="P113" s="131"/>
      <c r="Q113" s="131"/>
      <c r="R113" s="115"/>
      <c r="S113" s="131"/>
      <c r="T113" s="131"/>
      <c r="U113" s="131"/>
      <c r="V113" s="115"/>
      <c r="W113" s="128">
        <f>C113*(ResourcesEmissions!$B$79-Hypotheses!$D$31*Hypotheses!H77)</f>
        <v>519.98503469999991</v>
      </c>
      <c r="X113" s="128">
        <f>C113*(ResourcesEmissions!$B$79-Hypotheses!$D$31*Hypotheses!I77)</f>
        <v>400.87160133022883</v>
      </c>
      <c r="Y113" s="128">
        <f>C113*(ResourcesEmissions!$B$79-Hypotheses!$D$31*Hypotheses!J77)</f>
        <v>251.97980961801494</v>
      </c>
      <c r="Z113" s="115"/>
      <c r="AA113" s="126">
        <f>C113*(ResourcesEmissions!$C$79-Hypotheses!$D$30*Hypotheses!H77+(1-Hypotheses!H77)*Hypotheses!$D$14+Hypotheses!H77*Hypotheses!$D$19)</f>
        <v>276.79049879667139</v>
      </c>
      <c r="AB113" s="126">
        <f>C113*(ResourcesEmissions!$C$79-Hypotheses!$D$30*Hypotheses!I77+(1-Hypotheses!I77)*Hypotheses!$D$14+Hypotheses!I77*Hypotheses!$D$19)</f>
        <v>246.41657328737983</v>
      </c>
      <c r="AC113" s="126">
        <f>C113*(ResourcesEmissions!$C$79-Hypotheses!$D$30*Hypotheses!J77+(1-Hypotheses!J77)*Hypotheses!$D$14+Hypotheses!J77*Hypotheses!$D$19)</f>
        <v>208.44916640076528</v>
      </c>
      <c r="AD113" s="115"/>
      <c r="AE113" s="126">
        <f>C113*(ResourcesEmissions!$C$79-Hypotheses!$D$30*Hypotheses!H77+(1-Hypotheses!H77)*Hypotheses!$D$14+Hypotheses!H77*Hypotheses!$D$21)</f>
        <v>277.23717869667144</v>
      </c>
      <c r="AF113" s="126">
        <f>C113*(ResourcesEmissions!$C$79-Hypotheses!$D$30*Hypotheses!I77+(1-Hypotheses!I77)*Hypotheses!$D$14+Hypotheses!I77*Hypotheses!$D$21)</f>
        <v>248.6499546879264</v>
      </c>
      <c r="AG113" s="126">
        <f>C113*(ResourcesEmissions!$C$79-Hypotheses!$D$30*Hypotheses!J77+(1-Hypotheses!J77)*Hypotheses!$D$14+Hypotheses!J77*Hypotheses!$D$21)</f>
        <v>212.91592467699508</v>
      </c>
      <c r="AH113" s="115"/>
      <c r="AI113" s="128">
        <f t="shared" si="36"/>
        <v>108088.04528417904</v>
      </c>
      <c r="AJ113" s="128">
        <f t="shared" si="37"/>
        <v>102536.65672462231</v>
      </c>
      <c r="AK113" s="128">
        <f t="shared" si="38"/>
        <v>95597.421025176474</v>
      </c>
      <c r="AL113" s="115"/>
      <c r="AM113" s="126">
        <f t="shared" si="29"/>
        <v>69433.115731502199</v>
      </c>
      <c r="AN113" s="126">
        <f t="shared" si="30"/>
        <v>68100.782477208588</v>
      </c>
      <c r="AO113" s="126">
        <f t="shared" si="31"/>
        <v>66435.365909341606</v>
      </c>
      <c r="AP113" s="115"/>
      <c r="AQ113" s="126">
        <f t="shared" si="32"/>
        <v>69433.115731502199</v>
      </c>
      <c r="AR113" s="126">
        <f t="shared" si="33"/>
        <v>68100.782477208588</v>
      </c>
      <c r="AS113" s="126">
        <f t="shared" si="34"/>
        <v>66435.365909341606</v>
      </c>
    </row>
    <row r="114" spans="1:45" x14ac:dyDescent="0.25">
      <c r="A114" s="94">
        <v>2059</v>
      </c>
      <c r="B114" s="139" cm="1">
        <f t="array" ref="B114">SUMPRODUCT((PARIS!$C$4:'PARIS'!$C$103=A114)*PARIS!$X$4:$X$103)+SUMPRODUCT((PARIS!$AA$4:'PARIS'!$AA$103=A114)*PARIS!$AQ$4:$AQ$103)+SUMPRODUCT((PARIS!$AB$4:'PARIS'!$AB$103=A114)*PARIS!$AQ$4:$AQ$103)</f>
        <v>16192</v>
      </c>
      <c r="C114" s="139" cm="1">
        <f t="array" ref="C114">SUMPRODUCT((PARIS!$C$4:'PARIS'!$C$103=A114)*PARIS!$Y$4:$Y$103)+SUMPRODUCT((PARIS!$AA$4:'PARIS'!$AA$103=A114)*PARIS!$AR$4:$AR$103)+SUMPRODUCT((PARIS!$AB$4:'PARIS'!$AB$103=A114)*PARIS!$AR$4:$AR$103)</f>
        <v>647.68000000000006</v>
      </c>
      <c r="D114" s="136" cm="1">
        <f t="array" ref="D114">SUMPRODUCT((PARIS!$C$4:'PARIS'!$C$103=A114)*PARIS!$O$4:$O$103)+SUMPRODUCT((PARIS!$AA$4:'PARIS'!$AA$103=A114)*PARIS!$AM$4:$AM$103)+SUMPRODUCT((PARIS!$AB$4:'PARIS'!$AB$103=A114)*PARIS!$AM$4:$AM$103)</f>
        <v>0</v>
      </c>
      <c r="E114" s="136" cm="1">
        <f t="array" ref="E114">SUMPRODUCT((PARIS!$C$4:'PARIS'!$C$103=A114)*PARIS!$R$4:$R$103)+SUMPRODUCT((PARIS!$AA$4:'PARIS'!$AA$103=A114)*PARIS!$AP$4:$AP$103)+SUMPRODUCT((PARIS!$AB$4:'PARIS'!$AB$103=A114)*PARIS!$AP$4:$AP$103)</f>
        <v>647.68000000000006</v>
      </c>
      <c r="F114" s="136" cm="1">
        <f t="array" ref="F114">SUMPRODUCT((PARIS!$C$4:'PARIS'!$C$103=A114)*PARIS!$V$4:$V$103)+SUMPRODUCT((PARIS!$AA$4:'PARIS'!$AA$103=A114)*PARIS!$AS$4:$AS$103)+SUMPRODUCT((PARIS!$AB$4:'PARIS'!$AB$103=A114)*PARIS!$AS$4:$AS$103)</f>
        <v>53.061866666666667</v>
      </c>
      <c r="G114" s="136" cm="1">
        <f t="array" ref="G114">SUMPRODUCT((PARIS!$C$4:'PARIS'!$C$103=A114)*PARIS!$W$4:$W$103)+SUMPRODUCT((PARIS!$AA$4:'PARIS'!$AA$103=A114)*PARIS!$AT$4:$AT$103)+SUMPRODUCT((PARIS!$AB$4:'PARIS'!$AB$103=A114)*PARIS!$AT$4:$AT$103)</f>
        <v>37.901333333333334</v>
      </c>
      <c r="H114" s="115"/>
      <c r="I114" s="139">
        <f t="shared" si="35"/>
        <v>95526.69911761902</v>
      </c>
      <c r="J114" s="136">
        <f t="shared" si="13"/>
        <v>23076.342853333339</v>
      </c>
      <c r="K114" s="136">
        <f t="shared" si="14"/>
        <v>71391.956264285691</v>
      </c>
      <c r="L114" s="136">
        <f t="shared" si="15"/>
        <v>6355.2422921160087</v>
      </c>
      <c r="M114" s="136">
        <f t="shared" si="16"/>
        <v>4086.9739118361404</v>
      </c>
      <c r="N114" s="115"/>
      <c r="O114" s="131"/>
      <c r="P114" s="131"/>
      <c r="Q114" s="131"/>
      <c r="R114" s="115"/>
      <c r="S114" s="131"/>
      <c r="T114" s="131"/>
      <c r="U114" s="131"/>
      <c r="V114" s="115"/>
      <c r="W114" s="128">
        <f>C114*(ResourcesEmissions!$B$79-Hypotheses!$D$31*Hypotheses!H78)</f>
        <v>678.57433600000002</v>
      </c>
      <c r="X114" s="128">
        <f>C114*(ResourcesEmissions!$B$79-Hypotheses!$D$31*Hypotheses!I78)</f>
        <v>523.13209107016155</v>
      </c>
      <c r="Y114" s="128">
        <f>C114*(ResourcesEmissions!$B$79-Hypotheses!$D$31*Hypotheses!J78)</f>
        <v>328.82928490786344</v>
      </c>
      <c r="Z114" s="115"/>
      <c r="AA114" s="126">
        <f>C114*(ResourcesEmissions!$C$79-Hypotheses!$D$30*Hypotheses!H78+(1-Hypotheses!H78)*Hypotheses!$D$14+Hypotheses!H78*Hypotheses!$D$19)</f>
        <v>361.20833562147158</v>
      </c>
      <c r="AB114" s="126">
        <f>C114*(ResourcesEmissions!$C$79-Hypotheses!$D$30*Hypotheses!I78+(1-Hypotheses!I78)*Hypotheses!$D$14+Hypotheses!I78*Hypotheses!$D$19)</f>
        <v>321.5705631643628</v>
      </c>
      <c r="AC114" s="126">
        <f>C114*(ResourcesEmissions!$C$79-Hypotheses!$D$30*Hypotheses!J78+(1-Hypotheses!J78)*Hypotheses!$D$14+Hypotheses!J78*Hypotheses!$D$19)</f>
        <v>272.02334759297679</v>
      </c>
      <c r="AD114" s="115"/>
      <c r="AE114" s="126">
        <f>C114*(ResourcesEmissions!$C$79-Hypotheses!$D$30*Hypotheses!H78+(1-Hypotheses!H78)*Hypotheses!$D$14+Hypotheses!H78*Hypotheses!$D$21)</f>
        <v>361.79124762147154</v>
      </c>
      <c r="AF114" s="126">
        <f>C114*(ResourcesEmissions!$C$79-Hypotheses!$D$30*Hypotheses!I78+(1-Hypotheses!I78)*Hypotheses!$D$14+Hypotheses!I78*Hypotheses!$D$21)</f>
        <v>324.48510883831034</v>
      </c>
      <c r="AG114" s="126">
        <f>C114*(ResourcesEmissions!$C$79-Hypotheses!$D$30*Hypotheses!J78+(1-Hypotheses!J78)*Hypotheses!$D$14+Hypotheses!J78*Hypotheses!$D$21)</f>
        <v>277.85243535935882</v>
      </c>
      <c r="AH114" s="115"/>
      <c r="AI114" s="128">
        <f t="shared" si="36"/>
        <v>108766.61962017904</v>
      </c>
      <c r="AJ114" s="128">
        <f t="shared" si="37"/>
        <v>103059.78881569247</v>
      </c>
      <c r="AK114" s="128">
        <f t="shared" si="38"/>
        <v>95926.250310084331</v>
      </c>
      <c r="AL114" s="115"/>
      <c r="AM114" s="126">
        <f t="shared" si="29"/>
        <v>69794.906979123669</v>
      </c>
      <c r="AN114" s="126">
        <f t="shared" si="30"/>
        <v>68425.267586046903</v>
      </c>
      <c r="AO114" s="126">
        <f t="shared" si="31"/>
        <v>66713.218344700959</v>
      </c>
      <c r="AP114" s="115"/>
      <c r="AQ114" s="126">
        <f t="shared" si="32"/>
        <v>69794.906979123669</v>
      </c>
      <c r="AR114" s="126">
        <f t="shared" si="33"/>
        <v>68425.267586046903</v>
      </c>
      <c r="AS114" s="126">
        <f t="shared" si="34"/>
        <v>66713.218344700959</v>
      </c>
    </row>
    <row r="115" spans="1:45" x14ac:dyDescent="0.25">
      <c r="A115" s="94">
        <v>2060</v>
      </c>
      <c r="B115" s="139" cm="1">
        <f t="array" ref="B115">SUMPRODUCT((PARIS!$C$4:'PARIS'!$C$103=A115)*PARIS!$X$4:$X$103)+SUMPRODUCT((PARIS!$AA$4:'PARIS'!$AA$103=A115)*PARIS!$AQ$4:$AQ$103)+SUMPRODUCT((PARIS!$AB$4:'PARIS'!$AB$103=A115)*PARIS!$AQ$4:$AQ$103)</f>
        <v>133312.5865</v>
      </c>
      <c r="C115" s="139" cm="1">
        <f t="array" ref="C115">SUMPRODUCT((PARIS!$C$4:'PARIS'!$C$103=A115)*PARIS!$Y$4:$Y$103)+SUMPRODUCT((PARIS!$AA$4:'PARIS'!$AA$103=A115)*PARIS!$AR$4:$AR$103)+SUMPRODUCT((PARIS!$AB$4:'PARIS'!$AB$103=A115)*PARIS!$AR$4:$AR$103)</f>
        <v>4157.1321699999999</v>
      </c>
      <c r="D115" s="136" cm="1">
        <f t="array" ref="D115">SUMPRODUCT((PARIS!$C$4:'PARIS'!$C$103=A115)*PARIS!$O$4:$O$103)+SUMPRODUCT((PARIS!$AA$4:'PARIS'!$AA$103=A115)*PARIS!$AM$4:$AM$103)+SUMPRODUCT((PARIS!$AB$4:'PARIS'!$AB$103=A115)*PARIS!$AM$4:$AM$103)</f>
        <v>1279.75</v>
      </c>
      <c r="E115" s="136" cm="1">
        <f t="array" ref="E115">SUMPRODUCT((PARIS!$C$4:'PARIS'!$C$103=A115)*PARIS!$R$4:$R$103)+SUMPRODUCT((PARIS!$AA$4:'PARIS'!$AA$103=A115)*PARIS!$AP$4:$AP$103)+SUMPRODUCT((PARIS!$AB$4:'PARIS'!$AB$103=A115)*PARIS!$AP$4:$AP$103)</f>
        <v>2877.3821699999999</v>
      </c>
      <c r="F115" s="136" cm="1">
        <f t="array" ref="F115">SUMPRODUCT((PARIS!$C$4:'PARIS'!$C$103=A115)*PARIS!$V$4:$V$103)+SUMPRODUCT((PARIS!$AA$4:'PARIS'!$AA$103=A115)*PARIS!$AS$4:$AS$103)+SUMPRODUCT((PARIS!$AB$4:'PARIS'!$AB$103=A115)*PARIS!$AS$4:$AS$103)</f>
        <v>298.24272000000002</v>
      </c>
      <c r="G115" s="136" cm="1">
        <f t="array" ref="G115">SUMPRODUCT((PARIS!$C$4:'PARIS'!$C$103=A115)*PARIS!$W$4:$W$103)+SUMPRODUCT((PARIS!$AA$4:'PARIS'!$AA$103=A115)*PARIS!$AT$4:$AT$103)+SUMPRODUCT((PARIS!$AB$4:'PARIS'!$AB$103=A115)*PARIS!$AT$4:$AT$103)</f>
        <v>149.12136000000001</v>
      </c>
      <c r="H115" s="115"/>
      <c r="I115" s="139">
        <f t="shared" si="35"/>
        <v>99683.831287619018</v>
      </c>
      <c r="J115" s="136">
        <f t="shared" si="13"/>
        <v>24356.092853333339</v>
      </c>
      <c r="K115" s="136">
        <f t="shared" si="14"/>
        <v>74269.338434285688</v>
      </c>
      <c r="L115" s="136">
        <f t="shared" si="15"/>
        <v>6653.4850121160089</v>
      </c>
      <c r="M115" s="136">
        <f t="shared" si="16"/>
        <v>4236.0952718361405</v>
      </c>
      <c r="N115" s="115"/>
      <c r="O115" s="131"/>
      <c r="P115" s="131"/>
      <c r="Q115" s="131"/>
      <c r="R115" s="115"/>
      <c r="S115" s="131"/>
      <c r="T115" s="131"/>
      <c r="U115" s="131"/>
      <c r="V115" s="115"/>
      <c r="W115" s="128">
        <f>C115*(ResourcesEmissions!$B$79-Hypotheses!$D$31*Hypotheses!H79)</f>
        <v>4355.4273745089995</v>
      </c>
      <c r="X115" s="128">
        <f>C115*(ResourcesEmissions!$B$79-Hypotheses!$D$31*Hypotheses!I79)</f>
        <v>3357.7193718206922</v>
      </c>
      <c r="Y115" s="128">
        <f>C115*(ResourcesEmissions!$B$79-Hypotheses!$D$31*Hypotheses!J79)</f>
        <v>2110.5843684603092</v>
      </c>
      <c r="Z115" s="115"/>
      <c r="AA115" s="126">
        <f>C115*(ResourcesEmissions!$C$79-Hypotheses!$D$30*Hypotheses!H79+(1-Hypotheses!H79)*Hypotheses!$D$14+Hypotheses!H79*Hypotheses!$D$19)</f>
        <v>2318.414636987673</v>
      </c>
      <c r="AB115" s="126">
        <f>C115*(ResourcesEmissions!$C$79-Hypotheses!$D$30*Hypotheses!I79+(1-Hypotheses!I79)*Hypotheses!$D$14+Hypotheses!I79*Hypotheses!$D$19)</f>
        <v>2063.9990963021551</v>
      </c>
      <c r="AC115" s="126">
        <f>C115*(ResourcesEmissions!$C$79-Hypotheses!$D$30*Hypotheses!J79+(1-Hypotheses!J79)*Hypotheses!$D$14+Hypotheses!J79*Hypotheses!$D$19)</f>
        <v>1745.9796704452574</v>
      </c>
      <c r="AD115" s="115"/>
      <c r="AE115" s="126">
        <f>C115*(ResourcesEmissions!$C$79-Hypotheses!$D$30*Hypotheses!H79+(1-Hypotheses!H79)*Hypotheses!$D$14+Hypotheses!H79*Hypotheses!$D$21)</f>
        <v>2322.156055940673</v>
      </c>
      <c r="AF115" s="126">
        <f>C115*(ResourcesEmissions!$C$79-Hypotheses!$D$30*Hypotheses!I79+(1-Hypotheses!I79)*Hypotheses!$D$14+Hypotheses!I79*Hypotheses!$D$21)</f>
        <v>2082.7061352954797</v>
      </c>
      <c r="AG115" s="126">
        <f>C115*(ResourcesEmissions!$C$79-Hypotheses!$D$30*Hypotheses!J79+(1-Hypotheses!J79)*Hypotheses!$D$14+Hypotheses!J79*Hypotheses!$D$21)</f>
        <v>1783.3937344889878</v>
      </c>
      <c r="AH115" s="115"/>
      <c r="AI115" s="128">
        <f t="shared" si="36"/>
        <v>113122.04699468805</v>
      </c>
      <c r="AJ115" s="128">
        <f t="shared" si="37"/>
        <v>106417.50818751317</v>
      </c>
      <c r="AK115" s="128">
        <f t="shared" si="38"/>
        <v>98036.834678544634</v>
      </c>
      <c r="AL115" s="115"/>
      <c r="AM115" s="126">
        <f t="shared" si="29"/>
        <v>72117.063035064348</v>
      </c>
      <c r="AN115" s="126">
        <f t="shared" si="30"/>
        <v>70507.97372134238</v>
      </c>
      <c r="AO115" s="126">
        <f t="shared" si="31"/>
        <v>68496.612079189945</v>
      </c>
      <c r="AP115" s="115"/>
      <c r="AQ115" s="126">
        <f t="shared" si="32"/>
        <v>72117.063035064348</v>
      </c>
      <c r="AR115" s="126">
        <f t="shared" si="33"/>
        <v>70507.97372134238</v>
      </c>
      <c r="AS115" s="126">
        <f t="shared" si="34"/>
        <v>68496.612079189945</v>
      </c>
    </row>
    <row r="116" spans="1:45" x14ac:dyDescent="0.25">
      <c r="A116" s="94">
        <v>2061</v>
      </c>
      <c r="B116" s="139" cm="1">
        <f t="array" ref="B116">SUMPRODUCT((PARIS!$C$4:'PARIS'!$C$103=A116)*PARIS!$X$4:$X$103)+SUMPRODUCT((PARIS!$AA$4:'PARIS'!$AA$103=A116)*PARIS!$AQ$4:$AQ$103)+SUMPRODUCT((PARIS!$AB$4:'PARIS'!$AB$103=A116)*PARIS!$AQ$4:$AQ$103)</f>
        <v>58486.046000000002</v>
      </c>
      <c r="C116" s="139" cm="1">
        <f t="array" ref="C116">SUMPRODUCT((PARIS!$C$4:'PARIS'!$C$103=A116)*PARIS!$Y$4:$Y$103)+SUMPRODUCT((PARIS!$AA$4:'PARIS'!$AA$103=A116)*PARIS!$AR$4:$AR$103)+SUMPRODUCT((PARIS!$AB$4:'PARIS'!$AB$103=A116)*PARIS!$AR$4:$AR$103)</f>
        <v>2599.2415999999998</v>
      </c>
      <c r="D116" s="136" cm="1">
        <f t="array" ref="D116">SUMPRODUCT((PARIS!$C$4:'PARIS'!$C$103=A116)*PARIS!$O$4:$O$103)+SUMPRODUCT((PARIS!$AA$4:'PARIS'!$AA$103=A116)*PARIS!$AM$4:$AM$103)+SUMPRODUCT((PARIS!$AB$4:'PARIS'!$AB$103=A116)*PARIS!$AM$4:$AM$103)</f>
        <v>818.39530000000002</v>
      </c>
      <c r="E116" s="136" cm="1">
        <f t="array" ref="E116">SUMPRODUCT((PARIS!$C$4:'PARIS'!$C$103=A116)*PARIS!$R$4:$R$103)+SUMPRODUCT((PARIS!$AA$4:'PARIS'!$AA$103=A116)*PARIS!$AP$4:$AP$103)+SUMPRODUCT((PARIS!$AB$4:'PARIS'!$AB$103=A116)*PARIS!$AP$4:$AP$103)</f>
        <v>1780.8462999999997</v>
      </c>
      <c r="F116" s="136" cm="1">
        <f t="array" ref="F116">SUMPRODUCT((PARIS!$C$4:'PARIS'!$C$103=A116)*PARIS!$V$4:$V$103)+SUMPRODUCT((PARIS!$AA$4:'PARIS'!$AA$103=A116)*PARIS!$AS$4:$AS$103)+SUMPRODUCT((PARIS!$AB$4:'PARIS'!$AB$103=A116)*PARIS!$AS$4:$AS$103)</f>
        <v>89.518946666666679</v>
      </c>
      <c r="G116" s="136" cm="1">
        <f t="array" ref="G116">SUMPRODUCT((PARIS!$C$4:'PARIS'!$C$103=A116)*PARIS!$W$4:$W$103)+SUMPRODUCT((PARIS!$AA$4:'PARIS'!$AA$103=A116)*PARIS!$AT$4:$AT$103)+SUMPRODUCT((PARIS!$AB$4:'PARIS'!$AB$103=A116)*PARIS!$AT$4:$AT$103)</f>
        <v>71.738333333333344</v>
      </c>
      <c r="H116" s="115"/>
      <c r="I116" s="139">
        <f t="shared" si="35"/>
        <v>102283.07288761901</v>
      </c>
      <c r="J116" s="136">
        <f t="shared" si="13"/>
        <v>25174.488153333339</v>
      </c>
      <c r="K116" s="136">
        <f t="shared" si="14"/>
        <v>76050.184734285693</v>
      </c>
      <c r="L116" s="136">
        <f t="shared" si="15"/>
        <v>6743.0039587826759</v>
      </c>
      <c r="M116" s="136">
        <f t="shared" si="16"/>
        <v>4307.8336051694741</v>
      </c>
      <c r="N116" s="115"/>
      <c r="O116" s="131"/>
      <c r="P116" s="131"/>
      <c r="Q116" s="131"/>
      <c r="R116" s="115"/>
      <c r="S116" s="131"/>
      <c r="T116" s="131"/>
      <c r="U116" s="131"/>
      <c r="V116" s="115"/>
      <c r="W116" s="128">
        <f>C116*(ResourcesEmissions!$B$79-Hypotheses!$D$31*Hypotheses!H80)</f>
        <v>2723.2254243199995</v>
      </c>
      <c r="X116" s="128">
        <f>C116*(ResourcesEmissions!$B$79-Hypotheses!$D$31*Hypotheses!I80)</f>
        <v>2099.4088503509465</v>
      </c>
      <c r="Y116" s="128">
        <f>C116*(ResourcesEmissions!$B$79-Hypotheses!$D$31*Hypotheses!J80)</f>
        <v>1319.6381328896298</v>
      </c>
      <c r="Z116" s="115"/>
      <c r="AA116" s="126">
        <f>C116*(ResourcesEmissions!$C$79-Hypotheses!$D$30*Hypotheses!H80+(1-Hypotheses!H80)*Hypotheses!$D$14+Hypotheses!H80*Hypotheses!$D$19)</f>
        <v>1449.5858019609848</v>
      </c>
      <c r="AB116" s="126">
        <f>C116*(ResourcesEmissions!$C$79-Hypotheses!$D$30*Hypotheses!I80+(1-Hypotheses!I80)*Hypotheses!$D$14+Hypotheses!I80*Hypotheses!$D$19)</f>
        <v>1290.5125755988763</v>
      </c>
      <c r="AC116" s="126">
        <f>C116*(ResourcesEmissions!$C$79-Hypotheses!$D$30*Hypotheses!J80+(1-Hypotheses!J80)*Hypotheses!$D$14+Hypotheses!J80*Hypotheses!$D$19)</f>
        <v>1091.6710426462405</v>
      </c>
      <c r="AD116" s="115"/>
      <c r="AE116" s="126">
        <f>C116*(ResourcesEmissions!$C$79-Hypotheses!$D$30*Hypotheses!H80+(1-Hypotheses!H80)*Hypotheses!$D$14+Hypotheses!H80*Hypotheses!$D$21)</f>
        <v>1451.9251194009846</v>
      </c>
      <c r="AF116" s="126">
        <f>C116*(ResourcesEmissions!$C$79-Hypotheses!$D$30*Hypotheses!I80+(1-Hypotheses!I80)*Hypotheses!$D$14+Hypotheses!I80*Hypotheses!$D$21)</f>
        <v>1302.209141648412</v>
      </c>
      <c r="AG116" s="126">
        <f>C116*(ResourcesEmissions!$C$79-Hypotheses!$D$30*Hypotheses!J80+(1-Hypotheses!J80)*Hypotheses!$D$14+Hypotheses!J80*Hypotheses!$D$21)</f>
        <v>1115.0641694576962</v>
      </c>
      <c r="AH116" s="115"/>
      <c r="AI116" s="128">
        <f t="shared" si="36"/>
        <v>115845.27241900805</v>
      </c>
      <c r="AJ116" s="128">
        <f t="shared" si="37"/>
        <v>108516.91703786411</v>
      </c>
      <c r="AK116" s="128">
        <f t="shared" si="38"/>
        <v>99356.472811434258</v>
      </c>
      <c r="AL116" s="115"/>
      <c r="AM116" s="126">
        <f t="shared" si="29"/>
        <v>73568.988154465333</v>
      </c>
      <c r="AN116" s="126">
        <f t="shared" si="30"/>
        <v>71810.182862990798</v>
      </c>
      <c r="AO116" s="126">
        <f t="shared" si="31"/>
        <v>69611.676248647636</v>
      </c>
      <c r="AP116" s="115"/>
      <c r="AQ116" s="126">
        <f t="shared" si="32"/>
        <v>73568.988154465333</v>
      </c>
      <c r="AR116" s="126">
        <f t="shared" si="33"/>
        <v>71810.182862990798</v>
      </c>
      <c r="AS116" s="126">
        <f t="shared" si="34"/>
        <v>69611.676248647636</v>
      </c>
    </row>
    <row r="117" spans="1:45" x14ac:dyDescent="0.25">
      <c r="A117" s="94">
        <v>2062</v>
      </c>
      <c r="B117" s="139" cm="1">
        <f t="array" ref="B117">SUMPRODUCT((PARIS!$C$4:'PARIS'!$C$103=A117)*PARIS!$X$4:$X$103)+SUMPRODUCT((PARIS!$AA$4:'PARIS'!$AA$103=A117)*PARIS!$AQ$4:$AQ$103)+SUMPRODUCT((PARIS!$AB$4:'PARIS'!$AB$103=A117)*PARIS!$AQ$4:$AQ$103)</f>
        <v>69220.7</v>
      </c>
      <c r="C117" s="139" cm="1">
        <f t="array" ref="C117">SUMPRODUCT((PARIS!$C$4:'PARIS'!$C$103=A117)*PARIS!$Y$4:$Y$103)+SUMPRODUCT((PARIS!$AA$4:'PARIS'!$AA$103=A117)*PARIS!$AR$4:$AR$103)+SUMPRODUCT((PARIS!$AB$4:'PARIS'!$AB$103=A117)*PARIS!$AR$4:$AR$103)</f>
        <v>2630.2280000000001</v>
      </c>
      <c r="D117" s="136" cm="1">
        <f t="array" ref="D117">SUMPRODUCT((PARIS!$C$4:'PARIS'!$C$103=A117)*PARIS!$O$4:$O$103)+SUMPRODUCT((PARIS!$AA$4:'PARIS'!$AA$103=A117)*PARIS!$AM$4:$AM$103)+SUMPRODUCT((PARIS!$AB$4:'PARIS'!$AB$103=A117)*PARIS!$AM$4:$AM$103)</f>
        <v>409.5</v>
      </c>
      <c r="E117" s="136" cm="1">
        <f t="array" ref="E117">SUMPRODUCT((PARIS!$C$4:'PARIS'!$C$103=A117)*PARIS!$R$4:$R$103)+SUMPRODUCT((PARIS!$AA$4:'PARIS'!$AA$103=A117)*PARIS!$AP$4:$AP$103)+SUMPRODUCT((PARIS!$AB$4:'PARIS'!$AB$103=A117)*PARIS!$AP$4:$AP$103)</f>
        <v>2220.7280000000001</v>
      </c>
      <c r="F117" s="136" cm="1">
        <f t="array" ref="F117">SUMPRODUCT((PARIS!$C$4:'PARIS'!$C$103=A117)*PARIS!$V$4:$V$103)+SUMPRODUCT((PARIS!$AA$4:'PARIS'!$AA$103=A117)*PARIS!$AS$4:$AS$103)+SUMPRODUCT((PARIS!$AB$4:'PARIS'!$AB$103=A117)*PARIS!$AS$4:$AS$103)</f>
        <v>134.1198</v>
      </c>
      <c r="G117" s="136" cm="1">
        <f t="array" ref="G117">SUMPRODUCT((PARIS!$C$4:'PARIS'!$C$103=A117)*PARIS!$W$4:$W$103)+SUMPRODUCT((PARIS!$AA$4:'PARIS'!$AA$103=A117)*PARIS!$AT$4:$AT$103)+SUMPRODUCT((PARIS!$AB$4:'PARIS'!$AB$103=A117)*PARIS!$AT$4:$AT$103)</f>
        <v>113.6773</v>
      </c>
      <c r="H117" s="115"/>
      <c r="I117" s="139">
        <f t="shared" si="35"/>
        <v>104913.30088761901</v>
      </c>
      <c r="J117" s="136">
        <f t="shared" si="13"/>
        <v>25583.988153333339</v>
      </c>
      <c r="K117" s="136">
        <f t="shared" si="14"/>
        <v>78270.912734285695</v>
      </c>
      <c r="L117" s="136">
        <f t="shared" si="15"/>
        <v>6877.1237587826763</v>
      </c>
      <c r="M117" s="136">
        <f t="shared" si="16"/>
        <v>4421.5109051694744</v>
      </c>
      <c r="N117" s="115"/>
      <c r="O117" s="131"/>
      <c r="P117" s="131"/>
      <c r="Q117" s="131"/>
      <c r="R117" s="115"/>
      <c r="S117" s="131"/>
      <c r="T117" s="131"/>
      <c r="U117" s="131"/>
      <c r="V117" s="115"/>
      <c r="W117" s="128">
        <f>C117*(ResourcesEmissions!$B$79-Hypotheses!$D$31*Hypotheses!H81)</f>
        <v>2755.6898755999996</v>
      </c>
      <c r="X117" s="128">
        <f>C117*(ResourcesEmissions!$B$79-Hypotheses!$D$31*Hypotheses!I81)</f>
        <v>2124.4360210232076</v>
      </c>
      <c r="Y117" s="128">
        <f>C117*(ResourcesEmissions!$B$79-Hypotheses!$D$31*Hypotheses!J81)</f>
        <v>1335.3687028022175</v>
      </c>
      <c r="Z117" s="115"/>
      <c r="AA117" s="126">
        <f>C117*(ResourcesEmissions!$C$79-Hypotheses!$D$30*Hypotheses!H81+(1-Hypotheses!H81)*Hypotheses!$D$14+Hypotheses!H81*Hypotheses!$D$19)</f>
        <v>1466.8667832648712</v>
      </c>
      <c r="AB117" s="126">
        <f>C117*(ResourcesEmissions!$C$79-Hypotheses!$D$30*Hypotheses!I81+(1-Hypotheses!I81)*Hypotheses!$D$14+Hypotheses!I81*Hypotheses!$D$19)</f>
        <v>1305.8970503477894</v>
      </c>
      <c r="AC117" s="126">
        <f>C117*(ResourcesEmissions!$C$79-Hypotheses!$D$30*Hypotheses!J81+(1-Hypotheses!J81)*Hypotheses!$D$14+Hypotheses!J81*Hypotheses!$D$19)</f>
        <v>1104.6848842014367</v>
      </c>
      <c r="AD117" s="115"/>
      <c r="AE117" s="126">
        <f>C117*(ResourcesEmissions!$C$79-Hypotheses!$D$30*Hypotheses!H81+(1-Hypotheses!H81)*Hypotheses!$D$14+Hypotheses!H81*Hypotheses!$D$21)</f>
        <v>1469.2339884648713</v>
      </c>
      <c r="AF117" s="126">
        <f>C117*(ResourcesEmissions!$C$79-Hypotheses!$D$30*Hypotheses!I81+(1-Hypotheses!I81)*Hypotheses!$D$14+Hypotheses!I81*Hypotheses!$D$21)</f>
        <v>1317.7330633664412</v>
      </c>
      <c r="AG117" s="126">
        <f>C117*(ResourcesEmissions!$C$79-Hypotheses!$D$30*Hypotheses!J81+(1-Hypotheses!J81)*Hypotheses!$D$14+Hypotheses!J81*Hypotheses!$D$21)</f>
        <v>1128.3569069934038</v>
      </c>
      <c r="AH117" s="115"/>
      <c r="AI117" s="128">
        <f t="shared" si="36"/>
        <v>118600.96229460805</v>
      </c>
      <c r="AJ117" s="128">
        <f t="shared" si="37"/>
        <v>110641.35305888733</v>
      </c>
      <c r="AK117" s="128">
        <f t="shared" si="38"/>
        <v>100691.84151423647</v>
      </c>
      <c r="AL117" s="115"/>
      <c r="AM117" s="126">
        <f t="shared" si="29"/>
        <v>75038.222142930201</v>
      </c>
      <c r="AN117" s="126">
        <f t="shared" si="30"/>
        <v>73127.915926357236</v>
      </c>
      <c r="AO117" s="126">
        <f t="shared" si="31"/>
        <v>70740.033155641038</v>
      </c>
      <c r="AP117" s="115"/>
      <c r="AQ117" s="126">
        <f t="shared" si="32"/>
        <v>75038.222142930201</v>
      </c>
      <c r="AR117" s="126">
        <f t="shared" si="33"/>
        <v>73127.915926357236</v>
      </c>
      <c r="AS117" s="126">
        <f t="shared" si="34"/>
        <v>70740.033155641038</v>
      </c>
    </row>
    <row r="118" spans="1:45" x14ac:dyDescent="0.25">
      <c r="A118" s="94">
        <v>2063</v>
      </c>
      <c r="B118" s="139" cm="1">
        <f t="array" ref="B118">SUMPRODUCT((PARIS!$C$4:'PARIS'!$C$103=A118)*PARIS!$X$4:$X$103)+SUMPRODUCT((PARIS!$AA$4:'PARIS'!$AA$103=A118)*PARIS!$AQ$4:$AQ$103)+SUMPRODUCT((PARIS!$AB$4:'PARIS'!$AB$103=A118)*PARIS!$AQ$4:$AQ$103)</f>
        <v>16579.2</v>
      </c>
      <c r="C118" s="139" cm="1">
        <f t="array" ref="C118">SUMPRODUCT((PARIS!$C$4:'PARIS'!$C$103=A118)*PARIS!$Y$4:$Y$103)+SUMPRODUCT((PARIS!$AA$4:'PARIS'!$AA$103=A118)*PARIS!$AR$4:$AR$103)+SUMPRODUCT((PARIS!$AB$4:'PARIS'!$AB$103=A118)*PARIS!$AR$4:$AR$103)</f>
        <v>663.16800000000001</v>
      </c>
      <c r="D118" s="136" cm="1">
        <f t="array" ref="D118">SUMPRODUCT((PARIS!$C$4:'PARIS'!$C$103=A118)*PARIS!$O$4:$O$103)+SUMPRODUCT((PARIS!$AA$4:'PARIS'!$AA$103=A118)*PARIS!$AM$4:$AM$103)+SUMPRODUCT((PARIS!$AB$4:'PARIS'!$AB$103=A118)*PARIS!$AM$4:$AM$103)</f>
        <v>0</v>
      </c>
      <c r="E118" s="136" cm="1">
        <f t="array" ref="E118">SUMPRODUCT((PARIS!$C$4:'PARIS'!$C$103=A118)*PARIS!$R$4:$R$103)+SUMPRODUCT((PARIS!$AA$4:'PARIS'!$AA$103=A118)*PARIS!$AP$4:$AP$103)+SUMPRODUCT((PARIS!$AB$4:'PARIS'!$AB$103=A118)*PARIS!$AP$4:$AP$103)</f>
        <v>663.16800000000001</v>
      </c>
      <c r="F118" s="136" cm="1">
        <f t="array" ref="F118">SUMPRODUCT((PARIS!$C$4:'PARIS'!$C$103=A118)*PARIS!$V$4:$V$103)+SUMPRODUCT((PARIS!$AA$4:'PARIS'!$AA$103=A118)*PARIS!$AS$4:$AS$103)+SUMPRODUCT((PARIS!$AB$4:'PARIS'!$AB$103=A118)*PARIS!$AS$4:$AS$103)</f>
        <v>27</v>
      </c>
      <c r="G118" s="136" cm="1">
        <f t="array" ref="G118">SUMPRODUCT((PARIS!$C$4:'PARIS'!$C$103=A118)*PARIS!$W$4:$W$103)+SUMPRODUCT((PARIS!$AA$4:'PARIS'!$AA$103=A118)*PARIS!$AT$4:$AT$103)+SUMPRODUCT((PARIS!$AB$4:'PARIS'!$AB$103=A118)*PARIS!$AT$4:$AT$103)</f>
        <v>27</v>
      </c>
      <c r="H118" s="115"/>
      <c r="I118" s="139">
        <f t="shared" si="35"/>
        <v>105576.46888761902</v>
      </c>
      <c r="J118" s="136">
        <f t="shared" si="13"/>
        <v>25583.988153333339</v>
      </c>
      <c r="K118" s="136">
        <f t="shared" si="14"/>
        <v>78934.080734285701</v>
      </c>
      <c r="L118" s="136">
        <f t="shared" si="15"/>
        <v>6904.1237587826763</v>
      </c>
      <c r="M118" s="136">
        <f t="shared" si="16"/>
        <v>4448.5109051694744</v>
      </c>
      <c r="N118" s="115"/>
      <c r="O118" s="131"/>
      <c r="P118" s="131"/>
      <c r="Q118" s="131"/>
      <c r="R118" s="115"/>
      <c r="S118" s="131"/>
      <c r="T118" s="131"/>
      <c r="U118" s="131"/>
      <c r="V118" s="115"/>
      <c r="W118" s="128">
        <f>C118*(ResourcesEmissions!$B$79-Hypotheses!$D$31*Hypotheses!H82)</f>
        <v>694.80111359999989</v>
      </c>
      <c r="X118" s="128">
        <f>C118*(ResourcesEmissions!$B$79-Hypotheses!$D$31*Hypotheses!I82)</f>
        <v>535.64092594626698</v>
      </c>
      <c r="Y118" s="128">
        <f>C118*(ResourcesEmissions!$B$79-Hypotheses!$D$31*Hypotheses!J82)</f>
        <v>336.69069137910066</v>
      </c>
      <c r="Z118" s="115"/>
      <c r="AA118" s="126">
        <f>C118*(ResourcesEmissions!$C$79-Hypotheses!$D$30*Hypotheses!H82+(1-Hypotheses!H82)*Hypotheses!$D$14+Hypotheses!H82*Hypotheses!$D$19)</f>
        <v>369.84592625589801</v>
      </c>
      <c r="AB118" s="126">
        <f>C118*(ResourcesEmissions!$C$79-Hypotheses!$D$30*Hypotheses!I82+(1-Hypotheses!I82)*Hypotheses!$D$14+Hypotheses!I82*Hypotheses!$D$19)</f>
        <v>329.26007840419612</v>
      </c>
      <c r="AC118" s="126">
        <f>C118*(ResourcesEmissions!$C$79-Hypotheses!$D$30*Hypotheses!J82+(1-Hypotheses!J82)*Hypotheses!$D$14+Hypotheses!J82*Hypotheses!$D$19)</f>
        <v>278.52776858956872</v>
      </c>
      <c r="AD118" s="115"/>
      <c r="AE118" s="126">
        <f>C118*(ResourcesEmissions!$C$79-Hypotheses!$D$30*Hypotheses!H82+(1-Hypotheses!H82)*Hypotheses!$D$14+Hypotheses!H82*Hypotheses!$D$21)</f>
        <v>370.44277745589801</v>
      </c>
      <c r="AF118" s="126">
        <f>C118*(ResourcesEmissions!$C$79-Hypotheses!$D$30*Hypotheses!I82+(1-Hypotheses!I82)*Hypotheses!$D$14+Hypotheses!I82*Hypotheses!$D$21)</f>
        <v>332.24433241900215</v>
      </c>
      <c r="AG118" s="126">
        <f>C118*(ResourcesEmissions!$C$79-Hypotheses!$D$30*Hypotheses!J82+(1-Hypotheses!J82)*Hypotheses!$D$14+Hypotheses!J82*Hypotheses!$D$21)</f>
        <v>284.49627612288219</v>
      </c>
      <c r="AH118" s="115"/>
      <c r="AI118" s="128">
        <f t="shared" si="36"/>
        <v>119295.76340820805</v>
      </c>
      <c r="AJ118" s="128">
        <f t="shared" si="37"/>
        <v>111176.99398483359</v>
      </c>
      <c r="AK118" s="128">
        <f t="shared" si="38"/>
        <v>101028.53220561557</v>
      </c>
      <c r="AL118" s="115"/>
      <c r="AM118" s="126">
        <f t="shared" si="29"/>
        <v>75408.664920386102</v>
      </c>
      <c r="AN118" s="126">
        <f t="shared" si="30"/>
        <v>73460.160258776232</v>
      </c>
      <c r="AO118" s="126">
        <f t="shared" si="31"/>
        <v>71024.52943176392</v>
      </c>
      <c r="AP118" s="115"/>
      <c r="AQ118" s="126">
        <f t="shared" si="32"/>
        <v>75408.664920386102</v>
      </c>
      <c r="AR118" s="126">
        <f t="shared" si="33"/>
        <v>73460.160258776232</v>
      </c>
      <c r="AS118" s="126">
        <f t="shared" si="34"/>
        <v>71024.52943176392</v>
      </c>
    </row>
    <row r="119" spans="1:45" x14ac:dyDescent="0.25">
      <c r="A119" s="94">
        <v>2064</v>
      </c>
      <c r="B119" s="139" cm="1">
        <f t="array" ref="B119">SUMPRODUCT((PARIS!$C$4:'PARIS'!$C$103=A119)*PARIS!$X$4:$X$103)+SUMPRODUCT((PARIS!$AA$4:'PARIS'!$AA$103=A119)*PARIS!$AQ$4:$AQ$103)+SUMPRODUCT((PARIS!$AB$4:'PARIS'!$AB$103=A119)*PARIS!$AQ$4:$AQ$103)</f>
        <v>68113.475000000006</v>
      </c>
      <c r="C119" s="139" cm="1">
        <f t="array" ref="C119">SUMPRODUCT((PARIS!$C$4:'PARIS'!$C$103=A119)*PARIS!$Y$4:$Y$103)+SUMPRODUCT((PARIS!$AA$4:'PARIS'!$AA$103=A119)*PARIS!$AR$4:$AR$103)+SUMPRODUCT((PARIS!$AB$4:'PARIS'!$AB$103=A119)*PARIS!$AR$4:$AR$103)</f>
        <v>2339.0963750000001</v>
      </c>
      <c r="D119" s="136" cm="1">
        <f t="array" ref="D119">SUMPRODUCT((PARIS!$C$4:'PARIS'!$C$103=A119)*PARIS!$O$4:$O$103)+SUMPRODUCT((PARIS!$AA$4:'PARIS'!$AA$103=A119)*PARIS!$AM$4:$AM$103)+SUMPRODUCT((PARIS!$AB$4:'PARIS'!$AB$103=A119)*PARIS!$AM$4:$AM$103)</f>
        <v>870.32</v>
      </c>
      <c r="E119" s="136" cm="1">
        <f t="array" ref="E119">SUMPRODUCT((PARIS!$C$4:'PARIS'!$C$103=A119)*PARIS!$R$4:$R$103)+SUMPRODUCT((PARIS!$AA$4:'PARIS'!$AA$103=A119)*PARIS!$AP$4:$AP$103)+SUMPRODUCT((PARIS!$AB$4:'PARIS'!$AB$103=A119)*PARIS!$AP$4:$AP$103)</f>
        <v>1468.7763749999999</v>
      </c>
      <c r="F119" s="136" cm="1">
        <f t="array" ref="F119">SUMPRODUCT((PARIS!$C$4:'PARIS'!$C$103=A119)*PARIS!$V$4:$V$103)+SUMPRODUCT((PARIS!$AA$4:'PARIS'!$AA$103=A119)*PARIS!$AS$4:$AS$103)+SUMPRODUCT((PARIS!$AB$4:'PARIS'!$AB$103=A119)*PARIS!$AS$4:$AS$103)</f>
        <v>183.59013333333331</v>
      </c>
      <c r="G119" s="136" cm="1">
        <f t="array" ref="G119">SUMPRODUCT((PARIS!$C$4:'PARIS'!$C$103=A119)*PARIS!$W$4:$W$103)+SUMPRODUCT((PARIS!$AA$4:'PARIS'!$AA$103=A119)*PARIS!$AT$4:$AT$103)+SUMPRODUCT((PARIS!$AB$4:'PARIS'!$AB$103=A119)*PARIS!$AT$4:$AT$103)</f>
        <v>120.35506666666666</v>
      </c>
      <c r="H119" s="115"/>
      <c r="I119" s="139">
        <f t="shared" si="35"/>
        <v>107915.56526261901</v>
      </c>
      <c r="J119" s="136">
        <f t="shared" si="13"/>
        <v>26454.308153333339</v>
      </c>
      <c r="K119" s="136">
        <f t="shared" si="14"/>
        <v>80402.857109285702</v>
      </c>
      <c r="L119" s="136">
        <f t="shared" si="15"/>
        <v>7087.7138921160094</v>
      </c>
      <c r="M119" s="136">
        <f t="shared" si="16"/>
        <v>4568.8659718361414</v>
      </c>
      <c r="N119" s="115"/>
      <c r="O119" s="131"/>
      <c r="P119" s="131"/>
      <c r="Q119" s="131"/>
      <c r="R119" s="115"/>
      <c r="S119" s="131"/>
      <c r="T119" s="131"/>
      <c r="U119" s="131"/>
      <c r="V119" s="115"/>
      <c r="W119" s="128">
        <f>C119*(ResourcesEmissions!$B$79-Hypotheses!$D$31*Hypotheses!H83)</f>
        <v>2450.6712720874998</v>
      </c>
      <c r="X119" s="128">
        <f>C119*(ResourcesEmissions!$B$79-Hypotheses!$D$31*Hypotheses!I83)</f>
        <v>1889.2884252196263</v>
      </c>
      <c r="Y119" s="128">
        <f>C119*(ResourcesEmissions!$B$79-Hypotheses!$D$31*Hypotheses!J83)</f>
        <v>1187.5598666347846</v>
      </c>
      <c r="Z119" s="115"/>
      <c r="AA119" s="126">
        <f>C119*(ResourcesEmissions!$C$79-Hypotheses!$D$30*Hypotheses!H83+(1-Hypotheses!H83)*Hypotheses!$D$14+Hypotheses!H83*Hypotheses!$D$19)</f>
        <v>1304.5039347702066</v>
      </c>
      <c r="AB119" s="126">
        <f>C119*(ResourcesEmissions!$C$79-Hypotheses!$D$30*Hypotheses!I83+(1-Hypotheses!I83)*Hypotheses!$D$14+Hypotheses!I83*Hypotheses!$D$19)</f>
        <v>1161.351308818899</v>
      </c>
      <c r="AC119" s="126">
        <f>C119*(ResourcesEmissions!$C$79-Hypotheses!$D$30*Hypotheses!J83+(1-Hypotheses!J83)*Hypotheses!$D$14+Hypotheses!J83*Hypotheses!$D$19)</f>
        <v>982.41052637976441</v>
      </c>
      <c r="AD119" s="115"/>
      <c r="AE119" s="126">
        <f>C119*(ResourcesEmissions!$C$79-Hypotheses!$D$30*Hypotheses!H83+(1-Hypotheses!H83)*Hypotheses!$D$14+Hypotheses!H83*Hypotheses!$D$21)</f>
        <v>1306.6091215077067</v>
      </c>
      <c r="AF119" s="126">
        <f>C119*(ResourcesEmissions!$C$79-Hypotheses!$D$30*Hypotheses!I83+(1-Hypotheses!I83)*Hypotheses!$D$14+Hypotheses!I83*Hypotheses!$D$21)</f>
        <v>1171.8772382594173</v>
      </c>
      <c r="AG119" s="126">
        <f>C119*(ResourcesEmissions!$C$79-Hypotheses!$D$30*Hypotheses!J83+(1-Hypotheses!J83)*Hypotheses!$D$14+Hypotheses!J83*Hypotheses!$D$21)</f>
        <v>1003.4623841990552</v>
      </c>
      <c r="AH119" s="115"/>
      <c r="AI119" s="128">
        <f t="shared" si="36"/>
        <v>121746.43468029554</v>
      </c>
      <c r="AJ119" s="128">
        <f t="shared" si="37"/>
        <v>113066.28241005322</v>
      </c>
      <c r="AK119" s="128">
        <f t="shared" si="38"/>
        <v>102216.09207225035</v>
      </c>
      <c r="AL119" s="115"/>
      <c r="AM119" s="126">
        <f t="shared" si="29"/>
        <v>76715.274041893805</v>
      </c>
      <c r="AN119" s="126">
        <f t="shared" si="30"/>
        <v>74632.03749703565</v>
      </c>
      <c r="AO119" s="126">
        <f t="shared" si="31"/>
        <v>72027.991815962974</v>
      </c>
      <c r="AP119" s="115"/>
      <c r="AQ119" s="126">
        <f t="shared" si="32"/>
        <v>76715.274041893805</v>
      </c>
      <c r="AR119" s="126">
        <f t="shared" si="33"/>
        <v>74632.03749703565</v>
      </c>
      <c r="AS119" s="126">
        <f t="shared" si="34"/>
        <v>72027.991815962974</v>
      </c>
    </row>
    <row r="120" spans="1:45" x14ac:dyDescent="0.25">
      <c r="A120" s="94">
        <v>2065</v>
      </c>
      <c r="B120" s="139" cm="1">
        <f t="array" ref="B120">SUMPRODUCT((PARIS!$C$4:'PARIS'!$C$103=A120)*PARIS!$X$4:$X$103)+SUMPRODUCT((PARIS!$AA$4:'PARIS'!$AA$103=A120)*PARIS!$AQ$4:$AQ$103)+SUMPRODUCT((PARIS!$AB$4:'PARIS'!$AB$103=A120)*PARIS!$AQ$4:$AQ$103)</f>
        <v>54411.904761904763</v>
      </c>
      <c r="C120" s="139" cm="1">
        <f t="array" ref="C120">SUMPRODUCT((PARIS!$C$4:'PARIS'!$C$103=A120)*PARIS!$Y$4:$Y$103)+SUMPRODUCT((PARIS!$AA$4:'PARIS'!$AA$103=A120)*PARIS!$AR$4:$AR$103)+SUMPRODUCT((PARIS!$AB$4:'PARIS'!$AB$103=A120)*PARIS!$AR$4:$AR$103)</f>
        <v>2055.8690476190473</v>
      </c>
      <c r="D120" s="136" cm="1">
        <f t="array" ref="D120">SUMPRODUCT((PARIS!$C$4:'PARIS'!$C$103=A120)*PARIS!$O$4:$O$103)+SUMPRODUCT((PARIS!$AA$4:'PARIS'!$AA$103=A120)*PARIS!$AM$4:$AM$103)+SUMPRODUCT((PARIS!$AB$4:'PARIS'!$AB$103=A120)*PARIS!$AM$4:$AM$103)</f>
        <v>490.83333333333326</v>
      </c>
      <c r="E120" s="136" cm="1">
        <f t="array" ref="E120">SUMPRODUCT((PARIS!$C$4:'PARIS'!$C$103=A120)*PARIS!$R$4:$R$103)+SUMPRODUCT((PARIS!$AA$4:'PARIS'!$AA$103=A120)*PARIS!$AP$4:$AP$103)+SUMPRODUCT((PARIS!$AB$4:'PARIS'!$AB$103=A120)*PARIS!$AP$4:$AP$103)</f>
        <v>1565.035714285714</v>
      </c>
      <c r="F120" s="136" cm="1">
        <f t="array" ref="F120">SUMPRODUCT((PARIS!$C$4:'PARIS'!$C$103=A120)*PARIS!$V$4:$V$103)+SUMPRODUCT((PARIS!$AA$4:'PARIS'!$AA$103=A120)*PARIS!$AS$4:$AS$103)+SUMPRODUCT((PARIS!$AB$4:'PARIS'!$AB$103=A120)*PARIS!$AS$4:$AS$103)</f>
        <v>146.84285714285713</v>
      </c>
      <c r="G120" s="136" cm="1">
        <f t="array" ref="G120">SUMPRODUCT((PARIS!$C$4:'PARIS'!$C$103=A120)*PARIS!$W$4:$W$103)+SUMPRODUCT((PARIS!$AA$4:'PARIS'!$AA$103=A120)*PARIS!$AT$4:$AT$103)+SUMPRODUCT((PARIS!$AB$4:'PARIS'!$AB$103=A120)*PARIS!$AT$4:$AT$103)</f>
        <v>73.421428571428564</v>
      </c>
      <c r="H120" s="115"/>
      <c r="I120" s="139">
        <f t="shared" si="35"/>
        <v>109971.43431023807</v>
      </c>
      <c r="J120" s="136">
        <f t="shared" si="13"/>
        <v>26945.141486666671</v>
      </c>
      <c r="K120" s="136">
        <f t="shared" si="14"/>
        <v>81967.892823571412</v>
      </c>
      <c r="L120" s="136">
        <f t="shared" si="15"/>
        <v>7234.5567492588661</v>
      </c>
      <c r="M120" s="136">
        <f t="shared" si="16"/>
        <v>4642.2874004075702</v>
      </c>
      <c r="N120" s="115"/>
      <c r="O120" s="131"/>
      <c r="P120" s="131"/>
      <c r="Q120" s="131"/>
      <c r="R120" s="115"/>
      <c r="S120" s="131"/>
      <c r="T120" s="131"/>
      <c r="U120" s="131"/>
      <c r="V120" s="115"/>
      <c r="W120" s="128">
        <f>C120*(ResourcesEmissions!$B$79-Hypotheses!$D$31*Hypotheses!H84)</f>
        <v>2153.9340011904756</v>
      </c>
      <c r="X120" s="128">
        <f>C120*(ResourcesEmissions!$B$79-Hypotheses!$D$31*Hypotheses!I84)</f>
        <v>1660.525580696685</v>
      </c>
      <c r="Y120" s="128">
        <f>C120*(ResourcesEmissions!$B$79-Hypotheses!$D$31*Hypotheses!J84)</f>
        <v>1043.7650550794469</v>
      </c>
      <c r="Z120" s="115"/>
      <c r="AA120" s="126">
        <f>C120*(ResourcesEmissions!$C$79-Hypotheses!$D$30*Hypotheses!H84+(1-Hypotheses!H84)*Hypotheses!$D$14+Hypotheses!H84*Hypotheses!$D$19)</f>
        <v>1146.5492788818178</v>
      </c>
      <c r="AB120" s="126">
        <f>C120*(ResourcesEmissions!$C$79-Hypotheses!$D$30*Hypotheses!I84+(1-Hypotheses!I84)*Hypotheses!$D$14+Hypotheses!I84*Hypotheses!$D$19)</f>
        <v>1020.7301316559013</v>
      </c>
      <c r="AC120" s="126">
        <f>C120*(ResourcesEmissions!$C$79-Hypotheses!$D$30*Hypotheses!J84+(1-Hypotheses!J84)*Hypotheses!$D$14+Hypotheses!J84*Hypotheses!$D$19)</f>
        <v>863.45619762350566</v>
      </c>
      <c r="AD120" s="115"/>
      <c r="AE120" s="126">
        <f>C120*(ResourcesEmissions!$C$79-Hypotheses!$D$30*Hypotheses!H84+(1-Hypotheses!H84)*Hypotheses!$D$14+Hypotheses!H84*Hypotheses!$D$21)</f>
        <v>1148.399561024675</v>
      </c>
      <c r="AF120" s="126">
        <f>C120*(ResourcesEmissions!$C$79-Hypotheses!$D$30*Hypotheses!I84+(1-Hypotheses!I84)*Hypotheses!$D$14+Hypotheses!I84*Hypotheses!$D$21)</f>
        <v>1029.9815401061653</v>
      </c>
      <c r="AG120" s="126">
        <f>C120*(ResourcesEmissions!$C$79-Hypotheses!$D$30*Hypotheses!J84+(1-Hypotheses!J84)*Hypotheses!$D$14+Hypotheses!J84*Hypotheses!$D$21)</f>
        <v>881.95901395802832</v>
      </c>
      <c r="AH120" s="115"/>
      <c r="AI120" s="128">
        <f t="shared" si="36"/>
        <v>123900.36868148601</v>
      </c>
      <c r="AJ120" s="128">
        <f t="shared" si="37"/>
        <v>114726.80799074991</v>
      </c>
      <c r="AK120" s="128">
        <f t="shared" si="38"/>
        <v>103259.8571273298</v>
      </c>
      <c r="AL120" s="115"/>
      <c r="AM120" s="126">
        <f t="shared" si="29"/>
        <v>77863.673602918483</v>
      </c>
      <c r="AN120" s="126">
        <f t="shared" si="30"/>
        <v>75662.019037141814</v>
      </c>
      <c r="AO120" s="126">
        <f t="shared" si="31"/>
        <v>72909.950829920999</v>
      </c>
      <c r="AP120" s="115"/>
      <c r="AQ120" s="126">
        <f t="shared" si="32"/>
        <v>77863.673602918483</v>
      </c>
      <c r="AR120" s="126">
        <f t="shared" si="33"/>
        <v>75662.019037141814</v>
      </c>
      <c r="AS120" s="126">
        <f t="shared" si="34"/>
        <v>72909.950829920999</v>
      </c>
    </row>
    <row r="121" spans="1:45" x14ac:dyDescent="0.25">
      <c r="A121" s="94">
        <v>2066</v>
      </c>
      <c r="B121" s="139" cm="1">
        <f t="array" ref="B121">SUMPRODUCT((PARIS!$C$4:'PARIS'!$C$103=A121)*PARIS!$X$4:$X$103)+SUMPRODUCT((PARIS!$AA$4:'PARIS'!$AA$103=A121)*PARIS!$AQ$4:$AQ$103)+SUMPRODUCT((PARIS!$AB$4:'PARIS'!$AB$103=A121)*PARIS!$AQ$4:$AQ$103)</f>
        <v>0</v>
      </c>
      <c r="C121" s="139" cm="1">
        <f t="array" ref="C121">SUMPRODUCT((PARIS!$C$4:'PARIS'!$C$103=A121)*PARIS!$Y$4:$Y$103)+SUMPRODUCT((PARIS!$AA$4:'PARIS'!$AA$103=A121)*PARIS!$AR$4:$AR$103)+SUMPRODUCT((PARIS!$AB$4:'PARIS'!$AB$103=A121)*PARIS!$AR$4:$AR$103)</f>
        <v>0</v>
      </c>
      <c r="D121" s="136" cm="1">
        <f t="array" ref="D121">SUMPRODUCT((PARIS!$C$4:'PARIS'!$C$103=A121)*PARIS!$O$4:$O$103)+SUMPRODUCT((PARIS!$AA$4:'PARIS'!$AA$103=A121)*PARIS!$AM$4:$AM$103)+SUMPRODUCT((PARIS!$AB$4:'PARIS'!$AB$103=A121)*PARIS!$AM$4:$AM$103)</f>
        <v>0</v>
      </c>
      <c r="E121" s="136" cm="1">
        <f t="array" ref="E121">SUMPRODUCT((PARIS!$C$4:'PARIS'!$C$103=A121)*PARIS!$R$4:$R$103)+SUMPRODUCT((PARIS!$AA$4:'PARIS'!$AA$103=A121)*PARIS!$AP$4:$AP$103)+SUMPRODUCT((PARIS!$AB$4:'PARIS'!$AB$103=A121)*PARIS!$AP$4:$AP$103)</f>
        <v>0</v>
      </c>
      <c r="F121" s="136" cm="1">
        <f t="array" ref="F121">SUMPRODUCT((PARIS!$C$4:'PARIS'!$C$103=A121)*PARIS!$V$4:$V$103)+SUMPRODUCT((PARIS!$AA$4:'PARIS'!$AA$103=A121)*PARIS!$AS$4:$AS$103)+SUMPRODUCT((PARIS!$AB$4:'PARIS'!$AB$103=A121)*PARIS!$AS$4:$AS$103)</f>
        <v>0</v>
      </c>
      <c r="G121" s="136" cm="1">
        <f t="array" ref="G121">SUMPRODUCT((PARIS!$C$4:'PARIS'!$C$103=A121)*PARIS!$W$4:$W$103)+SUMPRODUCT((PARIS!$AA$4:'PARIS'!$AA$103=A121)*PARIS!$AT$4:$AT$103)+SUMPRODUCT((PARIS!$AB$4:'PARIS'!$AB$103=A121)*PARIS!$AT$4:$AT$103)</f>
        <v>0</v>
      </c>
      <c r="H121" s="115"/>
      <c r="I121" s="139">
        <f t="shared" si="35"/>
        <v>109971.43431023807</v>
      </c>
      <c r="J121" s="136">
        <f t="shared" si="13"/>
        <v>26945.141486666671</v>
      </c>
      <c r="K121" s="136">
        <f t="shared" si="14"/>
        <v>81967.892823571412</v>
      </c>
      <c r="L121" s="136">
        <f t="shared" si="15"/>
        <v>7234.5567492588661</v>
      </c>
      <c r="M121" s="136">
        <f t="shared" si="16"/>
        <v>4642.2874004075702</v>
      </c>
      <c r="N121" s="115"/>
      <c r="O121" s="131"/>
      <c r="P121" s="131"/>
      <c r="Q121" s="131"/>
      <c r="R121" s="115"/>
      <c r="S121" s="131"/>
      <c r="T121" s="131"/>
      <c r="U121" s="131"/>
      <c r="V121" s="115"/>
      <c r="W121" s="128">
        <f>C121*(ResourcesEmissions!$B$79-Hypotheses!$D$31*Hypotheses!H85)</f>
        <v>0</v>
      </c>
      <c r="X121" s="128">
        <f>C121*(ResourcesEmissions!$B$79-Hypotheses!$D$31*Hypotheses!I85)</f>
        <v>0</v>
      </c>
      <c r="Y121" s="128">
        <f>C121*(ResourcesEmissions!$B$79-Hypotheses!$D$31*Hypotheses!J85)</f>
        <v>0</v>
      </c>
      <c r="Z121" s="115"/>
      <c r="AA121" s="126">
        <f>C121*(ResourcesEmissions!$C$79-Hypotheses!$D$30*Hypotheses!H85+(1-Hypotheses!H85)*Hypotheses!$D$14+Hypotheses!H85*Hypotheses!$D$19)</f>
        <v>0</v>
      </c>
      <c r="AB121" s="126">
        <f>C121*(ResourcesEmissions!$C$79-Hypotheses!$D$30*Hypotheses!I85+(1-Hypotheses!I85)*Hypotheses!$D$14+Hypotheses!I85*Hypotheses!$D$19)</f>
        <v>0</v>
      </c>
      <c r="AC121" s="126">
        <f>C121*(ResourcesEmissions!$C$79-Hypotheses!$D$30*Hypotheses!J85+(1-Hypotheses!J85)*Hypotheses!$D$14+Hypotheses!J85*Hypotheses!$D$19)</f>
        <v>0</v>
      </c>
      <c r="AD121" s="115"/>
      <c r="AE121" s="126">
        <f>C121*(ResourcesEmissions!$C$79-Hypotheses!$D$30*Hypotheses!H85+(1-Hypotheses!H85)*Hypotheses!$D$14+Hypotheses!H85*Hypotheses!$D$21)</f>
        <v>0</v>
      </c>
      <c r="AF121" s="126">
        <f>C121*(ResourcesEmissions!$C$79-Hypotheses!$D$30*Hypotheses!I85+(1-Hypotheses!I85)*Hypotheses!$D$14+Hypotheses!I85*Hypotheses!$D$21)</f>
        <v>0</v>
      </c>
      <c r="AG121" s="126">
        <f>C121*(ResourcesEmissions!$C$79-Hypotheses!$D$30*Hypotheses!J85+(1-Hypotheses!J85)*Hypotheses!$D$14+Hypotheses!J85*Hypotheses!$D$21)</f>
        <v>0</v>
      </c>
      <c r="AH121" s="115"/>
      <c r="AI121" s="128">
        <f t="shared" si="36"/>
        <v>123900.36868148601</v>
      </c>
      <c r="AJ121" s="128">
        <f t="shared" si="37"/>
        <v>114726.80799074991</v>
      </c>
      <c r="AK121" s="128">
        <f t="shared" si="38"/>
        <v>103259.8571273298</v>
      </c>
      <c r="AL121" s="115"/>
      <c r="AM121" s="126">
        <f t="shared" si="29"/>
        <v>77863.673602918483</v>
      </c>
      <c r="AN121" s="126">
        <f t="shared" si="30"/>
        <v>75662.019037141814</v>
      </c>
      <c r="AO121" s="126">
        <f t="shared" si="31"/>
        <v>72909.950829920999</v>
      </c>
      <c r="AP121" s="115"/>
      <c r="AQ121" s="126">
        <f t="shared" si="32"/>
        <v>77863.673602918483</v>
      </c>
      <c r="AR121" s="126">
        <f t="shared" si="33"/>
        <v>75662.019037141814</v>
      </c>
      <c r="AS121" s="126">
        <f t="shared" si="34"/>
        <v>72909.950829920999</v>
      </c>
    </row>
    <row r="122" spans="1:45" x14ac:dyDescent="0.25">
      <c r="A122" s="94">
        <v>2067</v>
      </c>
      <c r="B122" s="139" cm="1">
        <f t="array" ref="B122">SUMPRODUCT((PARIS!$C$4:'PARIS'!$C$103=A122)*PARIS!$X$4:$X$103)+SUMPRODUCT((PARIS!$AA$4:'PARIS'!$AA$103=A122)*PARIS!$AQ$4:$AQ$103)+SUMPRODUCT((PARIS!$AB$4:'PARIS'!$AB$103=A122)*PARIS!$AQ$4:$AQ$103)</f>
        <v>0</v>
      </c>
      <c r="C122" s="139" cm="1">
        <f t="array" ref="C122">SUMPRODUCT((PARIS!$C$4:'PARIS'!$C$103=A122)*PARIS!$Y$4:$Y$103)+SUMPRODUCT((PARIS!$AA$4:'PARIS'!$AA$103=A122)*PARIS!$AR$4:$AR$103)+SUMPRODUCT((PARIS!$AB$4:'PARIS'!$AB$103=A122)*PARIS!$AR$4:$AR$103)</f>
        <v>0</v>
      </c>
      <c r="D122" s="136" cm="1">
        <f t="array" ref="D122">SUMPRODUCT((PARIS!$C$4:'PARIS'!$C$103=A122)*PARIS!$O$4:$O$103)+SUMPRODUCT((PARIS!$AA$4:'PARIS'!$AA$103=A122)*PARIS!$AM$4:$AM$103)+SUMPRODUCT((PARIS!$AB$4:'PARIS'!$AB$103=A122)*PARIS!$AM$4:$AM$103)</f>
        <v>0</v>
      </c>
      <c r="E122" s="136" cm="1">
        <f t="array" ref="E122">SUMPRODUCT((PARIS!$C$4:'PARIS'!$C$103=A122)*PARIS!$R$4:$R$103)+SUMPRODUCT((PARIS!$AA$4:'PARIS'!$AA$103=A122)*PARIS!$AP$4:$AP$103)+SUMPRODUCT((PARIS!$AB$4:'PARIS'!$AB$103=A122)*PARIS!$AP$4:$AP$103)</f>
        <v>0</v>
      </c>
      <c r="F122" s="136" cm="1">
        <f t="array" ref="F122">SUMPRODUCT((PARIS!$C$4:'PARIS'!$C$103=A122)*PARIS!$V$4:$V$103)+SUMPRODUCT((PARIS!$AA$4:'PARIS'!$AA$103=A122)*PARIS!$AS$4:$AS$103)+SUMPRODUCT((PARIS!$AB$4:'PARIS'!$AB$103=A122)*PARIS!$AS$4:$AS$103)</f>
        <v>0</v>
      </c>
      <c r="G122" s="136" cm="1">
        <f t="array" ref="G122">SUMPRODUCT((PARIS!$C$4:'PARIS'!$C$103=A122)*PARIS!$W$4:$W$103)+SUMPRODUCT((PARIS!$AA$4:'PARIS'!$AA$103=A122)*PARIS!$AT$4:$AT$103)+SUMPRODUCT((PARIS!$AB$4:'PARIS'!$AB$103=A122)*PARIS!$AT$4:$AT$103)</f>
        <v>0</v>
      </c>
      <c r="H122" s="115"/>
      <c r="I122" s="139">
        <f t="shared" si="35"/>
        <v>109971.43431023807</v>
      </c>
      <c r="J122" s="136">
        <f t="shared" si="13"/>
        <v>26945.141486666671</v>
      </c>
      <c r="K122" s="136">
        <f t="shared" si="14"/>
        <v>81967.892823571412</v>
      </c>
      <c r="L122" s="136">
        <f t="shared" si="15"/>
        <v>7234.5567492588661</v>
      </c>
      <c r="M122" s="136">
        <f t="shared" si="16"/>
        <v>4642.2874004075702</v>
      </c>
      <c r="N122" s="115"/>
      <c r="O122" s="131"/>
      <c r="P122" s="131"/>
      <c r="Q122" s="131"/>
      <c r="R122" s="115"/>
      <c r="S122" s="131"/>
      <c r="T122" s="131"/>
      <c r="U122" s="131"/>
      <c r="V122" s="115"/>
      <c r="W122" s="128">
        <f>C122*(ResourcesEmissions!$B$79-Hypotheses!$D$31*Hypotheses!H86)</f>
        <v>0</v>
      </c>
      <c r="X122" s="128">
        <f>C122*(ResourcesEmissions!$B$79-Hypotheses!$D$31*Hypotheses!I86)</f>
        <v>0</v>
      </c>
      <c r="Y122" s="128">
        <f>C122*(ResourcesEmissions!$B$79-Hypotheses!$D$31*Hypotheses!J86)</f>
        <v>0</v>
      </c>
      <c r="Z122" s="115"/>
      <c r="AA122" s="126">
        <f>C122*(ResourcesEmissions!$C$79-Hypotheses!$D$30*Hypotheses!H86+(1-Hypotheses!H86)*Hypotheses!$D$14+Hypotheses!H86*Hypotheses!$D$19)</f>
        <v>0</v>
      </c>
      <c r="AB122" s="126">
        <f>C122*(ResourcesEmissions!$C$79-Hypotheses!$D$30*Hypotheses!I86+(1-Hypotheses!I86)*Hypotheses!$D$14+Hypotheses!I86*Hypotheses!$D$19)</f>
        <v>0</v>
      </c>
      <c r="AC122" s="126">
        <f>C122*(ResourcesEmissions!$C$79-Hypotheses!$D$30*Hypotheses!J86+(1-Hypotheses!J86)*Hypotheses!$D$14+Hypotheses!J86*Hypotheses!$D$19)</f>
        <v>0</v>
      </c>
      <c r="AD122" s="115"/>
      <c r="AE122" s="126">
        <f>C122*(ResourcesEmissions!$C$79-Hypotheses!$D$30*Hypotheses!H86+(1-Hypotheses!H86)*Hypotheses!$D$14+Hypotheses!H86*Hypotheses!$D$21)</f>
        <v>0</v>
      </c>
      <c r="AF122" s="126">
        <f>C122*(ResourcesEmissions!$C$79-Hypotheses!$D$30*Hypotheses!I86+(1-Hypotheses!I86)*Hypotheses!$D$14+Hypotheses!I86*Hypotheses!$D$21)</f>
        <v>0</v>
      </c>
      <c r="AG122" s="126">
        <f>C122*(ResourcesEmissions!$C$79-Hypotheses!$D$30*Hypotheses!J86+(1-Hypotheses!J86)*Hypotheses!$D$14+Hypotheses!J86*Hypotheses!$D$21)</f>
        <v>0</v>
      </c>
      <c r="AH122" s="115"/>
      <c r="AI122" s="128">
        <f t="shared" si="36"/>
        <v>123900.36868148601</v>
      </c>
      <c r="AJ122" s="128">
        <f t="shared" si="37"/>
        <v>114726.80799074991</v>
      </c>
      <c r="AK122" s="128">
        <f t="shared" si="38"/>
        <v>103259.8571273298</v>
      </c>
      <c r="AL122" s="115"/>
      <c r="AM122" s="126">
        <f t="shared" si="29"/>
        <v>77863.673602918483</v>
      </c>
      <c r="AN122" s="126">
        <f t="shared" si="30"/>
        <v>75662.019037141814</v>
      </c>
      <c r="AO122" s="126">
        <f t="shared" si="31"/>
        <v>72909.950829920999</v>
      </c>
      <c r="AP122" s="115"/>
      <c r="AQ122" s="126">
        <f t="shared" si="32"/>
        <v>77863.673602918483</v>
      </c>
      <c r="AR122" s="126">
        <f t="shared" si="33"/>
        <v>75662.019037141814</v>
      </c>
      <c r="AS122" s="126">
        <f t="shared" si="34"/>
        <v>72909.950829920999</v>
      </c>
    </row>
    <row r="123" spans="1:45" x14ac:dyDescent="0.25">
      <c r="A123" s="94">
        <v>2068</v>
      </c>
      <c r="B123" s="139" cm="1">
        <f t="array" ref="B123">SUMPRODUCT((PARIS!$C$4:'PARIS'!$C$103=A123)*PARIS!$X$4:$X$103)+SUMPRODUCT((PARIS!$AA$4:'PARIS'!$AA$103=A123)*PARIS!$AQ$4:$AQ$103)+SUMPRODUCT((PARIS!$AB$4:'PARIS'!$AB$103=A123)*PARIS!$AQ$4:$AQ$103)</f>
        <v>0</v>
      </c>
      <c r="C123" s="139" cm="1">
        <f t="array" ref="C123">SUMPRODUCT((PARIS!$C$4:'PARIS'!$C$103=A123)*PARIS!$Y$4:$Y$103)+SUMPRODUCT((PARIS!$AA$4:'PARIS'!$AA$103=A123)*PARIS!$AR$4:$AR$103)+SUMPRODUCT((PARIS!$AB$4:'PARIS'!$AB$103=A123)*PARIS!$AR$4:$AR$103)</f>
        <v>0</v>
      </c>
      <c r="D123" s="136" cm="1">
        <f t="array" ref="D123">SUMPRODUCT((PARIS!$C$4:'PARIS'!$C$103=A123)*PARIS!$O$4:$O$103)+SUMPRODUCT((PARIS!$AA$4:'PARIS'!$AA$103=A123)*PARIS!$AM$4:$AM$103)+SUMPRODUCT((PARIS!$AB$4:'PARIS'!$AB$103=A123)*PARIS!$AM$4:$AM$103)</f>
        <v>0</v>
      </c>
      <c r="E123" s="136" cm="1">
        <f t="array" ref="E123">SUMPRODUCT((PARIS!$C$4:'PARIS'!$C$103=A123)*PARIS!$R$4:$R$103)+SUMPRODUCT((PARIS!$AA$4:'PARIS'!$AA$103=A123)*PARIS!$AP$4:$AP$103)+SUMPRODUCT((PARIS!$AB$4:'PARIS'!$AB$103=A123)*PARIS!$AP$4:$AP$103)</f>
        <v>0</v>
      </c>
      <c r="F123" s="136" cm="1">
        <f t="array" ref="F123">SUMPRODUCT((PARIS!$C$4:'PARIS'!$C$103=A123)*PARIS!$V$4:$V$103)+SUMPRODUCT((PARIS!$AA$4:'PARIS'!$AA$103=A123)*PARIS!$AS$4:$AS$103)+SUMPRODUCT((PARIS!$AB$4:'PARIS'!$AB$103=A123)*PARIS!$AS$4:$AS$103)</f>
        <v>0</v>
      </c>
      <c r="G123" s="136" cm="1">
        <f t="array" ref="G123">SUMPRODUCT((PARIS!$C$4:'PARIS'!$C$103=A123)*PARIS!$W$4:$W$103)+SUMPRODUCT((PARIS!$AA$4:'PARIS'!$AA$103=A123)*PARIS!$AT$4:$AT$103)+SUMPRODUCT((PARIS!$AB$4:'PARIS'!$AB$103=A123)*PARIS!$AT$4:$AT$103)</f>
        <v>0</v>
      </c>
      <c r="H123" s="115"/>
      <c r="I123" s="139">
        <f t="shared" si="35"/>
        <v>109971.43431023807</v>
      </c>
      <c r="J123" s="136">
        <f t="shared" si="13"/>
        <v>26945.141486666671</v>
      </c>
      <c r="K123" s="136">
        <f t="shared" si="14"/>
        <v>81967.892823571412</v>
      </c>
      <c r="L123" s="136">
        <f t="shared" si="15"/>
        <v>7234.5567492588661</v>
      </c>
      <c r="M123" s="136">
        <f t="shared" si="16"/>
        <v>4642.2874004075702</v>
      </c>
      <c r="N123" s="115"/>
      <c r="O123" s="131"/>
      <c r="P123" s="131"/>
      <c r="Q123" s="131"/>
      <c r="R123" s="115"/>
      <c r="S123" s="131"/>
      <c r="T123" s="131"/>
      <c r="U123" s="131"/>
      <c r="V123" s="115"/>
      <c r="W123" s="128">
        <f>C123*(ResourcesEmissions!$B$79-Hypotheses!$D$31*Hypotheses!H87)</f>
        <v>0</v>
      </c>
      <c r="X123" s="128">
        <f>C123*(ResourcesEmissions!$B$79-Hypotheses!$D$31*Hypotheses!I87)</f>
        <v>0</v>
      </c>
      <c r="Y123" s="128">
        <f>C123*(ResourcesEmissions!$B$79-Hypotheses!$D$31*Hypotheses!J87)</f>
        <v>0</v>
      </c>
      <c r="Z123" s="115"/>
      <c r="AA123" s="126">
        <f>C123*(ResourcesEmissions!$C$79-Hypotheses!$D$30*Hypotheses!H87+(1-Hypotheses!H87)*Hypotheses!$D$14+Hypotheses!H87*Hypotheses!$D$19)</f>
        <v>0</v>
      </c>
      <c r="AB123" s="126">
        <f>C123*(ResourcesEmissions!$C$79-Hypotheses!$D$30*Hypotheses!I87+(1-Hypotheses!I87)*Hypotheses!$D$14+Hypotheses!I87*Hypotheses!$D$19)</f>
        <v>0</v>
      </c>
      <c r="AC123" s="126">
        <f>C123*(ResourcesEmissions!$C$79-Hypotheses!$D$30*Hypotheses!J87+(1-Hypotheses!J87)*Hypotheses!$D$14+Hypotheses!J87*Hypotheses!$D$19)</f>
        <v>0</v>
      </c>
      <c r="AD123" s="115"/>
      <c r="AE123" s="126">
        <f>C123*(ResourcesEmissions!$C$79-Hypotheses!$D$30*Hypotheses!H87+(1-Hypotheses!H87)*Hypotheses!$D$14+Hypotheses!H87*Hypotheses!$D$21)</f>
        <v>0</v>
      </c>
      <c r="AF123" s="126">
        <f>C123*(ResourcesEmissions!$C$79-Hypotheses!$D$30*Hypotheses!I87+(1-Hypotheses!I87)*Hypotheses!$D$14+Hypotheses!I87*Hypotheses!$D$21)</f>
        <v>0</v>
      </c>
      <c r="AG123" s="126">
        <f>C123*(ResourcesEmissions!$C$79-Hypotheses!$D$30*Hypotheses!J87+(1-Hypotheses!J87)*Hypotheses!$D$14+Hypotheses!J87*Hypotheses!$D$21)</f>
        <v>0</v>
      </c>
      <c r="AH123" s="115"/>
      <c r="AI123" s="128">
        <f t="shared" si="36"/>
        <v>123900.36868148601</v>
      </c>
      <c r="AJ123" s="128">
        <f t="shared" si="37"/>
        <v>114726.80799074991</v>
      </c>
      <c r="AK123" s="128">
        <f t="shared" si="38"/>
        <v>103259.8571273298</v>
      </c>
      <c r="AL123" s="115"/>
      <c r="AM123" s="126">
        <f t="shared" si="29"/>
        <v>77863.673602918483</v>
      </c>
      <c r="AN123" s="126">
        <f t="shared" si="30"/>
        <v>75662.019037141814</v>
      </c>
      <c r="AO123" s="126">
        <f t="shared" si="31"/>
        <v>72909.950829920999</v>
      </c>
      <c r="AP123" s="115"/>
      <c r="AQ123" s="126">
        <f t="shared" si="32"/>
        <v>77863.673602918483</v>
      </c>
      <c r="AR123" s="126">
        <f t="shared" si="33"/>
        <v>75662.019037141814</v>
      </c>
      <c r="AS123" s="126">
        <f t="shared" si="34"/>
        <v>72909.950829920999</v>
      </c>
    </row>
    <row r="124" spans="1:45" x14ac:dyDescent="0.25">
      <c r="A124" s="94">
        <v>2069</v>
      </c>
      <c r="B124" s="139" cm="1">
        <f t="array" ref="B124">SUMPRODUCT((PARIS!$C$4:'PARIS'!$C$103=A124)*PARIS!$X$4:$X$103)+SUMPRODUCT((PARIS!$AA$4:'PARIS'!$AA$103=A124)*PARIS!$AQ$4:$AQ$103)+SUMPRODUCT((PARIS!$AB$4:'PARIS'!$AB$103=A124)*PARIS!$AQ$4:$AQ$103)</f>
        <v>0</v>
      </c>
      <c r="C124" s="139" cm="1">
        <f t="array" ref="C124">SUMPRODUCT((PARIS!$C$4:'PARIS'!$C$103=A124)*PARIS!$Y$4:$Y$103)+SUMPRODUCT((PARIS!$AA$4:'PARIS'!$AA$103=A124)*PARIS!$AR$4:$AR$103)+SUMPRODUCT((PARIS!$AB$4:'PARIS'!$AB$103=A124)*PARIS!$AR$4:$AR$103)</f>
        <v>0</v>
      </c>
      <c r="D124" s="136" cm="1">
        <f t="array" ref="D124">SUMPRODUCT((PARIS!$C$4:'PARIS'!$C$103=A124)*PARIS!$O$4:$O$103)+SUMPRODUCT((PARIS!$AA$4:'PARIS'!$AA$103=A124)*PARIS!$AM$4:$AM$103)+SUMPRODUCT((PARIS!$AB$4:'PARIS'!$AB$103=A124)*PARIS!$AM$4:$AM$103)</f>
        <v>0</v>
      </c>
      <c r="E124" s="136" cm="1">
        <f t="array" ref="E124">SUMPRODUCT((PARIS!$C$4:'PARIS'!$C$103=A124)*PARIS!$R$4:$R$103)+SUMPRODUCT((PARIS!$AA$4:'PARIS'!$AA$103=A124)*PARIS!$AP$4:$AP$103)+SUMPRODUCT((PARIS!$AB$4:'PARIS'!$AB$103=A124)*PARIS!$AP$4:$AP$103)</f>
        <v>0</v>
      </c>
      <c r="F124" s="136" cm="1">
        <f t="array" ref="F124">SUMPRODUCT((PARIS!$C$4:'PARIS'!$C$103=A124)*PARIS!$V$4:$V$103)+SUMPRODUCT((PARIS!$AA$4:'PARIS'!$AA$103=A124)*PARIS!$AS$4:$AS$103)+SUMPRODUCT((PARIS!$AB$4:'PARIS'!$AB$103=A124)*PARIS!$AS$4:$AS$103)</f>
        <v>0</v>
      </c>
      <c r="G124" s="136" cm="1">
        <f t="array" ref="G124">SUMPRODUCT((PARIS!$C$4:'PARIS'!$C$103=A124)*PARIS!$W$4:$W$103)+SUMPRODUCT((PARIS!$AA$4:'PARIS'!$AA$103=A124)*PARIS!$AT$4:$AT$103)+SUMPRODUCT((PARIS!$AB$4:'PARIS'!$AB$103=A124)*PARIS!$AT$4:$AT$103)</f>
        <v>0</v>
      </c>
      <c r="H124" s="115"/>
      <c r="I124" s="139">
        <f t="shared" si="35"/>
        <v>109971.43431023807</v>
      </c>
      <c r="J124" s="136">
        <f t="shared" si="13"/>
        <v>26945.141486666671</v>
      </c>
      <c r="K124" s="136">
        <f t="shared" si="14"/>
        <v>81967.892823571412</v>
      </c>
      <c r="L124" s="136">
        <f t="shared" si="15"/>
        <v>7234.5567492588661</v>
      </c>
      <c r="M124" s="136">
        <f t="shared" si="16"/>
        <v>4642.2874004075702</v>
      </c>
      <c r="N124" s="115"/>
      <c r="O124" s="131"/>
      <c r="P124" s="131"/>
      <c r="Q124" s="131"/>
      <c r="R124" s="115"/>
      <c r="S124" s="131"/>
      <c r="T124" s="131"/>
      <c r="U124" s="131"/>
      <c r="V124" s="115"/>
      <c r="W124" s="128">
        <f>C124*(ResourcesEmissions!$B$79-Hypotheses!$D$31*Hypotheses!H88)</f>
        <v>0</v>
      </c>
      <c r="X124" s="128">
        <f>C124*(ResourcesEmissions!$B$79-Hypotheses!$D$31*Hypotheses!I88)</f>
        <v>0</v>
      </c>
      <c r="Y124" s="128">
        <f>C124*(ResourcesEmissions!$B$79-Hypotheses!$D$31*Hypotheses!J88)</f>
        <v>0</v>
      </c>
      <c r="Z124" s="115"/>
      <c r="AA124" s="126">
        <f>C124*(ResourcesEmissions!$C$79-Hypotheses!$D$30*Hypotheses!H88+(1-Hypotheses!H88)*Hypotheses!$D$14+Hypotheses!H88*Hypotheses!$D$19)</f>
        <v>0</v>
      </c>
      <c r="AB124" s="126">
        <f>C124*(ResourcesEmissions!$C$79-Hypotheses!$D$30*Hypotheses!I88+(1-Hypotheses!I88)*Hypotheses!$D$14+Hypotheses!I88*Hypotheses!$D$19)</f>
        <v>0</v>
      </c>
      <c r="AC124" s="126">
        <f>C124*(ResourcesEmissions!$C$79-Hypotheses!$D$30*Hypotheses!J88+(1-Hypotheses!J88)*Hypotheses!$D$14+Hypotheses!J88*Hypotheses!$D$19)</f>
        <v>0</v>
      </c>
      <c r="AD124" s="115"/>
      <c r="AE124" s="126">
        <f>C124*(ResourcesEmissions!$C$79-Hypotheses!$D$30*Hypotheses!H88+(1-Hypotheses!H88)*Hypotheses!$D$14+Hypotheses!H88*Hypotheses!$D$21)</f>
        <v>0</v>
      </c>
      <c r="AF124" s="126">
        <f>C124*(ResourcesEmissions!$C$79-Hypotheses!$D$30*Hypotheses!I88+(1-Hypotheses!I88)*Hypotheses!$D$14+Hypotheses!I88*Hypotheses!$D$21)</f>
        <v>0</v>
      </c>
      <c r="AG124" s="126">
        <f>C124*(ResourcesEmissions!$C$79-Hypotheses!$D$30*Hypotheses!J88+(1-Hypotheses!J88)*Hypotheses!$D$14+Hypotheses!J88*Hypotheses!$D$21)</f>
        <v>0</v>
      </c>
      <c r="AH124" s="115"/>
      <c r="AI124" s="128">
        <f t="shared" si="36"/>
        <v>123900.36868148601</v>
      </c>
      <c r="AJ124" s="128">
        <f t="shared" si="37"/>
        <v>114726.80799074991</v>
      </c>
      <c r="AK124" s="128">
        <f t="shared" si="38"/>
        <v>103259.8571273298</v>
      </c>
      <c r="AL124" s="115"/>
      <c r="AM124" s="126">
        <f t="shared" si="29"/>
        <v>77863.673602918483</v>
      </c>
      <c r="AN124" s="126">
        <f t="shared" si="30"/>
        <v>75662.019037141814</v>
      </c>
      <c r="AO124" s="126">
        <f t="shared" si="31"/>
        <v>72909.950829920999</v>
      </c>
      <c r="AP124" s="115"/>
      <c r="AQ124" s="126">
        <f t="shared" si="32"/>
        <v>77863.673602918483</v>
      </c>
      <c r="AR124" s="126">
        <f t="shared" si="33"/>
        <v>75662.019037141814</v>
      </c>
      <c r="AS124" s="126">
        <f t="shared" si="34"/>
        <v>72909.950829920999</v>
      </c>
    </row>
    <row r="125" spans="1:45" x14ac:dyDescent="0.25">
      <c r="A125" s="94">
        <v>2070</v>
      </c>
      <c r="B125" s="139" cm="1">
        <f t="array" ref="B125">SUMPRODUCT((PARIS!$C$4:'PARIS'!$C$103=A125)*PARIS!$X$4:$X$103)+SUMPRODUCT((PARIS!$AA$4:'PARIS'!$AA$103=A125)*PARIS!$AQ$4:$AQ$103)+SUMPRODUCT((PARIS!$AB$4:'PARIS'!$AB$103=A125)*PARIS!$AQ$4:$AQ$103)</f>
        <v>0</v>
      </c>
      <c r="C125" s="139" cm="1">
        <f t="array" ref="C125">SUMPRODUCT((PARIS!$C$4:'PARIS'!$C$103=A125)*PARIS!$Y$4:$Y$103)+SUMPRODUCT((PARIS!$AA$4:'PARIS'!$AA$103=A125)*PARIS!$AR$4:$AR$103)+SUMPRODUCT((PARIS!$AB$4:'PARIS'!$AB$103=A125)*PARIS!$AR$4:$AR$103)</f>
        <v>0</v>
      </c>
      <c r="D125" s="136" cm="1">
        <f t="array" ref="D125">SUMPRODUCT((PARIS!$C$4:'PARIS'!$C$103=A125)*PARIS!$O$4:$O$103)+SUMPRODUCT((PARIS!$AA$4:'PARIS'!$AA$103=A125)*PARIS!$AM$4:$AM$103)+SUMPRODUCT((PARIS!$AB$4:'PARIS'!$AB$103=A125)*PARIS!$AM$4:$AM$103)</f>
        <v>0</v>
      </c>
      <c r="E125" s="136" cm="1">
        <f t="array" ref="E125">SUMPRODUCT((PARIS!$C$4:'PARIS'!$C$103=A125)*PARIS!$R$4:$R$103)+SUMPRODUCT((PARIS!$AA$4:'PARIS'!$AA$103=A125)*PARIS!$AP$4:$AP$103)+SUMPRODUCT((PARIS!$AB$4:'PARIS'!$AB$103=A125)*PARIS!$AP$4:$AP$103)</f>
        <v>0</v>
      </c>
      <c r="F125" s="136" cm="1">
        <f t="array" ref="F125">SUMPRODUCT((PARIS!$C$4:'PARIS'!$C$103=A125)*PARIS!$V$4:$V$103)+SUMPRODUCT((PARIS!$AA$4:'PARIS'!$AA$103=A125)*PARIS!$AS$4:$AS$103)+SUMPRODUCT((PARIS!$AB$4:'PARIS'!$AB$103=A125)*PARIS!$AS$4:$AS$103)</f>
        <v>0</v>
      </c>
      <c r="G125" s="136" cm="1">
        <f t="array" ref="G125">SUMPRODUCT((PARIS!$C$4:'PARIS'!$C$103=A125)*PARIS!$W$4:$W$103)+SUMPRODUCT((PARIS!$AA$4:'PARIS'!$AA$103=A125)*PARIS!$AT$4:$AT$103)+SUMPRODUCT((PARIS!$AB$4:'PARIS'!$AB$103=A125)*PARIS!$AT$4:$AT$103)</f>
        <v>0</v>
      </c>
      <c r="H125" s="115"/>
      <c r="I125" s="139">
        <f t="shared" si="35"/>
        <v>109971.43431023807</v>
      </c>
      <c r="J125" s="136">
        <f t="shared" si="13"/>
        <v>26945.141486666671</v>
      </c>
      <c r="K125" s="136">
        <f t="shared" si="14"/>
        <v>81967.892823571412</v>
      </c>
      <c r="L125" s="136">
        <f t="shared" si="15"/>
        <v>7234.5567492588661</v>
      </c>
      <c r="M125" s="136">
        <f t="shared" si="16"/>
        <v>4642.2874004075702</v>
      </c>
      <c r="N125" s="115"/>
      <c r="O125" s="131"/>
      <c r="P125" s="131"/>
      <c r="Q125" s="131"/>
      <c r="R125" s="115"/>
      <c r="S125" s="131"/>
      <c r="T125" s="131"/>
      <c r="U125" s="131"/>
      <c r="V125" s="115"/>
      <c r="W125" s="128">
        <f>C125*(ResourcesEmissions!$B$79-Hypotheses!$D$31*Hypotheses!H89)</f>
        <v>0</v>
      </c>
      <c r="X125" s="128">
        <f>C125*(ResourcesEmissions!$B$79-Hypotheses!$D$31*Hypotheses!I89)</f>
        <v>0</v>
      </c>
      <c r="Y125" s="128">
        <f>C125*(ResourcesEmissions!$B$79-Hypotheses!$D$31*Hypotheses!J89)</f>
        <v>0</v>
      </c>
      <c r="Z125" s="115"/>
      <c r="AA125" s="126">
        <f>C125*(ResourcesEmissions!$C$79-Hypotheses!$D$30*Hypotheses!H89+(1-Hypotheses!H89)*Hypotheses!$D$14+Hypotheses!H89*Hypotheses!$D$19)</f>
        <v>0</v>
      </c>
      <c r="AB125" s="126">
        <f>C125*(ResourcesEmissions!$C$79-Hypotheses!$D$30*Hypotheses!I89+(1-Hypotheses!I89)*Hypotheses!$D$14+Hypotheses!I89*Hypotheses!$D$19)</f>
        <v>0</v>
      </c>
      <c r="AC125" s="126">
        <f>C125*(ResourcesEmissions!$C$79-Hypotheses!$D$30*Hypotheses!J89+(1-Hypotheses!J89)*Hypotheses!$D$14+Hypotheses!J89*Hypotheses!$D$19)</f>
        <v>0</v>
      </c>
      <c r="AD125" s="115"/>
      <c r="AE125" s="126">
        <f>C125*(ResourcesEmissions!$C$79-Hypotheses!$D$30*Hypotheses!H89+(1-Hypotheses!H89)*Hypotheses!$D$14+Hypotheses!H89*Hypotheses!$D$21)</f>
        <v>0</v>
      </c>
      <c r="AF125" s="126">
        <f>C125*(ResourcesEmissions!$C$79-Hypotheses!$D$30*Hypotheses!I89+(1-Hypotheses!I89)*Hypotheses!$D$14+Hypotheses!I89*Hypotheses!$D$21)</f>
        <v>0</v>
      </c>
      <c r="AG125" s="126">
        <f>C125*(ResourcesEmissions!$C$79-Hypotheses!$D$30*Hypotheses!J89+(1-Hypotheses!J89)*Hypotheses!$D$14+Hypotheses!J89*Hypotheses!$D$21)</f>
        <v>0</v>
      </c>
      <c r="AH125" s="115"/>
      <c r="AI125" s="128">
        <f t="shared" si="36"/>
        <v>123900.36868148601</v>
      </c>
      <c r="AJ125" s="128">
        <f t="shared" si="37"/>
        <v>114726.80799074991</v>
      </c>
      <c r="AK125" s="128">
        <f t="shared" si="38"/>
        <v>103259.8571273298</v>
      </c>
      <c r="AL125" s="115"/>
      <c r="AM125" s="126">
        <f t="shared" si="29"/>
        <v>77863.673602918483</v>
      </c>
      <c r="AN125" s="126">
        <f t="shared" si="30"/>
        <v>75662.019037141814</v>
      </c>
      <c r="AO125" s="126">
        <f t="shared" si="31"/>
        <v>72909.950829920999</v>
      </c>
      <c r="AP125" s="115"/>
      <c r="AQ125" s="126">
        <f t="shared" si="32"/>
        <v>77863.673602918483</v>
      </c>
      <c r="AR125" s="126">
        <f t="shared" si="33"/>
        <v>75662.019037141814</v>
      </c>
      <c r="AS125" s="126">
        <f t="shared" si="34"/>
        <v>72909.950829920999</v>
      </c>
    </row>
    <row r="128" spans="1:45" x14ac:dyDescent="0.25">
      <c r="AR128" s="254">
        <f>AQ125-AS125</f>
        <v>4953.7227729974838</v>
      </c>
    </row>
    <row r="132" spans="40:44" x14ac:dyDescent="0.25">
      <c r="AN132" s="254"/>
      <c r="AR132" s="254"/>
    </row>
  </sheetData>
  <mergeCells count="15">
    <mergeCell ref="AI2:AK2"/>
    <mergeCell ref="AM2:AO2"/>
    <mergeCell ref="AQ2:AS2"/>
    <mergeCell ref="B1:G1"/>
    <mergeCell ref="I1:M1"/>
    <mergeCell ref="O1:Q1"/>
    <mergeCell ref="S1:U1"/>
    <mergeCell ref="W2:Y2"/>
    <mergeCell ref="AA2:AC2"/>
    <mergeCell ref="AE2:AG2"/>
    <mergeCell ref="W1:AS1"/>
    <mergeCell ref="B2:G2"/>
    <mergeCell ref="I2:M2"/>
    <mergeCell ref="O2:Q2"/>
    <mergeCell ref="S2:U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D6AE3-726B-4C17-A86A-82639CA06902}">
  <dimension ref="A1:BD125"/>
  <sheetViews>
    <sheetView zoomScale="85" zoomScaleNormal="85"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9.140625" style="94"/>
    <col min="2" max="7" width="12.7109375" style="94" customWidth="1"/>
    <col min="8" max="8" width="2.85546875" style="111" customWidth="1"/>
    <col min="9" max="13" width="12.7109375" style="94" customWidth="1"/>
    <col min="14" max="14" width="2.85546875" style="111" customWidth="1"/>
    <col min="15" max="17" width="15" style="94" customWidth="1"/>
    <col min="18" max="18" width="2.85546875" style="111" customWidth="1"/>
    <col min="19" max="21" width="15" style="94" customWidth="1"/>
    <col min="22" max="22" width="2.85546875" style="111" customWidth="1"/>
    <col min="23" max="28" width="15" style="94" customWidth="1"/>
    <col min="29" max="29" width="2.85546875" style="111" customWidth="1"/>
    <col min="30" max="32" width="15" style="94" customWidth="1"/>
    <col min="33" max="33" width="2.85546875" style="111" customWidth="1"/>
    <col min="34" max="39" width="15" style="94" customWidth="1"/>
    <col min="40" max="40" width="2.85546875" style="111" customWidth="1"/>
    <col min="41" max="43" width="15" style="94" customWidth="1"/>
    <col min="44" max="44" width="2.85546875" style="111" customWidth="1"/>
    <col min="45" max="47" width="15" style="94" customWidth="1"/>
    <col min="48" max="48" width="2.85546875" style="111" customWidth="1"/>
    <col min="49" max="51" width="15" style="94" customWidth="1"/>
    <col min="52" max="52" width="2.85546875" style="111" customWidth="1"/>
    <col min="53" max="55" width="15" style="94" customWidth="1"/>
    <col min="56" max="56" width="2.85546875" style="111" customWidth="1"/>
    <col min="57" max="16384" width="9.140625" style="94"/>
  </cols>
  <sheetData>
    <row r="1" spans="1:56" x14ac:dyDescent="0.25">
      <c r="B1" s="274" t="s">
        <v>299</v>
      </c>
      <c r="C1" s="274"/>
      <c r="D1" s="274"/>
      <c r="E1" s="274"/>
      <c r="F1" s="274"/>
      <c r="G1" s="274"/>
      <c r="H1" s="109"/>
      <c r="I1" s="274" t="s">
        <v>299</v>
      </c>
      <c r="J1" s="274"/>
      <c r="K1" s="274"/>
      <c r="L1" s="274"/>
      <c r="M1" s="274"/>
      <c r="N1" s="109"/>
      <c r="O1" s="274" t="s">
        <v>300</v>
      </c>
      <c r="P1" s="274"/>
      <c r="Q1" s="274"/>
      <c r="R1" s="109"/>
      <c r="S1" s="274" t="s">
        <v>300</v>
      </c>
      <c r="T1" s="274"/>
      <c r="U1" s="274"/>
      <c r="V1" s="109"/>
      <c r="W1" s="275" t="s">
        <v>273</v>
      </c>
      <c r="X1" s="275"/>
      <c r="Y1" s="275"/>
      <c r="Z1" s="275"/>
      <c r="AA1" s="275"/>
      <c r="AB1" s="275"/>
      <c r="AC1" s="275"/>
      <c r="AD1" s="275"/>
      <c r="AE1" s="275"/>
      <c r="AF1" s="275"/>
      <c r="AG1" s="109"/>
      <c r="AH1" s="274" t="s">
        <v>273</v>
      </c>
      <c r="AI1" s="274"/>
      <c r="AJ1" s="274"/>
      <c r="AK1" s="274"/>
      <c r="AL1" s="274"/>
      <c r="AM1" s="274"/>
      <c r="AN1" s="109"/>
      <c r="AO1" s="274" t="s">
        <v>300</v>
      </c>
      <c r="AP1" s="274"/>
      <c r="AQ1" s="274"/>
      <c r="AR1" s="109"/>
      <c r="AS1" s="274" t="s">
        <v>300</v>
      </c>
      <c r="AT1" s="274"/>
      <c r="AU1" s="274"/>
      <c r="AV1" s="109"/>
      <c r="AW1" s="275" t="s">
        <v>273</v>
      </c>
      <c r="AX1" s="275"/>
      <c r="AY1" s="275"/>
      <c r="AZ1" s="275"/>
      <c r="BA1" s="275"/>
      <c r="BB1" s="275"/>
      <c r="BC1" s="275"/>
      <c r="BD1" s="109"/>
    </row>
    <row r="2" spans="1:56" x14ac:dyDescent="0.25">
      <c r="B2" s="274" t="s">
        <v>289</v>
      </c>
      <c r="C2" s="274"/>
      <c r="D2" s="274"/>
      <c r="E2" s="274"/>
      <c r="F2" s="274"/>
      <c r="G2" s="274"/>
      <c r="H2" s="109"/>
      <c r="I2" s="274" t="s">
        <v>290</v>
      </c>
      <c r="J2" s="274"/>
      <c r="K2" s="274"/>
      <c r="L2" s="274"/>
      <c r="M2" s="274"/>
      <c r="N2" s="109"/>
      <c r="O2" s="274" t="s">
        <v>399</v>
      </c>
      <c r="P2" s="274"/>
      <c r="Q2" s="274"/>
      <c r="R2" s="109"/>
      <c r="S2" s="274" t="s">
        <v>301</v>
      </c>
      <c r="T2" s="274"/>
      <c r="U2" s="274"/>
      <c r="V2" s="109"/>
      <c r="W2" s="274" t="s">
        <v>408</v>
      </c>
      <c r="X2" s="274"/>
      <c r="Y2" s="274"/>
      <c r="Z2" s="274"/>
      <c r="AA2" s="274"/>
      <c r="AB2" s="274"/>
      <c r="AC2" s="109"/>
      <c r="AD2" s="245" t="s">
        <v>407</v>
      </c>
      <c r="AE2" s="245"/>
      <c r="AF2" s="245"/>
      <c r="AG2" s="109"/>
      <c r="AH2" s="274" t="s">
        <v>304</v>
      </c>
      <c r="AI2" s="274"/>
      <c r="AJ2" s="274"/>
      <c r="AK2" s="274"/>
      <c r="AL2" s="274"/>
      <c r="AM2" s="274"/>
      <c r="AN2" s="109"/>
      <c r="AO2" s="274" t="s">
        <v>394</v>
      </c>
      <c r="AP2" s="274"/>
      <c r="AQ2" s="274"/>
      <c r="AR2" s="109"/>
      <c r="AS2" s="274" t="s">
        <v>302</v>
      </c>
      <c r="AT2" s="274"/>
      <c r="AU2" s="274"/>
      <c r="AV2" s="109"/>
      <c r="AW2" s="274" t="s">
        <v>395</v>
      </c>
      <c r="AX2" s="274"/>
      <c r="AY2" s="274"/>
      <c r="AZ2" s="109"/>
      <c r="BA2" s="274" t="s">
        <v>305</v>
      </c>
      <c r="BB2" s="274"/>
      <c r="BC2" s="274"/>
      <c r="BD2" s="109"/>
    </row>
    <row r="3" spans="1:56" s="106" customFormat="1" ht="30" x14ac:dyDescent="0.25">
      <c r="B3" s="137" t="s">
        <v>367</v>
      </c>
      <c r="C3" s="137" t="s">
        <v>122</v>
      </c>
      <c r="D3" s="133" t="s">
        <v>254</v>
      </c>
      <c r="E3" s="133" t="s">
        <v>255</v>
      </c>
      <c r="F3" s="134" t="s">
        <v>371</v>
      </c>
      <c r="G3" s="134" t="s">
        <v>233</v>
      </c>
      <c r="H3" s="108"/>
      <c r="I3" s="137" t="s">
        <v>122</v>
      </c>
      <c r="J3" s="133" t="s">
        <v>254</v>
      </c>
      <c r="K3" s="133" t="s">
        <v>255</v>
      </c>
      <c r="L3" s="134" t="s">
        <v>371</v>
      </c>
      <c r="M3" s="134" t="s">
        <v>233</v>
      </c>
      <c r="N3" s="108"/>
      <c r="O3" s="129" t="s">
        <v>274</v>
      </c>
      <c r="P3" s="129" t="s">
        <v>276</v>
      </c>
      <c r="Q3" s="129" t="s">
        <v>275</v>
      </c>
      <c r="R3" s="108"/>
      <c r="S3" s="129" t="s">
        <v>274</v>
      </c>
      <c r="T3" s="129" t="s">
        <v>276</v>
      </c>
      <c r="U3" s="129" t="s">
        <v>275</v>
      </c>
      <c r="V3" s="108"/>
      <c r="W3" s="132" t="s">
        <v>282</v>
      </c>
      <c r="X3" s="132" t="s">
        <v>286</v>
      </c>
      <c r="Y3" s="132" t="s">
        <v>287</v>
      </c>
      <c r="Z3" s="124" t="s">
        <v>274</v>
      </c>
      <c r="AA3" s="124" t="s">
        <v>276</v>
      </c>
      <c r="AB3" s="124" t="s">
        <v>275</v>
      </c>
      <c r="AC3" s="108"/>
      <c r="AD3" s="124" t="s">
        <v>274</v>
      </c>
      <c r="AE3" s="124" t="s">
        <v>276</v>
      </c>
      <c r="AF3" s="124" t="s">
        <v>275</v>
      </c>
      <c r="AG3" s="108"/>
      <c r="AH3" s="132" t="s">
        <v>282</v>
      </c>
      <c r="AI3" s="132" t="s">
        <v>286</v>
      </c>
      <c r="AJ3" s="132" t="s">
        <v>287</v>
      </c>
      <c r="AK3" s="124" t="s">
        <v>274</v>
      </c>
      <c r="AL3" s="124" t="s">
        <v>276</v>
      </c>
      <c r="AM3" s="124" t="s">
        <v>275</v>
      </c>
      <c r="AN3" s="108"/>
      <c r="AO3" s="129" t="s">
        <v>274</v>
      </c>
      <c r="AP3" s="129" t="s">
        <v>276</v>
      </c>
      <c r="AQ3" s="129" t="s">
        <v>275</v>
      </c>
      <c r="AR3" s="108"/>
      <c r="AS3" s="129" t="s">
        <v>274</v>
      </c>
      <c r="AT3" s="129" t="s">
        <v>276</v>
      </c>
      <c r="AU3" s="129" t="s">
        <v>275</v>
      </c>
      <c r="AV3" s="108"/>
      <c r="AW3" s="124" t="s">
        <v>274</v>
      </c>
      <c r="AX3" s="124" t="s">
        <v>276</v>
      </c>
      <c r="AY3" s="124" t="s">
        <v>275</v>
      </c>
      <c r="AZ3" s="108"/>
      <c r="BA3" s="124" t="s">
        <v>274</v>
      </c>
      <c r="BB3" s="124" t="s">
        <v>276</v>
      </c>
      <c r="BC3" s="124" t="s">
        <v>275</v>
      </c>
      <c r="BD3" s="108"/>
    </row>
    <row r="4" spans="1:56" s="20" customFormat="1" x14ac:dyDescent="0.25">
      <c r="A4" s="105"/>
      <c r="B4" s="138" t="s">
        <v>7</v>
      </c>
      <c r="C4" s="138" t="s">
        <v>8</v>
      </c>
      <c r="D4" s="135" t="s">
        <v>8</v>
      </c>
      <c r="E4" s="135" t="s">
        <v>8</v>
      </c>
      <c r="F4" s="135" t="s">
        <v>1</v>
      </c>
      <c r="G4" s="135" t="s">
        <v>1</v>
      </c>
      <c r="H4" s="110"/>
      <c r="I4" s="138" t="s">
        <v>8</v>
      </c>
      <c r="J4" s="135" t="s">
        <v>8</v>
      </c>
      <c r="K4" s="135" t="s">
        <v>8</v>
      </c>
      <c r="L4" s="135" t="s">
        <v>1</v>
      </c>
      <c r="M4" s="135" t="s">
        <v>1</v>
      </c>
      <c r="N4" s="110"/>
      <c r="O4" s="130" t="s">
        <v>8</v>
      </c>
      <c r="P4" s="130" t="s">
        <v>8</v>
      </c>
      <c r="Q4" s="130" t="s">
        <v>8</v>
      </c>
      <c r="R4" s="110"/>
      <c r="S4" s="130" t="s">
        <v>8</v>
      </c>
      <c r="T4" s="130" t="s">
        <v>8</v>
      </c>
      <c r="U4" s="130" t="s">
        <v>8</v>
      </c>
      <c r="V4" s="110"/>
      <c r="W4" s="127" t="s">
        <v>8</v>
      </c>
      <c r="X4" s="127" t="s">
        <v>8</v>
      </c>
      <c r="Y4" s="127" t="s">
        <v>8</v>
      </c>
      <c r="Z4" s="125" t="s">
        <v>8</v>
      </c>
      <c r="AA4" s="125" t="s">
        <v>8</v>
      </c>
      <c r="AB4" s="125" t="s">
        <v>8</v>
      </c>
      <c r="AC4" s="110"/>
      <c r="AD4" s="125" t="s">
        <v>8</v>
      </c>
      <c r="AE4" s="125" t="s">
        <v>8</v>
      </c>
      <c r="AF4" s="125" t="s">
        <v>8</v>
      </c>
      <c r="AG4" s="110"/>
      <c r="AH4" s="127" t="s">
        <v>8</v>
      </c>
      <c r="AI4" s="127" t="s">
        <v>8</v>
      </c>
      <c r="AJ4" s="127" t="s">
        <v>8</v>
      </c>
      <c r="AK4" s="125" t="s">
        <v>8</v>
      </c>
      <c r="AL4" s="125" t="s">
        <v>8</v>
      </c>
      <c r="AM4" s="125" t="s">
        <v>8</v>
      </c>
      <c r="AN4" s="110"/>
      <c r="AO4" s="130" t="s">
        <v>8</v>
      </c>
      <c r="AP4" s="130" t="s">
        <v>8</v>
      </c>
      <c r="AQ4" s="130" t="s">
        <v>8</v>
      </c>
      <c r="AR4" s="110"/>
      <c r="AS4" s="130" t="s">
        <v>8</v>
      </c>
      <c r="AT4" s="130" t="s">
        <v>8</v>
      </c>
      <c r="AU4" s="130" t="s">
        <v>8</v>
      </c>
      <c r="AV4" s="110"/>
      <c r="AW4" s="125" t="s">
        <v>8</v>
      </c>
      <c r="AX4" s="125" t="s">
        <v>8</v>
      </c>
      <c r="AY4" s="125" t="s">
        <v>8</v>
      </c>
      <c r="AZ4" s="110"/>
      <c r="BA4" s="125" t="s">
        <v>8</v>
      </c>
      <c r="BB4" s="125" t="s">
        <v>8</v>
      </c>
      <c r="BC4" s="125" t="s">
        <v>8</v>
      </c>
      <c r="BD4" s="110"/>
    </row>
    <row r="5" spans="1:56" x14ac:dyDescent="0.25">
      <c r="A5" s="94">
        <v>1950</v>
      </c>
      <c r="B5" s="139" cm="1">
        <f t="array" ref="B5">SUMPRODUCT((PARIS!$AA$4:'PARIS'!$AA$103=A5)*PARIS!$AD$4:$AD$103)+SUMPRODUCT((PARIS!$AB$4:'PARIS'!$AB$103=A5)*PARIS!$AD$4:$AD$103)+SUMPRODUCT((PARIS!$AU$4:'PARIS'!$AU$103=A5)*PARIS!$AX$4:$AX$103)</f>
        <v>0</v>
      </c>
      <c r="C5" s="139" cm="1">
        <f t="array" ref="C5">SUMPRODUCT((PARIS!$AA$4:'PARIS'!$AA$103=A5)*PARIS!$AE$4:$AE$103)+SUMPRODUCT((PARIS!$AB$4:'PARIS'!$AB$103=A5)*PARIS!$AE$4:$AE$103)+SUMPRODUCT((PARIS!$AU$4:'PARIS'!$AU$103=A5)*PARIS!$AY$4:$AY$103)</f>
        <v>0</v>
      </c>
      <c r="D5" s="136" cm="1">
        <f t="array" ref="D5">SUMPRODUCT((PARIS!$AA$4:'PARIS'!$AA$103=A5)*PARIS!$AF$4:$AF$103)+SUMPRODUCT((PARIS!$AB$4:'PARIS'!$AB$103=A5)*PARIS!$AF$4:$AF$103)+SUMPRODUCT((PARIS!$AU$4:'PARIS'!$AU$103=A5)*PARIS!$AV$4:$AV$103)</f>
        <v>0</v>
      </c>
      <c r="E5" s="136" cm="1">
        <f t="array" ref="E5">SUMPRODUCT((PARIS!$AA$4:'PARIS'!$AA$103=A5)*PARIS!$AG$4:$AG$103)+SUMPRODUCT((PARIS!$AB$4:'PARIS'!$AB$103=A5)*PARIS!$AG$4:$AG$103)+SUMPRODUCT((PARIS!$AU$4:'PARIS'!$AU$103=A5)*PARIS!$AW$4:$AW$103)</f>
        <v>0</v>
      </c>
      <c r="F5" s="136" cm="1">
        <f t="array" ref="F5">SUMPRODUCT((PARIS!$AA$4:'PARIS'!$AA$103=A5)*PARIS!$AH$4:$AH$103)+SUMPRODUCT((PARIS!$AB$4:'PARIS'!$AB$103=A5)*PARIS!$AH$4:$AH$103)+SUMPRODUCT((PARIS!$AU$4:'PARIS'!$AU$103=A5)*PARIS!$AZ$4:$AZ$103)</f>
        <v>0</v>
      </c>
      <c r="G5" s="136" cm="1">
        <f t="array" ref="G5">SUMPRODUCT((PARIS!$AA$4:'PARIS'!$AA$103=A5)*PARIS!$AI$4:$AI$103)+SUMPRODUCT((PARIS!$AB$4:'PARIS'!$AB$103=A5)*PARIS!$AI$4:$AI$103)+SUMPRODUCT((PARIS!$AU$4:'PARIS'!$AU$103=A5)*PARIS!$BA$4:$BA$103)</f>
        <v>0</v>
      </c>
      <c r="H5" s="115"/>
      <c r="I5" s="139">
        <f>C5</f>
        <v>0</v>
      </c>
      <c r="J5" s="136">
        <f t="shared" ref="J5:M5" si="0">D5</f>
        <v>0</v>
      </c>
      <c r="K5" s="136">
        <f t="shared" si="0"/>
        <v>0</v>
      </c>
      <c r="L5" s="136">
        <f t="shared" si="0"/>
        <v>0</v>
      </c>
      <c r="M5" s="136">
        <f t="shared" si="0"/>
        <v>0</v>
      </c>
      <c r="N5" s="115"/>
      <c r="O5" s="131"/>
      <c r="P5" s="131"/>
      <c r="Q5" s="131"/>
      <c r="R5" s="115"/>
      <c r="S5" s="131"/>
      <c r="T5" s="131"/>
      <c r="U5" s="131"/>
      <c r="V5" s="115"/>
      <c r="W5" s="128"/>
      <c r="X5" s="128"/>
      <c r="Y5" s="128"/>
      <c r="Z5" s="126"/>
      <c r="AA5" s="126"/>
      <c r="AB5" s="126"/>
      <c r="AC5" s="115"/>
      <c r="AD5" s="126"/>
      <c r="AE5" s="126"/>
      <c r="AF5" s="126"/>
      <c r="AG5" s="115"/>
      <c r="AH5" s="128"/>
      <c r="AI5" s="128"/>
      <c r="AJ5" s="128"/>
      <c r="AK5" s="126"/>
      <c r="AL5" s="126"/>
      <c r="AM5" s="126"/>
      <c r="AN5" s="115"/>
      <c r="AO5" s="131"/>
      <c r="AP5" s="131"/>
      <c r="AQ5" s="131"/>
      <c r="AR5" s="115"/>
      <c r="AS5" s="131"/>
      <c r="AT5" s="131"/>
      <c r="AU5" s="131"/>
      <c r="AV5" s="115"/>
      <c r="AW5" s="126"/>
      <c r="AX5" s="126"/>
      <c r="AY5" s="126"/>
      <c r="AZ5" s="115"/>
      <c r="BA5" s="126"/>
      <c r="BB5" s="126"/>
      <c r="BC5" s="126"/>
      <c r="BD5" s="115"/>
    </row>
    <row r="6" spans="1:56" x14ac:dyDescent="0.25">
      <c r="A6" s="94">
        <v>1951</v>
      </c>
      <c r="B6" s="139" cm="1">
        <f t="array" ref="B6">SUMPRODUCT((PARIS!$AA$4:'PARIS'!$AA$103=A6)*PARIS!$AD$4:$AD$103)+SUMPRODUCT((PARIS!$AB$4:'PARIS'!$AB$103=A6)*PARIS!$AD$4:$AD$103)+SUMPRODUCT((PARIS!$AU$4:'PARIS'!$AU$103=A6)*PARIS!$AX$4:$AX$103)</f>
        <v>0</v>
      </c>
      <c r="C6" s="139" cm="1">
        <f t="array" ref="C6">SUMPRODUCT((PARIS!$AA$4:'PARIS'!$AA$103=A6)*PARIS!$AE$4:$AE$103)+SUMPRODUCT((PARIS!$AB$4:'PARIS'!$AB$103=A6)*PARIS!$AE$4:$AE$103)+SUMPRODUCT((PARIS!$AU$4:'PARIS'!$AU$103=A6)*PARIS!$AY$4:$AY$103)</f>
        <v>0</v>
      </c>
      <c r="D6" s="136" cm="1">
        <f t="array" ref="D6">SUMPRODUCT((PARIS!$AA$4:'PARIS'!$AA$103=A6)*PARIS!$AF$4:$AF$103)+SUMPRODUCT((PARIS!$AB$4:'PARIS'!$AB$103=A6)*PARIS!$AF$4:$AF$103)+SUMPRODUCT((PARIS!$AU$4:'PARIS'!$AU$103=A6)*PARIS!$AV$4:$AV$103)</f>
        <v>0</v>
      </c>
      <c r="E6" s="136" cm="1">
        <f t="array" ref="E6">SUMPRODUCT((PARIS!$AA$4:'PARIS'!$AA$103=A6)*PARIS!$AG$4:$AG$103)+SUMPRODUCT((PARIS!$AB$4:'PARIS'!$AB$103=A6)*PARIS!$AG$4:$AG$103)+SUMPRODUCT((PARIS!$AU$4:'PARIS'!$AU$103=A6)*PARIS!$AW$4:$AW$103)</f>
        <v>0</v>
      </c>
      <c r="F6" s="136" cm="1">
        <f t="array" ref="F6">SUMPRODUCT((PARIS!$AA$4:'PARIS'!$AA$103=A6)*PARIS!$AH$4:$AH$103)+SUMPRODUCT((PARIS!$AB$4:'PARIS'!$AB$103=A6)*PARIS!$AH$4:$AH$103)+SUMPRODUCT((PARIS!$AU$4:'PARIS'!$AU$103=A6)*PARIS!$AZ$4:$AZ$103)</f>
        <v>0</v>
      </c>
      <c r="G6" s="136" cm="1">
        <f t="array" ref="G6">SUMPRODUCT((PARIS!$AA$4:'PARIS'!$AA$103=A6)*PARIS!$AI$4:$AI$103)+SUMPRODUCT((PARIS!$AB$4:'PARIS'!$AB$103=A6)*PARIS!$AI$4:$AI$103)+SUMPRODUCT((PARIS!$AU$4:'PARIS'!$AU$103=A6)*PARIS!$BA$4:$BA$103)</f>
        <v>0</v>
      </c>
      <c r="H6" s="115"/>
      <c r="I6" s="139">
        <f>C6+I5</f>
        <v>0</v>
      </c>
      <c r="J6" s="136">
        <f>D6+J5</f>
        <v>0</v>
      </c>
      <c r="K6" s="136">
        <f>E6+K5</f>
        <v>0</v>
      </c>
      <c r="L6" s="136">
        <f>F6+L5</f>
        <v>0</v>
      </c>
      <c r="M6" s="136">
        <f>G6+M5</f>
        <v>0</v>
      </c>
      <c r="N6" s="115"/>
      <c r="O6" s="131"/>
      <c r="P6" s="131"/>
      <c r="Q6" s="131"/>
      <c r="R6" s="115"/>
      <c r="S6" s="131"/>
      <c r="T6" s="131"/>
      <c r="U6" s="131"/>
      <c r="V6" s="115"/>
      <c r="W6" s="128"/>
      <c r="X6" s="128"/>
      <c r="Y6" s="128"/>
      <c r="Z6" s="126"/>
      <c r="AA6" s="126"/>
      <c r="AB6" s="126"/>
      <c r="AC6" s="115"/>
      <c r="AD6" s="126"/>
      <c r="AE6" s="126"/>
      <c r="AF6" s="126"/>
      <c r="AG6" s="115"/>
      <c r="AH6" s="128"/>
      <c r="AI6" s="128"/>
      <c r="AJ6" s="128"/>
      <c r="AK6" s="126"/>
      <c r="AL6" s="126"/>
      <c r="AM6" s="126"/>
      <c r="AN6" s="115"/>
      <c r="AO6" s="131"/>
      <c r="AP6" s="131"/>
      <c r="AQ6" s="131"/>
      <c r="AR6" s="115"/>
      <c r="AS6" s="131"/>
      <c r="AT6" s="131"/>
      <c r="AU6" s="131"/>
      <c r="AV6" s="115"/>
      <c r="AW6" s="126"/>
      <c r="AX6" s="126"/>
      <c r="AY6" s="126"/>
      <c r="AZ6" s="115"/>
      <c r="BA6" s="126"/>
      <c r="BB6" s="126"/>
      <c r="BC6" s="126"/>
      <c r="BD6" s="115"/>
    </row>
    <row r="7" spans="1:56" x14ac:dyDescent="0.25">
      <c r="A7" s="94">
        <v>1952</v>
      </c>
      <c r="B7" s="139" cm="1">
        <f t="array" ref="B7">SUMPRODUCT((PARIS!$AA$4:'PARIS'!$AA$103=A7)*PARIS!$AD$4:$AD$103)+SUMPRODUCT((PARIS!$AB$4:'PARIS'!$AB$103=A7)*PARIS!$AD$4:$AD$103)+SUMPRODUCT((PARIS!$AU$4:'PARIS'!$AU$103=A7)*PARIS!$AX$4:$AX$103)</f>
        <v>0</v>
      </c>
      <c r="C7" s="139" cm="1">
        <f t="array" ref="C7">SUMPRODUCT((PARIS!$AA$4:'PARIS'!$AA$103=A7)*PARIS!$AE$4:$AE$103)+SUMPRODUCT((PARIS!$AB$4:'PARIS'!$AB$103=A7)*PARIS!$AE$4:$AE$103)+SUMPRODUCT((PARIS!$AU$4:'PARIS'!$AU$103=A7)*PARIS!$AY$4:$AY$103)</f>
        <v>0</v>
      </c>
      <c r="D7" s="136" cm="1">
        <f t="array" ref="D7">SUMPRODUCT((PARIS!$AA$4:'PARIS'!$AA$103=A7)*PARIS!$AF$4:$AF$103)+SUMPRODUCT((PARIS!$AB$4:'PARIS'!$AB$103=A7)*PARIS!$AF$4:$AF$103)+SUMPRODUCT((PARIS!$AU$4:'PARIS'!$AU$103=A7)*PARIS!$AV$4:$AV$103)</f>
        <v>0</v>
      </c>
      <c r="E7" s="136" cm="1">
        <f t="array" ref="E7">SUMPRODUCT((PARIS!$AA$4:'PARIS'!$AA$103=A7)*PARIS!$AG$4:$AG$103)+SUMPRODUCT((PARIS!$AB$4:'PARIS'!$AB$103=A7)*PARIS!$AG$4:$AG$103)+SUMPRODUCT((PARIS!$AU$4:'PARIS'!$AU$103=A7)*PARIS!$AW$4:$AW$103)</f>
        <v>0</v>
      </c>
      <c r="F7" s="136" cm="1">
        <f t="array" ref="F7">SUMPRODUCT((PARIS!$AA$4:'PARIS'!$AA$103=A7)*PARIS!$AH$4:$AH$103)+SUMPRODUCT((PARIS!$AB$4:'PARIS'!$AB$103=A7)*PARIS!$AH$4:$AH$103)+SUMPRODUCT((PARIS!$AU$4:'PARIS'!$AU$103=A7)*PARIS!$AZ$4:$AZ$103)</f>
        <v>0</v>
      </c>
      <c r="G7" s="136" cm="1">
        <f t="array" ref="G7">SUMPRODUCT((PARIS!$AA$4:'PARIS'!$AA$103=A7)*PARIS!$AI$4:$AI$103)+SUMPRODUCT((PARIS!$AB$4:'PARIS'!$AB$103=A7)*PARIS!$AI$4:$AI$103)+SUMPRODUCT((PARIS!$AU$4:'PARIS'!$AU$103=A7)*PARIS!$BA$4:$BA$103)</f>
        <v>0</v>
      </c>
      <c r="H7" s="115"/>
      <c r="I7" s="139">
        <f t="shared" ref="I7:I38" si="1">C7+I6</f>
        <v>0</v>
      </c>
      <c r="J7" s="136">
        <f t="shared" ref="J7:M57" si="2">D7+J6</f>
        <v>0</v>
      </c>
      <c r="K7" s="136">
        <f t="shared" si="2"/>
        <v>0</v>
      </c>
      <c r="L7" s="136">
        <f t="shared" si="2"/>
        <v>0</v>
      </c>
      <c r="M7" s="136">
        <f t="shared" si="2"/>
        <v>0</v>
      </c>
      <c r="N7" s="115"/>
      <c r="O7" s="131"/>
      <c r="P7" s="131"/>
      <c r="Q7" s="131"/>
      <c r="R7" s="115"/>
      <c r="S7" s="131"/>
      <c r="T7" s="131"/>
      <c r="U7" s="131"/>
      <c r="V7" s="115"/>
      <c r="W7" s="128"/>
      <c r="X7" s="128"/>
      <c r="Y7" s="128"/>
      <c r="Z7" s="126"/>
      <c r="AA7" s="126"/>
      <c r="AB7" s="126"/>
      <c r="AC7" s="115"/>
      <c r="AD7" s="126"/>
      <c r="AE7" s="126"/>
      <c r="AF7" s="126"/>
      <c r="AG7" s="115"/>
      <c r="AH7" s="128"/>
      <c r="AI7" s="128"/>
      <c r="AJ7" s="128"/>
      <c r="AK7" s="126"/>
      <c r="AL7" s="126"/>
      <c r="AM7" s="126"/>
      <c r="AN7" s="115"/>
      <c r="AO7" s="131"/>
      <c r="AP7" s="131"/>
      <c r="AQ7" s="131"/>
      <c r="AR7" s="115"/>
      <c r="AS7" s="131"/>
      <c r="AT7" s="131"/>
      <c r="AU7" s="131"/>
      <c r="AV7" s="115"/>
      <c r="AW7" s="126"/>
      <c r="AX7" s="126"/>
      <c r="AY7" s="126"/>
      <c r="AZ7" s="115"/>
      <c r="BA7" s="126"/>
      <c r="BB7" s="126"/>
      <c r="BC7" s="126"/>
      <c r="BD7" s="115"/>
    </row>
    <row r="8" spans="1:56" x14ac:dyDescent="0.25">
      <c r="A8" s="94">
        <v>1953</v>
      </c>
      <c r="B8" s="139" cm="1">
        <f t="array" ref="B8">SUMPRODUCT((PARIS!$AA$4:'PARIS'!$AA$103=A8)*PARIS!$AD$4:$AD$103)+SUMPRODUCT((PARIS!$AB$4:'PARIS'!$AB$103=A8)*PARIS!$AD$4:$AD$103)+SUMPRODUCT((PARIS!$AU$4:'PARIS'!$AU$103=A8)*PARIS!$AX$4:$AX$103)</f>
        <v>0</v>
      </c>
      <c r="C8" s="139" cm="1">
        <f t="array" ref="C8">SUMPRODUCT((PARIS!$AA$4:'PARIS'!$AA$103=A8)*PARIS!$AE$4:$AE$103)+SUMPRODUCT((PARIS!$AB$4:'PARIS'!$AB$103=A8)*PARIS!$AE$4:$AE$103)+SUMPRODUCT((PARIS!$AU$4:'PARIS'!$AU$103=A8)*PARIS!$AY$4:$AY$103)</f>
        <v>0</v>
      </c>
      <c r="D8" s="136" cm="1">
        <f t="array" ref="D8">SUMPRODUCT((PARIS!$AA$4:'PARIS'!$AA$103=A8)*PARIS!$AF$4:$AF$103)+SUMPRODUCT((PARIS!$AB$4:'PARIS'!$AB$103=A8)*PARIS!$AF$4:$AF$103)+SUMPRODUCT((PARIS!$AU$4:'PARIS'!$AU$103=A8)*PARIS!$AV$4:$AV$103)</f>
        <v>0</v>
      </c>
      <c r="E8" s="136" cm="1">
        <f t="array" ref="E8">SUMPRODUCT((PARIS!$AA$4:'PARIS'!$AA$103=A8)*PARIS!$AG$4:$AG$103)+SUMPRODUCT((PARIS!$AB$4:'PARIS'!$AB$103=A8)*PARIS!$AG$4:$AG$103)+SUMPRODUCT((PARIS!$AU$4:'PARIS'!$AU$103=A8)*PARIS!$AW$4:$AW$103)</f>
        <v>0</v>
      </c>
      <c r="F8" s="136" cm="1">
        <f t="array" ref="F8">SUMPRODUCT((PARIS!$AA$4:'PARIS'!$AA$103=A8)*PARIS!$AH$4:$AH$103)+SUMPRODUCT((PARIS!$AB$4:'PARIS'!$AB$103=A8)*PARIS!$AH$4:$AH$103)+SUMPRODUCT((PARIS!$AU$4:'PARIS'!$AU$103=A8)*PARIS!$AZ$4:$AZ$103)</f>
        <v>0</v>
      </c>
      <c r="G8" s="136" cm="1">
        <f t="array" ref="G8">SUMPRODUCT((PARIS!$AA$4:'PARIS'!$AA$103=A8)*PARIS!$AI$4:$AI$103)+SUMPRODUCT((PARIS!$AB$4:'PARIS'!$AB$103=A8)*PARIS!$AI$4:$AI$103)+SUMPRODUCT((PARIS!$AU$4:'PARIS'!$AU$103=A8)*PARIS!$BA$4:$BA$103)</f>
        <v>0</v>
      </c>
      <c r="H8" s="115"/>
      <c r="I8" s="139">
        <f t="shared" si="1"/>
        <v>0</v>
      </c>
      <c r="J8" s="136">
        <f t="shared" si="2"/>
        <v>0</v>
      </c>
      <c r="K8" s="136">
        <f t="shared" si="2"/>
        <v>0</v>
      </c>
      <c r="L8" s="136">
        <f t="shared" si="2"/>
        <v>0</v>
      </c>
      <c r="M8" s="136">
        <f t="shared" si="2"/>
        <v>0</v>
      </c>
      <c r="N8" s="115"/>
      <c r="O8" s="131"/>
      <c r="P8" s="131"/>
      <c r="Q8" s="131"/>
      <c r="R8" s="115"/>
      <c r="S8" s="131"/>
      <c r="T8" s="131"/>
      <c r="U8" s="131"/>
      <c r="V8" s="115"/>
      <c r="W8" s="128"/>
      <c r="X8" s="128"/>
      <c r="Y8" s="128"/>
      <c r="Z8" s="126"/>
      <c r="AA8" s="126"/>
      <c r="AB8" s="126"/>
      <c r="AC8" s="115"/>
      <c r="AD8" s="126"/>
      <c r="AE8" s="126"/>
      <c r="AF8" s="126"/>
      <c r="AG8" s="115"/>
      <c r="AH8" s="128"/>
      <c r="AI8" s="128"/>
      <c r="AJ8" s="128"/>
      <c r="AK8" s="126"/>
      <c r="AL8" s="126"/>
      <c r="AM8" s="126"/>
      <c r="AN8" s="115"/>
      <c r="AO8" s="131"/>
      <c r="AP8" s="131"/>
      <c r="AQ8" s="131"/>
      <c r="AR8" s="115"/>
      <c r="AS8" s="131"/>
      <c r="AT8" s="131"/>
      <c r="AU8" s="131"/>
      <c r="AV8" s="115"/>
      <c r="AW8" s="126"/>
      <c r="AX8" s="126"/>
      <c r="AY8" s="126"/>
      <c r="AZ8" s="115"/>
      <c r="BA8" s="126"/>
      <c r="BB8" s="126"/>
      <c r="BC8" s="126"/>
      <c r="BD8" s="115"/>
    </row>
    <row r="9" spans="1:56" x14ac:dyDescent="0.25">
      <c r="A9" s="94">
        <v>1954</v>
      </c>
      <c r="B9" s="139" cm="1">
        <f t="array" ref="B9">SUMPRODUCT((PARIS!$AA$4:'PARIS'!$AA$103=A9)*PARIS!$AD$4:$AD$103)+SUMPRODUCT((PARIS!$AB$4:'PARIS'!$AB$103=A9)*PARIS!$AD$4:$AD$103)+SUMPRODUCT((PARIS!$AU$4:'PARIS'!$AU$103=A9)*PARIS!$AX$4:$AX$103)</f>
        <v>0</v>
      </c>
      <c r="C9" s="139" cm="1">
        <f t="array" ref="C9">SUMPRODUCT((PARIS!$AA$4:'PARIS'!$AA$103=A9)*PARIS!$AE$4:$AE$103)+SUMPRODUCT((PARIS!$AB$4:'PARIS'!$AB$103=A9)*PARIS!$AE$4:$AE$103)+SUMPRODUCT((PARIS!$AU$4:'PARIS'!$AU$103=A9)*PARIS!$AY$4:$AY$103)</f>
        <v>0</v>
      </c>
      <c r="D9" s="136" cm="1">
        <f t="array" ref="D9">SUMPRODUCT((PARIS!$AA$4:'PARIS'!$AA$103=A9)*PARIS!$AF$4:$AF$103)+SUMPRODUCT((PARIS!$AB$4:'PARIS'!$AB$103=A9)*PARIS!$AF$4:$AF$103)+SUMPRODUCT((PARIS!$AU$4:'PARIS'!$AU$103=A9)*PARIS!$AV$4:$AV$103)</f>
        <v>0</v>
      </c>
      <c r="E9" s="136" cm="1">
        <f t="array" ref="E9">SUMPRODUCT((PARIS!$AA$4:'PARIS'!$AA$103=A9)*PARIS!$AG$4:$AG$103)+SUMPRODUCT((PARIS!$AB$4:'PARIS'!$AB$103=A9)*PARIS!$AG$4:$AG$103)+SUMPRODUCT((PARIS!$AU$4:'PARIS'!$AU$103=A9)*PARIS!$AW$4:$AW$103)</f>
        <v>0</v>
      </c>
      <c r="F9" s="136" cm="1">
        <f t="array" ref="F9">SUMPRODUCT((PARIS!$AA$4:'PARIS'!$AA$103=A9)*PARIS!$AH$4:$AH$103)+SUMPRODUCT((PARIS!$AB$4:'PARIS'!$AB$103=A9)*PARIS!$AH$4:$AH$103)+SUMPRODUCT((PARIS!$AU$4:'PARIS'!$AU$103=A9)*PARIS!$AZ$4:$AZ$103)</f>
        <v>0</v>
      </c>
      <c r="G9" s="136" cm="1">
        <f t="array" ref="G9">SUMPRODUCT((PARIS!$AA$4:'PARIS'!$AA$103=A9)*PARIS!$AI$4:$AI$103)+SUMPRODUCT((PARIS!$AB$4:'PARIS'!$AB$103=A9)*PARIS!$AI$4:$AI$103)+SUMPRODUCT((PARIS!$AU$4:'PARIS'!$AU$103=A9)*PARIS!$BA$4:$BA$103)</f>
        <v>0</v>
      </c>
      <c r="H9" s="115"/>
      <c r="I9" s="139">
        <f t="shared" si="1"/>
        <v>0</v>
      </c>
      <c r="J9" s="136">
        <f t="shared" si="2"/>
        <v>0</v>
      </c>
      <c r="K9" s="136">
        <f t="shared" si="2"/>
        <v>0</v>
      </c>
      <c r="L9" s="136">
        <f t="shared" si="2"/>
        <v>0</v>
      </c>
      <c r="M9" s="136">
        <f t="shared" si="2"/>
        <v>0</v>
      </c>
      <c r="N9" s="115"/>
      <c r="O9" s="131"/>
      <c r="P9" s="131"/>
      <c r="Q9" s="131"/>
      <c r="R9" s="115"/>
      <c r="S9" s="131"/>
      <c r="T9" s="131"/>
      <c r="U9" s="131"/>
      <c r="V9" s="115"/>
      <c r="W9" s="128"/>
      <c r="X9" s="128"/>
      <c r="Y9" s="128"/>
      <c r="Z9" s="126"/>
      <c r="AA9" s="126"/>
      <c r="AB9" s="126"/>
      <c r="AC9" s="115"/>
      <c r="AD9" s="126"/>
      <c r="AE9" s="126"/>
      <c r="AF9" s="126"/>
      <c r="AG9" s="115"/>
      <c r="AH9" s="128"/>
      <c r="AI9" s="128"/>
      <c r="AJ9" s="128"/>
      <c r="AK9" s="126"/>
      <c r="AL9" s="126"/>
      <c r="AM9" s="126"/>
      <c r="AN9" s="115"/>
      <c r="AO9" s="131"/>
      <c r="AP9" s="131"/>
      <c r="AQ9" s="131"/>
      <c r="AR9" s="115"/>
      <c r="AS9" s="131"/>
      <c r="AT9" s="131"/>
      <c r="AU9" s="131"/>
      <c r="AV9" s="115"/>
      <c r="AW9" s="126"/>
      <c r="AX9" s="126"/>
      <c r="AY9" s="126"/>
      <c r="AZ9" s="115"/>
      <c r="BA9" s="126"/>
      <c r="BB9" s="126"/>
      <c r="BC9" s="126"/>
      <c r="BD9" s="115"/>
    </row>
    <row r="10" spans="1:56" x14ac:dyDescent="0.25">
      <c r="A10" s="94">
        <v>1955</v>
      </c>
      <c r="B10" s="139" cm="1">
        <f t="array" ref="B10">SUMPRODUCT((PARIS!$AA$4:'PARIS'!$AA$103=A10)*PARIS!$AD$4:$AD$103)+SUMPRODUCT((PARIS!$AB$4:'PARIS'!$AB$103=A10)*PARIS!$AD$4:$AD$103)+SUMPRODUCT((PARIS!$AU$4:'PARIS'!$AU$103=A10)*PARIS!$AX$4:$AX$103)</f>
        <v>0</v>
      </c>
      <c r="C10" s="139" cm="1">
        <f t="array" ref="C10">SUMPRODUCT((PARIS!$AA$4:'PARIS'!$AA$103=A10)*PARIS!$AE$4:$AE$103)+SUMPRODUCT((PARIS!$AB$4:'PARIS'!$AB$103=A10)*PARIS!$AE$4:$AE$103)+SUMPRODUCT((PARIS!$AU$4:'PARIS'!$AU$103=A10)*PARIS!$AY$4:$AY$103)</f>
        <v>0</v>
      </c>
      <c r="D10" s="136" cm="1">
        <f t="array" ref="D10">SUMPRODUCT((PARIS!$AA$4:'PARIS'!$AA$103=A10)*PARIS!$AF$4:$AF$103)+SUMPRODUCT((PARIS!$AB$4:'PARIS'!$AB$103=A10)*PARIS!$AF$4:$AF$103)+SUMPRODUCT((PARIS!$AU$4:'PARIS'!$AU$103=A10)*PARIS!$AV$4:$AV$103)</f>
        <v>0</v>
      </c>
      <c r="E10" s="136" cm="1">
        <f t="array" ref="E10">SUMPRODUCT((PARIS!$AA$4:'PARIS'!$AA$103=A10)*PARIS!$AG$4:$AG$103)+SUMPRODUCT((PARIS!$AB$4:'PARIS'!$AB$103=A10)*PARIS!$AG$4:$AG$103)+SUMPRODUCT((PARIS!$AU$4:'PARIS'!$AU$103=A10)*PARIS!$AW$4:$AW$103)</f>
        <v>0</v>
      </c>
      <c r="F10" s="136" cm="1">
        <f t="array" ref="F10">SUMPRODUCT((PARIS!$AA$4:'PARIS'!$AA$103=A10)*PARIS!$AH$4:$AH$103)+SUMPRODUCT((PARIS!$AB$4:'PARIS'!$AB$103=A10)*PARIS!$AH$4:$AH$103)+SUMPRODUCT((PARIS!$AU$4:'PARIS'!$AU$103=A10)*PARIS!$AZ$4:$AZ$103)</f>
        <v>0</v>
      </c>
      <c r="G10" s="136" cm="1">
        <f t="array" ref="G10">SUMPRODUCT((PARIS!$AA$4:'PARIS'!$AA$103=A10)*PARIS!$AI$4:$AI$103)+SUMPRODUCT((PARIS!$AB$4:'PARIS'!$AB$103=A10)*PARIS!$AI$4:$AI$103)+SUMPRODUCT((PARIS!$AU$4:'PARIS'!$AU$103=A10)*PARIS!$BA$4:$BA$103)</f>
        <v>0</v>
      </c>
      <c r="H10" s="115"/>
      <c r="I10" s="139">
        <f t="shared" si="1"/>
        <v>0</v>
      </c>
      <c r="J10" s="136">
        <f t="shared" si="2"/>
        <v>0</v>
      </c>
      <c r="K10" s="136">
        <f t="shared" si="2"/>
        <v>0</v>
      </c>
      <c r="L10" s="136">
        <f t="shared" si="2"/>
        <v>0</v>
      </c>
      <c r="M10" s="136">
        <f t="shared" si="2"/>
        <v>0</v>
      </c>
      <c r="N10" s="115"/>
      <c r="O10" s="131"/>
      <c r="P10" s="131"/>
      <c r="Q10" s="131"/>
      <c r="R10" s="115"/>
      <c r="S10" s="131"/>
      <c r="T10" s="131"/>
      <c r="U10" s="131"/>
      <c r="V10" s="115"/>
      <c r="W10" s="128"/>
      <c r="X10" s="128"/>
      <c r="Y10" s="128"/>
      <c r="Z10" s="126"/>
      <c r="AA10" s="126"/>
      <c r="AB10" s="126"/>
      <c r="AC10" s="115"/>
      <c r="AD10" s="126"/>
      <c r="AE10" s="126"/>
      <c r="AF10" s="126"/>
      <c r="AG10" s="115"/>
      <c r="AH10" s="128"/>
      <c r="AI10" s="128"/>
      <c r="AJ10" s="128"/>
      <c r="AK10" s="126"/>
      <c r="AL10" s="126"/>
      <c r="AM10" s="126"/>
      <c r="AN10" s="115"/>
      <c r="AO10" s="131"/>
      <c r="AP10" s="131"/>
      <c r="AQ10" s="131"/>
      <c r="AR10" s="115"/>
      <c r="AS10" s="131"/>
      <c r="AT10" s="131"/>
      <c r="AU10" s="131"/>
      <c r="AV10" s="115"/>
      <c r="AW10" s="126"/>
      <c r="AX10" s="126"/>
      <c r="AY10" s="126"/>
      <c r="AZ10" s="115"/>
      <c r="BA10" s="126"/>
      <c r="BB10" s="126"/>
      <c r="BC10" s="126"/>
      <c r="BD10" s="115"/>
    </row>
    <row r="11" spans="1:56" x14ac:dyDescent="0.25">
      <c r="A11" s="94">
        <v>1956</v>
      </c>
      <c r="B11" s="139" cm="1">
        <f t="array" ref="B11">SUMPRODUCT((PARIS!$AA$4:'PARIS'!$AA$103=A11)*PARIS!$AD$4:$AD$103)+SUMPRODUCT((PARIS!$AB$4:'PARIS'!$AB$103=A11)*PARIS!$AD$4:$AD$103)+SUMPRODUCT((PARIS!$AU$4:'PARIS'!$AU$103=A11)*PARIS!$AX$4:$AX$103)</f>
        <v>0</v>
      </c>
      <c r="C11" s="139" cm="1">
        <f t="array" ref="C11">SUMPRODUCT((PARIS!$AA$4:'PARIS'!$AA$103=A11)*PARIS!$AE$4:$AE$103)+SUMPRODUCT((PARIS!$AB$4:'PARIS'!$AB$103=A11)*PARIS!$AE$4:$AE$103)+SUMPRODUCT((PARIS!$AU$4:'PARIS'!$AU$103=A11)*PARIS!$AY$4:$AY$103)</f>
        <v>0</v>
      </c>
      <c r="D11" s="136" cm="1">
        <f t="array" ref="D11">SUMPRODUCT((PARIS!$AA$4:'PARIS'!$AA$103=A11)*PARIS!$AF$4:$AF$103)+SUMPRODUCT((PARIS!$AB$4:'PARIS'!$AB$103=A11)*PARIS!$AF$4:$AF$103)+SUMPRODUCT((PARIS!$AU$4:'PARIS'!$AU$103=A11)*PARIS!$AV$4:$AV$103)</f>
        <v>0</v>
      </c>
      <c r="E11" s="136" cm="1">
        <f t="array" ref="E11">SUMPRODUCT((PARIS!$AA$4:'PARIS'!$AA$103=A11)*PARIS!$AG$4:$AG$103)+SUMPRODUCT((PARIS!$AB$4:'PARIS'!$AB$103=A11)*PARIS!$AG$4:$AG$103)+SUMPRODUCT((PARIS!$AU$4:'PARIS'!$AU$103=A11)*PARIS!$AW$4:$AW$103)</f>
        <v>0</v>
      </c>
      <c r="F11" s="136" cm="1">
        <f t="array" ref="F11">SUMPRODUCT((PARIS!$AA$4:'PARIS'!$AA$103=A11)*PARIS!$AH$4:$AH$103)+SUMPRODUCT((PARIS!$AB$4:'PARIS'!$AB$103=A11)*PARIS!$AH$4:$AH$103)+SUMPRODUCT((PARIS!$AU$4:'PARIS'!$AU$103=A11)*PARIS!$AZ$4:$AZ$103)</f>
        <v>0</v>
      </c>
      <c r="G11" s="136" cm="1">
        <f t="array" ref="G11">SUMPRODUCT((PARIS!$AA$4:'PARIS'!$AA$103=A11)*PARIS!$AI$4:$AI$103)+SUMPRODUCT((PARIS!$AB$4:'PARIS'!$AB$103=A11)*PARIS!$AI$4:$AI$103)+SUMPRODUCT((PARIS!$AU$4:'PARIS'!$AU$103=A11)*PARIS!$BA$4:$BA$103)</f>
        <v>0</v>
      </c>
      <c r="H11" s="115"/>
      <c r="I11" s="139">
        <f t="shared" si="1"/>
        <v>0</v>
      </c>
      <c r="J11" s="136">
        <f t="shared" si="2"/>
        <v>0</v>
      </c>
      <c r="K11" s="136">
        <f t="shared" si="2"/>
        <v>0</v>
      </c>
      <c r="L11" s="136">
        <f t="shared" si="2"/>
        <v>0</v>
      </c>
      <c r="M11" s="136">
        <f t="shared" si="2"/>
        <v>0</v>
      </c>
      <c r="N11" s="115"/>
      <c r="O11" s="131"/>
      <c r="P11" s="131"/>
      <c r="Q11" s="131"/>
      <c r="R11" s="115"/>
      <c r="S11" s="131"/>
      <c r="T11" s="131"/>
      <c r="U11" s="131"/>
      <c r="V11" s="115"/>
      <c r="W11" s="128"/>
      <c r="X11" s="128"/>
      <c r="Y11" s="128"/>
      <c r="Z11" s="126"/>
      <c r="AA11" s="126"/>
      <c r="AB11" s="126"/>
      <c r="AC11" s="115"/>
      <c r="AD11" s="126"/>
      <c r="AE11" s="126"/>
      <c r="AF11" s="126"/>
      <c r="AG11" s="115"/>
      <c r="AH11" s="128"/>
      <c r="AI11" s="128"/>
      <c r="AJ11" s="128"/>
      <c r="AK11" s="126"/>
      <c r="AL11" s="126"/>
      <c r="AM11" s="126"/>
      <c r="AN11" s="115"/>
      <c r="AO11" s="131"/>
      <c r="AP11" s="131"/>
      <c r="AQ11" s="131"/>
      <c r="AR11" s="115"/>
      <c r="AS11" s="131"/>
      <c r="AT11" s="131"/>
      <c r="AU11" s="131"/>
      <c r="AV11" s="115"/>
      <c r="AW11" s="126"/>
      <c r="AX11" s="126"/>
      <c r="AY11" s="126"/>
      <c r="AZ11" s="115"/>
      <c r="BA11" s="126"/>
      <c r="BB11" s="126"/>
      <c r="BC11" s="126"/>
      <c r="BD11" s="115"/>
    </row>
    <row r="12" spans="1:56" x14ac:dyDescent="0.25">
      <c r="A12" s="94">
        <v>1957</v>
      </c>
      <c r="B12" s="139" cm="1">
        <f t="array" ref="B12">SUMPRODUCT((PARIS!$AA$4:'PARIS'!$AA$103=A12)*PARIS!$AD$4:$AD$103)+SUMPRODUCT((PARIS!$AB$4:'PARIS'!$AB$103=A12)*PARIS!$AD$4:$AD$103)+SUMPRODUCT((PARIS!$AU$4:'PARIS'!$AU$103=A12)*PARIS!$AX$4:$AX$103)</f>
        <v>0</v>
      </c>
      <c r="C12" s="139" cm="1">
        <f t="array" ref="C12">SUMPRODUCT((PARIS!$AA$4:'PARIS'!$AA$103=A12)*PARIS!$AE$4:$AE$103)+SUMPRODUCT((PARIS!$AB$4:'PARIS'!$AB$103=A12)*PARIS!$AE$4:$AE$103)+SUMPRODUCT((PARIS!$AU$4:'PARIS'!$AU$103=A12)*PARIS!$AY$4:$AY$103)</f>
        <v>0</v>
      </c>
      <c r="D12" s="136" cm="1">
        <f t="array" ref="D12">SUMPRODUCT((PARIS!$AA$4:'PARIS'!$AA$103=A12)*PARIS!$AF$4:$AF$103)+SUMPRODUCT((PARIS!$AB$4:'PARIS'!$AB$103=A12)*PARIS!$AF$4:$AF$103)+SUMPRODUCT((PARIS!$AU$4:'PARIS'!$AU$103=A12)*PARIS!$AV$4:$AV$103)</f>
        <v>0</v>
      </c>
      <c r="E12" s="136" cm="1">
        <f t="array" ref="E12">SUMPRODUCT((PARIS!$AA$4:'PARIS'!$AA$103=A12)*PARIS!$AG$4:$AG$103)+SUMPRODUCT((PARIS!$AB$4:'PARIS'!$AB$103=A12)*PARIS!$AG$4:$AG$103)+SUMPRODUCT((PARIS!$AU$4:'PARIS'!$AU$103=A12)*PARIS!$AW$4:$AW$103)</f>
        <v>0</v>
      </c>
      <c r="F12" s="136" cm="1">
        <f t="array" ref="F12">SUMPRODUCT((PARIS!$AA$4:'PARIS'!$AA$103=A12)*PARIS!$AH$4:$AH$103)+SUMPRODUCT((PARIS!$AB$4:'PARIS'!$AB$103=A12)*PARIS!$AH$4:$AH$103)+SUMPRODUCT((PARIS!$AU$4:'PARIS'!$AU$103=A12)*PARIS!$AZ$4:$AZ$103)</f>
        <v>0</v>
      </c>
      <c r="G12" s="136" cm="1">
        <f t="array" ref="G12">SUMPRODUCT((PARIS!$AA$4:'PARIS'!$AA$103=A12)*PARIS!$AI$4:$AI$103)+SUMPRODUCT((PARIS!$AB$4:'PARIS'!$AB$103=A12)*PARIS!$AI$4:$AI$103)+SUMPRODUCT((PARIS!$AU$4:'PARIS'!$AU$103=A12)*PARIS!$BA$4:$BA$103)</f>
        <v>0</v>
      </c>
      <c r="H12" s="115"/>
      <c r="I12" s="139">
        <f t="shared" si="1"/>
        <v>0</v>
      </c>
      <c r="J12" s="136">
        <f t="shared" si="2"/>
        <v>0</v>
      </c>
      <c r="K12" s="136">
        <f t="shared" si="2"/>
        <v>0</v>
      </c>
      <c r="L12" s="136">
        <f t="shared" si="2"/>
        <v>0</v>
      </c>
      <c r="M12" s="136">
        <f t="shared" si="2"/>
        <v>0</v>
      </c>
      <c r="N12" s="115"/>
      <c r="O12" s="131"/>
      <c r="P12" s="131"/>
      <c r="Q12" s="131"/>
      <c r="R12" s="115"/>
      <c r="S12" s="131"/>
      <c r="T12" s="131"/>
      <c r="U12" s="131"/>
      <c r="V12" s="115"/>
      <c r="W12" s="128"/>
      <c r="X12" s="128"/>
      <c r="Y12" s="128"/>
      <c r="Z12" s="126"/>
      <c r="AA12" s="126"/>
      <c r="AB12" s="126"/>
      <c r="AC12" s="115"/>
      <c r="AD12" s="126"/>
      <c r="AE12" s="126"/>
      <c r="AF12" s="126"/>
      <c r="AG12" s="115"/>
      <c r="AH12" s="128"/>
      <c r="AI12" s="128"/>
      <c r="AJ12" s="128"/>
      <c r="AK12" s="126"/>
      <c r="AL12" s="126"/>
      <c r="AM12" s="126"/>
      <c r="AN12" s="115"/>
      <c r="AO12" s="131"/>
      <c r="AP12" s="131"/>
      <c r="AQ12" s="131"/>
      <c r="AR12" s="115"/>
      <c r="AS12" s="131"/>
      <c r="AT12" s="131"/>
      <c r="AU12" s="131"/>
      <c r="AV12" s="115"/>
      <c r="AW12" s="126"/>
      <c r="AX12" s="126"/>
      <c r="AY12" s="126"/>
      <c r="AZ12" s="115"/>
      <c r="BA12" s="126"/>
      <c r="BB12" s="126"/>
      <c r="BC12" s="126"/>
      <c r="BD12" s="115"/>
    </row>
    <row r="13" spans="1:56" x14ac:dyDescent="0.25">
      <c r="A13" s="94">
        <v>1958</v>
      </c>
      <c r="B13" s="139" cm="1">
        <f t="array" ref="B13">SUMPRODUCT((PARIS!$AA$4:'PARIS'!$AA$103=A13)*PARIS!$AD$4:$AD$103)+SUMPRODUCT((PARIS!$AB$4:'PARIS'!$AB$103=A13)*PARIS!$AD$4:$AD$103)+SUMPRODUCT((PARIS!$AU$4:'PARIS'!$AU$103=A13)*PARIS!$AX$4:$AX$103)</f>
        <v>0</v>
      </c>
      <c r="C13" s="139" cm="1">
        <f t="array" ref="C13">SUMPRODUCT((PARIS!$AA$4:'PARIS'!$AA$103=A13)*PARIS!$AE$4:$AE$103)+SUMPRODUCT((PARIS!$AB$4:'PARIS'!$AB$103=A13)*PARIS!$AE$4:$AE$103)+SUMPRODUCT((PARIS!$AU$4:'PARIS'!$AU$103=A13)*PARIS!$AY$4:$AY$103)</f>
        <v>0</v>
      </c>
      <c r="D13" s="136" cm="1">
        <f t="array" ref="D13">SUMPRODUCT((PARIS!$AA$4:'PARIS'!$AA$103=A13)*PARIS!$AF$4:$AF$103)+SUMPRODUCT((PARIS!$AB$4:'PARIS'!$AB$103=A13)*PARIS!$AF$4:$AF$103)+SUMPRODUCT((PARIS!$AU$4:'PARIS'!$AU$103=A13)*PARIS!$AV$4:$AV$103)</f>
        <v>0</v>
      </c>
      <c r="E13" s="136" cm="1">
        <f t="array" ref="E13">SUMPRODUCT((PARIS!$AA$4:'PARIS'!$AA$103=A13)*PARIS!$AG$4:$AG$103)+SUMPRODUCT((PARIS!$AB$4:'PARIS'!$AB$103=A13)*PARIS!$AG$4:$AG$103)+SUMPRODUCT((PARIS!$AU$4:'PARIS'!$AU$103=A13)*PARIS!$AW$4:$AW$103)</f>
        <v>0</v>
      </c>
      <c r="F13" s="136" cm="1">
        <f t="array" ref="F13">SUMPRODUCT((PARIS!$AA$4:'PARIS'!$AA$103=A13)*PARIS!$AH$4:$AH$103)+SUMPRODUCT((PARIS!$AB$4:'PARIS'!$AB$103=A13)*PARIS!$AH$4:$AH$103)+SUMPRODUCT((PARIS!$AU$4:'PARIS'!$AU$103=A13)*PARIS!$AZ$4:$AZ$103)</f>
        <v>0</v>
      </c>
      <c r="G13" s="136" cm="1">
        <f t="array" ref="G13">SUMPRODUCT((PARIS!$AA$4:'PARIS'!$AA$103=A13)*PARIS!$AI$4:$AI$103)+SUMPRODUCT((PARIS!$AB$4:'PARIS'!$AB$103=A13)*PARIS!$AI$4:$AI$103)+SUMPRODUCT((PARIS!$AU$4:'PARIS'!$AU$103=A13)*PARIS!$BA$4:$BA$103)</f>
        <v>0</v>
      </c>
      <c r="H13" s="115"/>
      <c r="I13" s="139">
        <f t="shared" si="1"/>
        <v>0</v>
      </c>
      <c r="J13" s="136">
        <f t="shared" si="2"/>
        <v>0</v>
      </c>
      <c r="K13" s="136">
        <f t="shared" si="2"/>
        <v>0</v>
      </c>
      <c r="L13" s="136">
        <f t="shared" si="2"/>
        <v>0</v>
      </c>
      <c r="M13" s="136">
        <f t="shared" si="2"/>
        <v>0</v>
      </c>
      <c r="N13" s="115"/>
      <c r="O13" s="131"/>
      <c r="P13" s="131"/>
      <c r="Q13" s="131"/>
      <c r="R13" s="115"/>
      <c r="S13" s="131"/>
      <c r="T13" s="131"/>
      <c r="U13" s="131"/>
      <c r="V13" s="115"/>
      <c r="W13" s="128"/>
      <c r="X13" s="128"/>
      <c r="Y13" s="128"/>
      <c r="Z13" s="126"/>
      <c r="AA13" s="126"/>
      <c r="AB13" s="126"/>
      <c r="AC13" s="115"/>
      <c r="AD13" s="126"/>
      <c r="AE13" s="126"/>
      <c r="AF13" s="126"/>
      <c r="AG13" s="115"/>
      <c r="AH13" s="128"/>
      <c r="AI13" s="128"/>
      <c r="AJ13" s="128"/>
      <c r="AK13" s="126"/>
      <c r="AL13" s="126"/>
      <c r="AM13" s="126"/>
      <c r="AN13" s="115"/>
      <c r="AO13" s="131"/>
      <c r="AP13" s="131"/>
      <c r="AQ13" s="131"/>
      <c r="AR13" s="115"/>
      <c r="AS13" s="131"/>
      <c r="AT13" s="131"/>
      <c r="AU13" s="131"/>
      <c r="AV13" s="115"/>
      <c r="AW13" s="126"/>
      <c r="AX13" s="126"/>
      <c r="AY13" s="126"/>
      <c r="AZ13" s="115"/>
      <c r="BA13" s="126"/>
      <c r="BB13" s="126"/>
      <c r="BC13" s="126"/>
      <c r="BD13" s="115"/>
    </row>
    <row r="14" spans="1:56" x14ac:dyDescent="0.25">
      <c r="A14" s="94">
        <v>1959</v>
      </c>
      <c r="B14" s="139" cm="1">
        <f t="array" ref="B14">SUMPRODUCT((PARIS!$AA$4:'PARIS'!$AA$103=A14)*PARIS!$AD$4:$AD$103)+SUMPRODUCT((PARIS!$AB$4:'PARIS'!$AB$103=A14)*PARIS!$AD$4:$AD$103)+SUMPRODUCT((PARIS!$AU$4:'PARIS'!$AU$103=A14)*PARIS!$AX$4:$AX$103)</f>
        <v>0</v>
      </c>
      <c r="C14" s="139" cm="1">
        <f t="array" ref="C14">SUMPRODUCT((PARIS!$AA$4:'PARIS'!$AA$103=A14)*PARIS!$AE$4:$AE$103)+SUMPRODUCT((PARIS!$AB$4:'PARIS'!$AB$103=A14)*PARIS!$AE$4:$AE$103)+SUMPRODUCT((PARIS!$AU$4:'PARIS'!$AU$103=A14)*PARIS!$AY$4:$AY$103)</f>
        <v>0</v>
      </c>
      <c r="D14" s="136" cm="1">
        <f t="array" ref="D14">SUMPRODUCT((PARIS!$AA$4:'PARIS'!$AA$103=A14)*PARIS!$AF$4:$AF$103)+SUMPRODUCT((PARIS!$AB$4:'PARIS'!$AB$103=A14)*PARIS!$AF$4:$AF$103)+SUMPRODUCT((PARIS!$AU$4:'PARIS'!$AU$103=A14)*PARIS!$AV$4:$AV$103)</f>
        <v>0</v>
      </c>
      <c r="E14" s="136" cm="1">
        <f t="array" ref="E14">SUMPRODUCT((PARIS!$AA$4:'PARIS'!$AA$103=A14)*PARIS!$AG$4:$AG$103)+SUMPRODUCT((PARIS!$AB$4:'PARIS'!$AB$103=A14)*PARIS!$AG$4:$AG$103)+SUMPRODUCT((PARIS!$AU$4:'PARIS'!$AU$103=A14)*PARIS!$AW$4:$AW$103)</f>
        <v>0</v>
      </c>
      <c r="F14" s="136" cm="1">
        <f t="array" ref="F14">SUMPRODUCT((PARIS!$AA$4:'PARIS'!$AA$103=A14)*PARIS!$AH$4:$AH$103)+SUMPRODUCT((PARIS!$AB$4:'PARIS'!$AB$103=A14)*PARIS!$AH$4:$AH$103)+SUMPRODUCT((PARIS!$AU$4:'PARIS'!$AU$103=A14)*PARIS!$AZ$4:$AZ$103)</f>
        <v>0</v>
      </c>
      <c r="G14" s="136" cm="1">
        <f t="array" ref="G14">SUMPRODUCT((PARIS!$AA$4:'PARIS'!$AA$103=A14)*PARIS!$AI$4:$AI$103)+SUMPRODUCT((PARIS!$AB$4:'PARIS'!$AB$103=A14)*PARIS!$AI$4:$AI$103)+SUMPRODUCT((PARIS!$AU$4:'PARIS'!$AU$103=A14)*PARIS!$BA$4:$BA$103)</f>
        <v>0</v>
      </c>
      <c r="H14" s="115"/>
      <c r="I14" s="139">
        <f t="shared" si="1"/>
        <v>0</v>
      </c>
      <c r="J14" s="136">
        <f t="shared" si="2"/>
        <v>0</v>
      </c>
      <c r="K14" s="136">
        <f t="shared" si="2"/>
        <v>0</v>
      </c>
      <c r="L14" s="136">
        <f t="shared" si="2"/>
        <v>0</v>
      </c>
      <c r="M14" s="136">
        <f t="shared" si="2"/>
        <v>0</v>
      </c>
      <c r="N14" s="115"/>
      <c r="O14" s="131"/>
      <c r="P14" s="131"/>
      <c r="Q14" s="131"/>
      <c r="R14" s="115"/>
      <c r="S14" s="131"/>
      <c r="T14" s="131"/>
      <c r="U14" s="131"/>
      <c r="V14" s="115"/>
      <c r="W14" s="128"/>
      <c r="X14" s="128"/>
      <c r="Y14" s="128"/>
      <c r="Z14" s="126"/>
      <c r="AA14" s="126"/>
      <c r="AB14" s="126"/>
      <c r="AC14" s="115"/>
      <c r="AD14" s="126"/>
      <c r="AE14" s="126"/>
      <c r="AF14" s="126"/>
      <c r="AG14" s="115"/>
      <c r="AH14" s="128"/>
      <c r="AI14" s="128"/>
      <c r="AJ14" s="128"/>
      <c r="AK14" s="126"/>
      <c r="AL14" s="126"/>
      <c r="AM14" s="126"/>
      <c r="AN14" s="115"/>
      <c r="AO14" s="131"/>
      <c r="AP14" s="131"/>
      <c r="AQ14" s="131"/>
      <c r="AR14" s="115"/>
      <c r="AS14" s="131"/>
      <c r="AT14" s="131"/>
      <c r="AU14" s="131"/>
      <c r="AV14" s="115"/>
      <c r="AW14" s="126"/>
      <c r="AX14" s="126"/>
      <c r="AY14" s="126"/>
      <c r="AZ14" s="115"/>
      <c r="BA14" s="126"/>
      <c r="BB14" s="126"/>
      <c r="BC14" s="126"/>
      <c r="BD14" s="115"/>
    </row>
    <row r="15" spans="1:56" x14ac:dyDescent="0.25">
      <c r="A15" s="94">
        <v>1960</v>
      </c>
      <c r="B15" s="139" cm="1">
        <f t="array" ref="B15">SUMPRODUCT((PARIS!$AA$4:'PARIS'!$AA$103=A15)*PARIS!$AD$4:$AD$103)+SUMPRODUCT((PARIS!$AB$4:'PARIS'!$AB$103=A15)*PARIS!$AD$4:$AD$103)+SUMPRODUCT((PARIS!$AU$4:'PARIS'!$AU$103=A15)*PARIS!$AX$4:$AX$103)</f>
        <v>0</v>
      </c>
      <c r="C15" s="139" cm="1">
        <f t="array" ref="C15">SUMPRODUCT((PARIS!$AA$4:'PARIS'!$AA$103=A15)*PARIS!$AE$4:$AE$103)+SUMPRODUCT((PARIS!$AB$4:'PARIS'!$AB$103=A15)*PARIS!$AE$4:$AE$103)+SUMPRODUCT((PARIS!$AU$4:'PARIS'!$AU$103=A15)*PARIS!$AY$4:$AY$103)</f>
        <v>0</v>
      </c>
      <c r="D15" s="136" cm="1">
        <f t="array" ref="D15">SUMPRODUCT((PARIS!$AA$4:'PARIS'!$AA$103=A15)*PARIS!$AF$4:$AF$103)+SUMPRODUCT((PARIS!$AB$4:'PARIS'!$AB$103=A15)*PARIS!$AF$4:$AF$103)+SUMPRODUCT((PARIS!$AU$4:'PARIS'!$AU$103=A15)*PARIS!$AV$4:$AV$103)</f>
        <v>0</v>
      </c>
      <c r="E15" s="136" cm="1">
        <f t="array" ref="E15">SUMPRODUCT((PARIS!$AA$4:'PARIS'!$AA$103=A15)*PARIS!$AG$4:$AG$103)+SUMPRODUCT((PARIS!$AB$4:'PARIS'!$AB$103=A15)*PARIS!$AG$4:$AG$103)+SUMPRODUCT((PARIS!$AU$4:'PARIS'!$AU$103=A15)*PARIS!$AW$4:$AW$103)</f>
        <v>0</v>
      </c>
      <c r="F15" s="136" cm="1">
        <f t="array" ref="F15">SUMPRODUCT((PARIS!$AA$4:'PARIS'!$AA$103=A15)*PARIS!$AH$4:$AH$103)+SUMPRODUCT((PARIS!$AB$4:'PARIS'!$AB$103=A15)*PARIS!$AH$4:$AH$103)+SUMPRODUCT((PARIS!$AU$4:'PARIS'!$AU$103=A15)*PARIS!$AZ$4:$AZ$103)</f>
        <v>0</v>
      </c>
      <c r="G15" s="136" cm="1">
        <f t="array" ref="G15">SUMPRODUCT((PARIS!$AA$4:'PARIS'!$AA$103=A15)*PARIS!$AI$4:$AI$103)+SUMPRODUCT((PARIS!$AB$4:'PARIS'!$AB$103=A15)*PARIS!$AI$4:$AI$103)+SUMPRODUCT((PARIS!$AU$4:'PARIS'!$AU$103=A15)*PARIS!$BA$4:$BA$103)</f>
        <v>0</v>
      </c>
      <c r="H15" s="115"/>
      <c r="I15" s="139">
        <f t="shared" si="1"/>
        <v>0</v>
      </c>
      <c r="J15" s="136">
        <f t="shared" si="2"/>
        <v>0</v>
      </c>
      <c r="K15" s="136">
        <f t="shared" si="2"/>
        <v>0</v>
      </c>
      <c r="L15" s="136">
        <f t="shared" si="2"/>
        <v>0</v>
      </c>
      <c r="M15" s="136">
        <f t="shared" si="2"/>
        <v>0</v>
      </c>
      <c r="N15" s="115"/>
      <c r="O15" s="131"/>
      <c r="P15" s="131"/>
      <c r="Q15" s="131"/>
      <c r="R15" s="115"/>
      <c r="S15" s="131"/>
      <c r="T15" s="131"/>
      <c r="U15" s="131"/>
      <c r="V15" s="115"/>
      <c r="W15" s="128"/>
      <c r="X15" s="128"/>
      <c r="Y15" s="128"/>
      <c r="Z15" s="126"/>
      <c r="AA15" s="126"/>
      <c r="AB15" s="126"/>
      <c r="AC15" s="115"/>
      <c r="AD15" s="126"/>
      <c r="AE15" s="126"/>
      <c r="AF15" s="126"/>
      <c r="AG15" s="115"/>
      <c r="AH15" s="128"/>
      <c r="AI15" s="128"/>
      <c r="AJ15" s="128"/>
      <c r="AK15" s="126"/>
      <c r="AL15" s="126"/>
      <c r="AM15" s="126"/>
      <c r="AN15" s="115"/>
      <c r="AO15" s="131"/>
      <c r="AP15" s="131"/>
      <c r="AQ15" s="131"/>
      <c r="AR15" s="115"/>
      <c r="AS15" s="131"/>
      <c r="AT15" s="131"/>
      <c r="AU15" s="131"/>
      <c r="AV15" s="115"/>
      <c r="AW15" s="126"/>
      <c r="AX15" s="126"/>
      <c r="AY15" s="126"/>
      <c r="AZ15" s="115"/>
      <c r="BA15" s="126"/>
      <c r="BB15" s="126"/>
      <c r="BC15" s="126"/>
      <c r="BD15" s="115"/>
    </row>
    <row r="16" spans="1:56" x14ac:dyDescent="0.25">
      <c r="A16" s="94">
        <v>1961</v>
      </c>
      <c r="B16" s="139" cm="1">
        <f t="array" ref="B16">SUMPRODUCT((PARIS!$AA$4:'PARIS'!$AA$103=A16)*PARIS!$AD$4:$AD$103)+SUMPRODUCT((PARIS!$AB$4:'PARIS'!$AB$103=A16)*PARIS!$AD$4:$AD$103)+SUMPRODUCT((PARIS!$AU$4:'PARIS'!$AU$103=A16)*PARIS!$AX$4:$AX$103)</f>
        <v>0</v>
      </c>
      <c r="C16" s="139" cm="1">
        <f t="array" ref="C16">SUMPRODUCT((PARIS!$AA$4:'PARIS'!$AA$103=A16)*PARIS!$AE$4:$AE$103)+SUMPRODUCT((PARIS!$AB$4:'PARIS'!$AB$103=A16)*PARIS!$AE$4:$AE$103)+SUMPRODUCT((PARIS!$AU$4:'PARIS'!$AU$103=A16)*PARIS!$AY$4:$AY$103)</f>
        <v>0</v>
      </c>
      <c r="D16" s="136" cm="1">
        <f t="array" ref="D16">SUMPRODUCT((PARIS!$AA$4:'PARIS'!$AA$103=A16)*PARIS!$AF$4:$AF$103)+SUMPRODUCT((PARIS!$AB$4:'PARIS'!$AB$103=A16)*PARIS!$AF$4:$AF$103)+SUMPRODUCT((PARIS!$AU$4:'PARIS'!$AU$103=A16)*PARIS!$AV$4:$AV$103)</f>
        <v>0</v>
      </c>
      <c r="E16" s="136" cm="1">
        <f t="array" ref="E16">SUMPRODUCT((PARIS!$AA$4:'PARIS'!$AA$103=A16)*PARIS!$AG$4:$AG$103)+SUMPRODUCT((PARIS!$AB$4:'PARIS'!$AB$103=A16)*PARIS!$AG$4:$AG$103)+SUMPRODUCT((PARIS!$AU$4:'PARIS'!$AU$103=A16)*PARIS!$AW$4:$AW$103)</f>
        <v>0</v>
      </c>
      <c r="F16" s="136" cm="1">
        <f t="array" ref="F16">SUMPRODUCT((PARIS!$AA$4:'PARIS'!$AA$103=A16)*PARIS!$AH$4:$AH$103)+SUMPRODUCT((PARIS!$AB$4:'PARIS'!$AB$103=A16)*PARIS!$AH$4:$AH$103)+SUMPRODUCT((PARIS!$AU$4:'PARIS'!$AU$103=A16)*PARIS!$AZ$4:$AZ$103)</f>
        <v>0</v>
      </c>
      <c r="G16" s="136" cm="1">
        <f t="array" ref="G16">SUMPRODUCT((PARIS!$AA$4:'PARIS'!$AA$103=A16)*PARIS!$AI$4:$AI$103)+SUMPRODUCT((PARIS!$AB$4:'PARIS'!$AB$103=A16)*PARIS!$AI$4:$AI$103)+SUMPRODUCT((PARIS!$AU$4:'PARIS'!$AU$103=A16)*PARIS!$BA$4:$BA$103)</f>
        <v>0</v>
      </c>
      <c r="H16" s="115"/>
      <c r="I16" s="139">
        <f t="shared" si="1"/>
        <v>0</v>
      </c>
      <c r="J16" s="136">
        <f t="shared" si="2"/>
        <v>0</v>
      </c>
      <c r="K16" s="136">
        <f t="shared" si="2"/>
        <v>0</v>
      </c>
      <c r="L16" s="136">
        <f t="shared" si="2"/>
        <v>0</v>
      </c>
      <c r="M16" s="136">
        <f t="shared" si="2"/>
        <v>0</v>
      </c>
      <c r="N16" s="115"/>
      <c r="O16" s="131"/>
      <c r="P16" s="131"/>
      <c r="Q16" s="131"/>
      <c r="R16" s="115"/>
      <c r="S16" s="131"/>
      <c r="T16" s="131"/>
      <c r="U16" s="131"/>
      <c r="V16" s="115"/>
      <c r="W16" s="128"/>
      <c r="X16" s="128"/>
      <c r="Y16" s="128"/>
      <c r="Z16" s="126"/>
      <c r="AA16" s="126"/>
      <c r="AB16" s="126"/>
      <c r="AC16" s="115"/>
      <c r="AD16" s="126"/>
      <c r="AE16" s="126"/>
      <c r="AF16" s="126"/>
      <c r="AG16" s="115"/>
      <c r="AH16" s="128"/>
      <c r="AI16" s="128"/>
      <c r="AJ16" s="128"/>
      <c r="AK16" s="126"/>
      <c r="AL16" s="126"/>
      <c r="AM16" s="126"/>
      <c r="AN16" s="115"/>
      <c r="AO16" s="131"/>
      <c r="AP16" s="131"/>
      <c r="AQ16" s="131"/>
      <c r="AR16" s="115"/>
      <c r="AS16" s="131"/>
      <c r="AT16" s="131"/>
      <c r="AU16" s="131"/>
      <c r="AV16" s="115"/>
      <c r="AW16" s="126"/>
      <c r="AX16" s="126"/>
      <c r="AY16" s="126"/>
      <c r="AZ16" s="115"/>
      <c r="BA16" s="126"/>
      <c r="BB16" s="126"/>
      <c r="BC16" s="126"/>
      <c r="BD16" s="115"/>
    </row>
    <row r="17" spans="1:56" x14ac:dyDescent="0.25">
      <c r="A17" s="94">
        <v>1962</v>
      </c>
      <c r="B17" s="139" cm="1">
        <f t="array" ref="B17">SUMPRODUCT((PARIS!$AA$4:'PARIS'!$AA$103=A17)*PARIS!$AD$4:$AD$103)+SUMPRODUCT((PARIS!$AB$4:'PARIS'!$AB$103=A17)*PARIS!$AD$4:$AD$103)+SUMPRODUCT((PARIS!$AU$4:'PARIS'!$AU$103=A17)*PARIS!$AX$4:$AX$103)</f>
        <v>0</v>
      </c>
      <c r="C17" s="139" cm="1">
        <f t="array" ref="C17">SUMPRODUCT((PARIS!$AA$4:'PARIS'!$AA$103=A17)*PARIS!$AE$4:$AE$103)+SUMPRODUCT((PARIS!$AB$4:'PARIS'!$AB$103=A17)*PARIS!$AE$4:$AE$103)+SUMPRODUCT((PARIS!$AU$4:'PARIS'!$AU$103=A17)*PARIS!$AY$4:$AY$103)</f>
        <v>0</v>
      </c>
      <c r="D17" s="136" cm="1">
        <f t="array" ref="D17">SUMPRODUCT((PARIS!$AA$4:'PARIS'!$AA$103=A17)*PARIS!$AF$4:$AF$103)+SUMPRODUCT((PARIS!$AB$4:'PARIS'!$AB$103=A17)*PARIS!$AF$4:$AF$103)+SUMPRODUCT((PARIS!$AU$4:'PARIS'!$AU$103=A17)*PARIS!$AV$4:$AV$103)</f>
        <v>0</v>
      </c>
      <c r="E17" s="136" cm="1">
        <f t="array" ref="E17">SUMPRODUCT((PARIS!$AA$4:'PARIS'!$AA$103=A17)*PARIS!$AG$4:$AG$103)+SUMPRODUCT((PARIS!$AB$4:'PARIS'!$AB$103=A17)*PARIS!$AG$4:$AG$103)+SUMPRODUCT((PARIS!$AU$4:'PARIS'!$AU$103=A17)*PARIS!$AW$4:$AW$103)</f>
        <v>0</v>
      </c>
      <c r="F17" s="136" cm="1">
        <f t="array" ref="F17">SUMPRODUCT((PARIS!$AA$4:'PARIS'!$AA$103=A17)*PARIS!$AH$4:$AH$103)+SUMPRODUCT((PARIS!$AB$4:'PARIS'!$AB$103=A17)*PARIS!$AH$4:$AH$103)+SUMPRODUCT((PARIS!$AU$4:'PARIS'!$AU$103=A17)*PARIS!$AZ$4:$AZ$103)</f>
        <v>0</v>
      </c>
      <c r="G17" s="136" cm="1">
        <f t="array" ref="G17">SUMPRODUCT((PARIS!$AA$4:'PARIS'!$AA$103=A17)*PARIS!$AI$4:$AI$103)+SUMPRODUCT((PARIS!$AB$4:'PARIS'!$AB$103=A17)*PARIS!$AI$4:$AI$103)+SUMPRODUCT((PARIS!$AU$4:'PARIS'!$AU$103=A17)*PARIS!$BA$4:$BA$103)</f>
        <v>0</v>
      </c>
      <c r="H17" s="115"/>
      <c r="I17" s="139">
        <f t="shared" si="1"/>
        <v>0</v>
      </c>
      <c r="J17" s="136">
        <f t="shared" si="2"/>
        <v>0</v>
      </c>
      <c r="K17" s="136">
        <f t="shared" si="2"/>
        <v>0</v>
      </c>
      <c r="L17" s="136">
        <f t="shared" si="2"/>
        <v>0</v>
      </c>
      <c r="M17" s="136">
        <f t="shared" si="2"/>
        <v>0</v>
      </c>
      <c r="N17" s="115"/>
      <c r="O17" s="131"/>
      <c r="P17" s="131"/>
      <c r="Q17" s="131"/>
      <c r="R17" s="115"/>
      <c r="S17" s="131"/>
      <c r="T17" s="131"/>
      <c r="U17" s="131"/>
      <c r="V17" s="115"/>
      <c r="W17" s="128"/>
      <c r="X17" s="128"/>
      <c r="Y17" s="128"/>
      <c r="Z17" s="126"/>
      <c r="AA17" s="126"/>
      <c r="AB17" s="126"/>
      <c r="AC17" s="115"/>
      <c r="AD17" s="126"/>
      <c r="AE17" s="126"/>
      <c r="AF17" s="126"/>
      <c r="AG17" s="115"/>
      <c r="AH17" s="128"/>
      <c r="AI17" s="128"/>
      <c r="AJ17" s="128"/>
      <c r="AK17" s="126"/>
      <c r="AL17" s="126"/>
      <c r="AM17" s="126"/>
      <c r="AN17" s="115"/>
      <c r="AO17" s="131"/>
      <c r="AP17" s="131"/>
      <c r="AQ17" s="131"/>
      <c r="AR17" s="115"/>
      <c r="AS17" s="131"/>
      <c r="AT17" s="131"/>
      <c r="AU17" s="131"/>
      <c r="AV17" s="115"/>
      <c r="AW17" s="126"/>
      <c r="AX17" s="126"/>
      <c r="AY17" s="126"/>
      <c r="AZ17" s="115"/>
      <c r="BA17" s="126"/>
      <c r="BB17" s="126"/>
      <c r="BC17" s="126"/>
      <c r="BD17" s="115"/>
    </row>
    <row r="18" spans="1:56" x14ac:dyDescent="0.25">
      <c r="A18" s="94">
        <v>1963</v>
      </c>
      <c r="B18" s="139" cm="1">
        <f t="array" ref="B18">SUMPRODUCT((PARIS!$AA$4:'PARIS'!$AA$103=A18)*PARIS!$AD$4:$AD$103)+SUMPRODUCT((PARIS!$AB$4:'PARIS'!$AB$103=A18)*PARIS!$AD$4:$AD$103)+SUMPRODUCT((PARIS!$AU$4:'PARIS'!$AU$103=A18)*PARIS!$AX$4:$AX$103)</f>
        <v>0</v>
      </c>
      <c r="C18" s="139" cm="1">
        <f t="array" ref="C18">SUMPRODUCT((PARIS!$AA$4:'PARIS'!$AA$103=A18)*PARIS!$AE$4:$AE$103)+SUMPRODUCT((PARIS!$AB$4:'PARIS'!$AB$103=A18)*PARIS!$AE$4:$AE$103)+SUMPRODUCT((PARIS!$AU$4:'PARIS'!$AU$103=A18)*PARIS!$AY$4:$AY$103)</f>
        <v>0</v>
      </c>
      <c r="D18" s="136" cm="1">
        <f t="array" ref="D18">SUMPRODUCT((PARIS!$AA$4:'PARIS'!$AA$103=A18)*PARIS!$AF$4:$AF$103)+SUMPRODUCT((PARIS!$AB$4:'PARIS'!$AB$103=A18)*PARIS!$AF$4:$AF$103)+SUMPRODUCT((PARIS!$AU$4:'PARIS'!$AU$103=A18)*PARIS!$AV$4:$AV$103)</f>
        <v>0</v>
      </c>
      <c r="E18" s="136" cm="1">
        <f t="array" ref="E18">SUMPRODUCT((PARIS!$AA$4:'PARIS'!$AA$103=A18)*PARIS!$AG$4:$AG$103)+SUMPRODUCT((PARIS!$AB$4:'PARIS'!$AB$103=A18)*PARIS!$AG$4:$AG$103)+SUMPRODUCT((PARIS!$AU$4:'PARIS'!$AU$103=A18)*PARIS!$AW$4:$AW$103)</f>
        <v>0</v>
      </c>
      <c r="F18" s="136" cm="1">
        <f t="array" ref="F18">SUMPRODUCT((PARIS!$AA$4:'PARIS'!$AA$103=A18)*PARIS!$AH$4:$AH$103)+SUMPRODUCT((PARIS!$AB$4:'PARIS'!$AB$103=A18)*PARIS!$AH$4:$AH$103)+SUMPRODUCT((PARIS!$AU$4:'PARIS'!$AU$103=A18)*PARIS!$AZ$4:$AZ$103)</f>
        <v>0</v>
      </c>
      <c r="G18" s="136" cm="1">
        <f t="array" ref="G18">SUMPRODUCT((PARIS!$AA$4:'PARIS'!$AA$103=A18)*PARIS!$AI$4:$AI$103)+SUMPRODUCT((PARIS!$AB$4:'PARIS'!$AB$103=A18)*PARIS!$AI$4:$AI$103)+SUMPRODUCT((PARIS!$AU$4:'PARIS'!$AU$103=A18)*PARIS!$BA$4:$BA$103)</f>
        <v>0</v>
      </c>
      <c r="H18" s="115"/>
      <c r="I18" s="139">
        <f t="shared" si="1"/>
        <v>0</v>
      </c>
      <c r="J18" s="136">
        <f t="shared" si="2"/>
        <v>0</v>
      </c>
      <c r="K18" s="136">
        <f t="shared" si="2"/>
        <v>0</v>
      </c>
      <c r="L18" s="136">
        <f t="shared" si="2"/>
        <v>0</v>
      </c>
      <c r="M18" s="136">
        <f t="shared" si="2"/>
        <v>0</v>
      </c>
      <c r="N18" s="115"/>
      <c r="O18" s="131"/>
      <c r="P18" s="131"/>
      <c r="Q18" s="131"/>
      <c r="R18" s="115"/>
      <c r="S18" s="131"/>
      <c r="T18" s="131"/>
      <c r="U18" s="131"/>
      <c r="V18" s="115"/>
      <c r="W18" s="128"/>
      <c r="X18" s="128"/>
      <c r="Y18" s="128"/>
      <c r="Z18" s="126"/>
      <c r="AA18" s="126"/>
      <c r="AB18" s="126"/>
      <c r="AC18" s="115"/>
      <c r="AD18" s="126"/>
      <c r="AE18" s="126"/>
      <c r="AF18" s="126"/>
      <c r="AG18" s="115"/>
      <c r="AH18" s="128"/>
      <c r="AI18" s="128"/>
      <c r="AJ18" s="128"/>
      <c r="AK18" s="126"/>
      <c r="AL18" s="126"/>
      <c r="AM18" s="126"/>
      <c r="AN18" s="115"/>
      <c r="AO18" s="131"/>
      <c r="AP18" s="131"/>
      <c r="AQ18" s="131"/>
      <c r="AR18" s="115"/>
      <c r="AS18" s="131"/>
      <c r="AT18" s="131"/>
      <c r="AU18" s="131"/>
      <c r="AV18" s="115"/>
      <c r="AW18" s="126"/>
      <c r="AX18" s="126"/>
      <c r="AY18" s="126"/>
      <c r="AZ18" s="115"/>
      <c r="BA18" s="126"/>
      <c r="BB18" s="126"/>
      <c r="BC18" s="126"/>
      <c r="BD18" s="115"/>
    </row>
    <row r="19" spans="1:56" x14ac:dyDescent="0.25">
      <c r="A19" s="94">
        <v>1964</v>
      </c>
      <c r="B19" s="139" cm="1">
        <f t="array" ref="B19">SUMPRODUCT((PARIS!$AA$4:'PARIS'!$AA$103=A19)*PARIS!$AD$4:$AD$103)+SUMPRODUCT((PARIS!$AB$4:'PARIS'!$AB$103=A19)*PARIS!$AD$4:$AD$103)+SUMPRODUCT((PARIS!$AU$4:'PARIS'!$AU$103=A19)*PARIS!$AX$4:$AX$103)</f>
        <v>0</v>
      </c>
      <c r="C19" s="139" cm="1">
        <f t="array" ref="C19">SUMPRODUCT((PARIS!$AA$4:'PARIS'!$AA$103=A19)*PARIS!$AE$4:$AE$103)+SUMPRODUCT((PARIS!$AB$4:'PARIS'!$AB$103=A19)*PARIS!$AE$4:$AE$103)+SUMPRODUCT((PARIS!$AU$4:'PARIS'!$AU$103=A19)*PARIS!$AY$4:$AY$103)</f>
        <v>0</v>
      </c>
      <c r="D19" s="136" cm="1">
        <f t="array" ref="D19">SUMPRODUCT((PARIS!$AA$4:'PARIS'!$AA$103=A19)*PARIS!$AF$4:$AF$103)+SUMPRODUCT((PARIS!$AB$4:'PARIS'!$AB$103=A19)*PARIS!$AF$4:$AF$103)+SUMPRODUCT((PARIS!$AU$4:'PARIS'!$AU$103=A19)*PARIS!$AV$4:$AV$103)</f>
        <v>0</v>
      </c>
      <c r="E19" s="136" cm="1">
        <f t="array" ref="E19">SUMPRODUCT((PARIS!$AA$4:'PARIS'!$AA$103=A19)*PARIS!$AG$4:$AG$103)+SUMPRODUCT((PARIS!$AB$4:'PARIS'!$AB$103=A19)*PARIS!$AG$4:$AG$103)+SUMPRODUCT((PARIS!$AU$4:'PARIS'!$AU$103=A19)*PARIS!$AW$4:$AW$103)</f>
        <v>0</v>
      </c>
      <c r="F19" s="136" cm="1">
        <f t="array" ref="F19">SUMPRODUCT((PARIS!$AA$4:'PARIS'!$AA$103=A19)*PARIS!$AH$4:$AH$103)+SUMPRODUCT((PARIS!$AB$4:'PARIS'!$AB$103=A19)*PARIS!$AH$4:$AH$103)+SUMPRODUCT((PARIS!$AU$4:'PARIS'!$AU$103=A19)*PARIS!$AZ$4:$AZ$103)</f>
        <v>0</v>
      </c>
      <c r="G19" s="136" cm="1">
        <f t="array" ref="G19">SUMPRODUCT((PARIS!$AA$4:'PARIS'!$AA$103=A19)*PARIS!$AI$4:$AI$103)+SUMPRODUCT((PARIS!$AB$4:'PARIS'!$AB$103=A19)*PARIS!$AI$4:$AI$103)+SUMPRODUCT((PARIS!$AU$4:'PARIS'!$AU$103=A19)*PARIS!$BA$4:$BA$103)</f>
        <v>0</v>
      </c>
      <c r="H19" s="115"/>
      <c r="I19" s="139">
        <f t="shared" si="1"/>
        <v>0</v>
      </c>
      <c r="J19" s="136">
        <f t="shared" si="2"/>
        <v>0</v>
      </c>
      <c r="K19" s="136">
        <f t="shared" si="2"/>
        <v>0</v>
      </c>
      <c r="L19" s="136">
        <f t="shared" si="2"/>
        <v>0</v>
      </c>
      <c r="M19" s="136">
        <f t="shared" si="2"/>
        <v>0</v>
      </c>
      <c r="N19" s="115"/>
      <c r="O19" s="131"/>
      <c r="P19" s="131"/>
      <c r="Q19" s="131"/>
      <c r="R19" s="115"/>
      <c r="S19" s="131"/>
      <c r="T19" s="131"/>
      <c r="U19" s="131"/>
      <c r="V19" s="115"/>
      <c r="W19" s="128"/>
      <c r="X19" s="128"/>
      <c r="Y19" s="128"/>
      <c r="Z19" s="126"/>
      <c r="AA19" s="126"/>
      <c r="AB19" s="126"/>
      <c r="AC19" s="115"/>
      <c r="AD19" s="126"/>
      <c r="AE19" s="126"/>
      <c r="AF19" s="126"/>
      <c r="AG19" s="115"/>
      <c r="AH19" s="128"/>
      <c r="AI19" s="128"/>
      <c r="AJ19" s="128"/>
      <c r="AK19" s="126"/>
      <c r="AL19" s="126"/>
      <c r="AM19" s="126"/>
      <c r="AN19" s="115"/>
      <c r="AO19" s="131"/>
      <c r="AP19" s="131"/>
      <c r="AQ19" s="131"/>
      <c r="AR19" s="115"/>
      <c r="AS19" s="131"/>
      <c r="AT19" s="131"/>
      <c r="AU19" s="131"/>
      <c r="AV19" s="115"/>
      <c r="AW19" s="126"/>
      <c r="AX19" s="126"/>
      <c r="AY19" s="126"/>
      <c r="AZ19" s="115"/>
      <c r="BA19" s="126"/>
      <c r="BB19" s="126"/>
      <c r="BC19" s="126"/>
      <c r="BD19" s="115"/>
    </row>
    <row r="20" spans="1:56" x14ac:dyDescent="0.25">
      <c r="A20" s="94">
        <v>1965</v>
      </c>
      <c r="B20" s="139" cm="1">
        <f t="array" ref="B20">SUMPRODUCT((PARIS!$AA$4:'PARIS'!$AA$103=A20)*PARIS!$AD$4:$AD$103)+SUMPRODUCT((PARIS!$AB$4:'PARIS'!$AB$103=A20)*PARIS!$AD$4:$AD$103)+SUMPRODUCT((PARIS!$AU$4:'PARIS'!$AU$103=A20)*PARIS!$AX$4:$AX$103)</f>
        <v>0</v>
      </c>
      <c r="C20" s="139" cm="1">
        <f t="array" ref="C20">SUMPRODUCT((PARIS!$AA$4:'PARIS'!$AA$103=A20)*PARIS!$AE$4:$AE$103)+SUMPRODUCT((PARIS!$AB$4:'PARIS'!$AB$103=A20)*PARIS!$AE$4:$AE$103)+SUMPRODUCT((PARIS!$AU$4:'PARIS'!$AU$103=A20)*PARIS!$AY$4:$AY$103)</f>
        <v>0</v>
      </c>
      <c r="D20" s="136" cm="1">
        <f t="array" ref="D20">SUMPRODUCT((PARIS!$AA$4:'PARIS'!$AA$103=A20)*PARIS!$AF$4:$AF$103)+SUMPRODUCT((PARIS!$AB$4:'PARIS'!$AB$103=A20)*PARIS!$AF$4:$AF$103)+SUMPRODUCT((PARIS!$AU$4:'PARIS'!$AU$103=A20)*PARIS!$AV$4:$AV$103)</f>
        <v>0</v>
      </c>
      <c r="E20" s="136" cm="1">
        <f t="array" ref="E20">SUMPRODUCT((PARIS!$AA$4:'PARIS'!$AA$103=A20)*PARIS!$AG$4:$AG$103)+SUMPRODUCT((PARIS!$AB$4:'PARIS'!$AB$103=A20)*PARIS!$AG$4:$AG$103)+SUMPRODUCT((PARIS!$AU$4:'PARIS'!$AU$103=A20)*PARIS!$AW$4:$AW$103)</f>
        <v>0</v>
      </c>
      <c r="F20" s="136" cm="1">
        <f t="array" ref="F20">SUMPRODUCT((PARIS!$AA$4:'PARIS'!$AA$103=A20)*PARIS!$AH$4:$AH$103)+SUMPRODUCT((PARIS!$AB$4:'PARIS'!$AB$103=A20)*PARIS!$AH$4:$AH$103)+SUMPRODUCT((PARIS!$AU$4:'PARIS'!$AU$103=A20)*PARIS!$AZ$4:$AZ$103)</f>
        <v>0</v>
      </c>
      <c r="G20" s="136" cm="1">
        <f t="array" ref="G20">SUMPRODUCT((PARIS!$AA$4:'PARIS'!$AA$103=A20)*PARIS!$AI$4:$AI$103)+SUMPRODUCT((PARIS!$AB$4:'PARIS'!$AB$103=A20)*PARIS!$AI$4:$AI$103)+SUMPRODUCT((PARIS!$AU$4:'PARIS'!$AU$103=A20)*PARIS!$BA$4:$BA$103)</f>
        <v>0</v>
      </c>
      <c r="H20" s="115"/>
      <c r="I20" s="139">
        <f t="shared" si="1"/>
        <v>0</v>
      </c>
      <c r="J20" s="136">
        <f t="shared" si="2"/>
        <v>0</v>
      </c>
      <c r="K20" s="136">
        <f t="shared" si="2"/>
        <v>0</v>
      </c>
      <c r="L20" s="136">
        <f t="shared" si="2"/>
        <v>0</v>
      </c>
      <c r="M20" s="136">
        <f t="shared" si="2"/>
        <v>0</v>
      </c>
      <c r="N20" s="115"/>
      <c r="O20" s="131"/>
      <c r="P20" s="131"/>
      <c r="Q20" s="131"/>
      <c r="R20" s="115"/>
      <c r="S20" s="131"/>
      <c r="T20" s="131"/>
      <c r="U20" s="131"/>
      <c r="V20" s="115"/>
      <c r="W20" s="128"/>
      <c r="X20" s="128"/>
      <c r="Y20" s="128"/>
      <c r="Z20" s="126"/>
      <c r="AA20" s="126"/>
      <c r="AB20" s="126"/>
      <c r="AC20" s="115"/>
      <c r="AD20" s="126"/>
      <c r="AE20" s="126"/>
      <c r="AF20" s="126"/>
      <c r="AG20" s="115"/>
      <c r="AH20" s="128"/>
      <c r="AI20" s="128"/>
      <c r="AJ20" s="128"/>
      <c r="AK20" s="126"/>
      <c r="AL20" s="126"/>
      <c r="AM20" s="126"/>
      <c r="AN20" s="115"/>
      <c r="AO20" s="131"/>
      <c r="AP20" s="131"/>
      <c r="AQ20" s="131"/>
      <c r="AR20" s="115"/>
      <c r="AS20" s="131"/>
      <c r="AT20" s="131"/>
      <c r="AU20" s="131"/>
      <c r="AV20" s="115"/>
      <c r="AW20" s="126"/>
      <c r="AX20" s="126"/>
      <c r="AY20" s="126"/>
      <c r="AZ20" s="115"/>
      <c r="BA20" s="126"/>
      <c r="BB20" s="126"/>
      <c r="BC20" s="126"/>
      <c r="BD20" s="115"/>
    </row>
    <row r="21" spans="1:56" x14ac:dyDescent="0.25">
      <c r="A21" s="94">
        <v>1966</v>
      </c>
      <c r="B21" s="139" cm="1">
        <f t="array" ref="B21">SUMPRODUCT((PARIS!$AA$4:'PARIS'!$AA$103=A21)*PARIS!$AD$4:$AD$103)+SUMPRODUCT((PARIS!$AB$4:'PARIS'!$AB$103=A21)*PARIS!$AD$4:$AD$103)+SUMPRODUCT((PARIS!$AU$4:'PARIS'!$AU$103=A21)*PARIS!$AX$4:$AX$103)</f>
        <v>0</v>
      </c>
      <c r="C21" s="139" cm="1">
        <f t="array" ref="C21">SUMPRODUCT((PARIS!$AA$4:'PARIS'!$AA$103=A21)*PARIS!$AE$4:$AE$103)+SUMPRODUCT((PARIS!$AB$4:'PARIS'!$AB$103=A21)*PARIS!$AE$4:$AE$103)+SUMPRODUCT((PARIS!$AU$4:'PARIS'!$AU$103=A21)*PARIS!$AY$4:$AY$103)</f>
        <v>0</v>
      </c>
      <c r="D21" s="136" cm="1">
        <f t="array" ref="D21">SUMPRODUCT((PARIS!$AA$4:'PARIS'!$AA$103=A21)*PARIS!$AF$4:$AF$103)+SUMPRODUCT((PARIS!$AB$4:'PARIS'!$AB$103=A21)*PARIS!$AF$4:$AF$103)+SUMPRODUCT((PARIS!$AU$4:'PARIS'!$AU$103=A21)*PARIS!$AV$4:$AV$103)</f>
        <v>0</v>
      </c>
      <c r="E21" s="136" cm="1">
        <f t="array" ref="E21">SUMPRODUCT((PARIS!$AA$4:'PARIS'!$AA$103=A21)*PARIS!$AG$4:$AG$103)+SUMPRODUCT((PARIS!$AB$4:'PARIS'!$AB$103=A21)*PARIS!$AG$4:$AG$103)+SUMPRODUCT((PARIS!$AU$4:'PARIS'!$AU$103=A21)*PARIS!$AW$4:$AW$103)</f>
        <v>0</v>
      </c>
      <c r="F21" s="136" cm="1">
        <f t="array" ref="F21">SUMPRODUCT((PARIS!$AA$4:'PARIS'!$AA$103=A21)*PARIS!$AH$4:$AH$103)+SUMPRODUCT((PARIS!$AB$4:'PARIS'!$AB$103=A21)*PARIS!$AH$4:$AH$103)+SUMPRODUCT((PARIS!$AU$4:'PARIS'!$AU$103=A21)*PARIS!$AZ$4:$AZ$103)</f>
        <v>0</v>
      </c>
      <c r="G21" s="136" cm="1">
        <f t="array" ref="G21">SUMPRODUCT((PARIS!$AA$4:'PARIS'!$AA$103=A21)*PARIS!$AI$4:$AI$103)+SUMPRODUCT((PARIS!$AB$4:'PARIS'!$AB$103=A21)*PARIS!$AI$4:$AI$103)+SUMPRODUCT((PARIS!$AU$4:'PARIS'!$AU$103=A21)*PARIS!$BA$4:$BA$103)</f>
        <v>0</v>
      </c>
      <c r="H21" s="115"/>
      <c r="I21" s="139">
        <f t="shared" si="1"/>
        <v>0</v>
      </c>
      <c r="J21" s="136">
        <f t="shared" si="2"/>
        <v>0</v>
      </c>
      <c r="K21" s="136">
        <f t="shared" si="2"/>
        <v>0</v>
      </c>
      <c r="L21" s="136">
        <f t="shared" si="2"/>
        <v>0</v>
      </c>
      <c r="M21" s="136">
        <f t="shared" si="2"/>
        <v>0</v>
      </c>
      <c r="N21" s="115"/>
      <c r="O21" s="131"/>
      <c r="P21" s="131"/>
      <c r="Q21" s="131"/>
      <c r="R21" s="115"/>
      <c r="S21" s="131"/>
      <c r="T21" s="131"/>
      <c r="U21" s="131"/>
      <c r="V21" s="115"/>
      <c r="W21" s="128"/>
      <c r="X21" s="128"/>
      <c r="Y21" s="128"/>
      <c r="Z21" s="126"/>
      <c r="AA21" s="126"/>
      <c r="AB21" s="126"/>
      <c r="AC21" s="115"/>
      <c r="AD21" s="126"/>
      <c r="AE21" s="126"/>
      <c r="AF21" s="126"/>
      <c r="AG21" s="115"/>
      <c r="AH21" s="128"/>
      <c r="AI21" s="128"/>
      <c r="AJ21" s="128"/>
      <c r="AK21" s="126"/>
      <c r="AL21" s="126"/>
      <c r="AM21" s="126"/>
      <c r="AN21" s="115"/>
      <c r="AO21" s="131"/>
      <c r="AP21" s="131"/>
      <c r="AQ21" s="131"/>
      <c r="AR21" s="115"/>
      <c r="AS21" s="131"/>
      <c r="AT21" s="131"/>
      <c r="AU21" s="131"/>
      <c r="AV21" s="115"/>
      <c r="AW21" s="126"/>
      <c r="AX21" s="126"/>
      <c r="AY21" s="126"/>
      <c r="AZ21" s="115"/>
      <c r="BA21" s="126"/>
      <c r="BB21" s="126"/>
      <c r="BC21" s="126"/>
      <c r="BD21" s="115"/>
    </row>
    <row r="22" spans="1:56" x14ac:dyDescent="0.25">
      <c r="A22" s="94">
        <v>1967</v>
      </c>
      <c r="B22" s="139" cm="1">
        <f t="array" ref="B22">SUMPRODUCT((PARIS!$AA$4:'PARIS'!$AA$103=A22)*PARIS!$AD$4:$AD$103)+SUMPRODUCT((PARIS!$AB$4:'PARIS'!$AB$103=A22)*PARIS!$AD$4:$AD$103)+SUMPRODUCT((PARIS!$AU$4:'PARIS'!$AU$103=A22)*PARIS!$AX$4:$AX$103)</f>
        <v>0</v>
      </c>
      <c r="C22" s="139" cm="1">
        <f t="array" ref="C22">SUMPRODUCT((PARIS!$AA$4:'PARIS'!$AA$103=A22)*PARIS!$AE$4:$AE$103)+SUMPRODUCT((PARIS!$AB$4:'PARIS'!$AB$103=A22)*PARIS!$AE$4:$AE$103)+SUMPRODUCT((PARIS!$AU$4:'PARIS'!$AU$103=A22)*PARIS!$AY$4:$AY$103)</f>
        <v>0</v>
      </c>
      <c r="D22" s="136" cm="1">
        <f t="array" ref="D22">SUMPRODUCT((PARIS!$AA$4:'PARIS'!$AA$103=A22)*PARIS!$AF$4:$AF$103)+SUMPRODUCT((PARIS!$AB$4:'PARIS'!$AB$103=A22)*PARIS!$AF$4:$AF$103)+SUMPRODUCT((PARIS!$AU$4:'PARIS'!$AU$103=A22)*PARIS!$AV$4:$AV$103)</f>
        <v>0</v>
      </c>
      <c r="E22" s="136" cm="1">
        <f t="array" ref="E22">SUMPRODUCT((PARIS!$AA$4:'PARIS'!$AA$103=A22)*PARIS!$AG$4:$AG$103)+SUMPRODUCT((PARIS!$AB$4:'PARIS'!$AB$103=A22)*PARIS!$AG$4:$AG$103)+SUMPRODUCT((PARIS!$AU$4:'PARIS'!$AU$103=A22)*PARIS!$AW$4:$AW$103)</f>
        <v>0</v>
      </c>
      <c r="F22" s="136" cm="1">
        <f t="array" ref="F22">SUMPRODUCT((PARIS!$AA$4:'PARIS'!$AA$103=A22)*PARIS!$AH$4:$AH$103)+SUMPRODUCT((PARIS!$AB$4:'PARIS'!$AB$103=A22)*PARIS!$AH$4:$AH$103)+SUMPRODUCT((PARIS!$AU$4:'PARIS'!$AU$103=A22)*PARIS!$AZ$4:$AZ$103)</f>
        <v>0</v>
      </c>
      <c r="G22" s="136" cm="1">
        <f t="array" ref="G22">SUMPRODUCT((PARIS!$AA$4:'PARIS'!$AA$103=A22)*PARIS!$AI$4:$AI$103)+SUMPRODUCT((PARIS!$AB$4:'PARIS'!$AB$103=A22)*PARIS!$AI$4:$AI$103)+SUMPRODUCT((PARIS!$AU$4:'PARIS'!$AU$103=A22)*PARIS!$BA$4:$BA$103)</f>
        <v>0</v>
      </c>
      <c r="H22" s="115"/>
      <c r="I22" s="139">
        <f t="shared" si="1"/>
        <v>0</v>
      </c>
      <c r="J22" s="136">
        <f t="shared" si="2"/>
        <v>0</v>
      </c>
      <c r="K22" s="136">
        <f t="shared" si="2"/>
        <v>0</v>
      </c>
      <c r="L22" s="136">
        <f t="shared" si="2"/>
        <v>0</v>
      </c>
      <c r="M22" s="136">
        <f t="shared" si="2"/>
        <v>0</v>
      </c>
      <c r="N22" s="115"/>
      <c r="O22" s="131"/>
      <c r="P22" s="131"/>
      <c r="Q22" s="131"/>
      <c r="R22" s="115"/>
      <c r="S22" s="131"/>
      <c r="T22" s="131"/>
      <c r="U22" s="131"/>
      <c r="V22" s="115"/>
      <c r="W22" s="128"/>
      <c r="X22" s="128"/>
      <c r="Y22" s="128"/>
      <c r="Z22" s="126"/>
      <c r="AA22" s="126"/>
      <c r="AB22" s="126"/>
      <c r="AC22" s="115"/>
      <c r="AD22" s="126"/>
      <c r="AE22" s="126"/>
      <c r="AF22" s="126"/>
      <c r="AG22" s="115"/>
      <c r="AH22" s="128"/>
      <c r="AI22" s="128"/>
      <c r="AJ22" s="128"/>
      <c r="AK22" s="126"/>
      <c r="AL22" s="126"/>
      <c r="AM22" s="126"/>
      <c r="AN22" s="115"/>
      <c r="AO22" s="131"/>
      <c r="AP22" s="131"/>
      <c r="AQ22" s="131"/>
      <c r="AR22" s="115"/>
      <c r="AS22" s="131"/>
      <c r="AT22" s="131"/>
      <c r="AU22" s="131"/>
      <c r="AV22" s="115"/>
      <c r="AW22" s="126"/>
      <c r="AX22" s="126"/>
      <c r="AY22" s="126"/>
      <c r="AZ22" s="115"/>
      <c r="BA22" s="126"/>
      <c r="BB22" s="126"/>
      <c r="BC22" s="126"/>
      <c r="BD22" s="115"/>
    </row>
    <row r="23" spans="1:56" x14ac:dyDescent="0.25">
      <c r="A23" s="94">
        <v>1968</v>
      </c>
      <c r="B23" s="139" cm="1">
        <f t="array" ref="B23">SUMPRODUCT((PARIS!$AA$4:'PARIS'!$AA$103=A23)*PARIS!$AD$4:$AD$103)+SUMPRODUCT((PARIS!$AB$4:'PARIS'!$AB$103=A23)*PARIS!$AD$4:$AD$103)+SUMPRODUCT((PARIS!$AU$4:'PARIS'!$AU$103=A23)*PARIS!$AX$4:$AX$103)</f>
        <v>0</v>
      </c>
      <c r="C23" s="139" cm="1">
        <f t="array" ref="C23">SUMPRODUCT((PARIS!$AA$4:'PARIS'!$AA$103=A23)*PARIS!$AE$4:$AE$103)+SUMPRODUCT((PARIS!$AB$4:'PARIS'!$AB$103=A23)*PARIS!$AE$4:$AE$103)+SUMPRODUCT((PARIS!$AU$4:'PARIS'!$AU$103=A23)*PARIS!$AY$4:$AY$103)</f>
        <v>0</v>
      </c>
      <c r="D23" s="136" cm="1">
        <f t="array" ref="D23">SUMPRODUCT((PARIS!$AA$4:'PARIS'!$AA$103=A23)*PARIS!$AF$4:$AF$103)+SUMPRODUCT((PARIS!$AB$4:'PARIS'!$AB$103=A23)*PARIS!$AF$4:$AF$103)+SUMPRODUCT((PARIS!$AU$4:'PARIS'!$AU$103=A23)*PARIS!$AV$4:$AV$103)</f>
        <v>0</v>
      </c>
      <c r="E23" s="136" cm="1">
        <f t="array" ref="E23">SUMPRODUCT((PARIS!$AA$4:'PARIS'!$AA$103=A23)*PARIS!$AG$4:$AG$103)+SUMPRODUCT((PARIS!$AB$4:'PARIS'!$AB$103=A23)*PARIS!$AG$4:$AG$103)+SUMPRODUCT((PARIS!$AU$4:'PARIS'!$AU$103=A23)*PARIS!$AW$4:$AW$103)</f>
        <v>0</v>
      </c>
      <c r="F23" s="136" cm="1">
        <f t="array" ref="F23">SUMPRODUCT((PARIS!$AA$4:'PARIS'!$AA$103=A23)*PARIS!$AH$4:$AH$103)+SUMPRODUCT((PARIS!$AB$4:'PARIS'!$AB$103=A23)*PARIS!$AH$4:$AH$103)+SUMPRODUCT((PARIS!$AU$4:'PARIS'!$AU$103=A23)*PARIS!$AZ$4:$AZ$103)</f>
        <v>0</v>
      </c>
      <c r="G23" s="136" cm="1">
        <f t="array" ref="G23">SUMPRODUCT((PARIS!$AA$4:'PARIS'!$AA$103=A23)*PARIS!$AI$4:$AI$103)+SUMPRODUCT((PARIS!$AB$4:'PARIS'!$AB$103=A23)*PARIS!$AI$4:$AI$103)+SUMPRODUCT((PARIS!$AU$4:'PARIS'!$AU$103=A23)*PARIS!$BA$4:$BA$103)</f>
        <v>0</v>
      </c>
      <c r="H23" s="115"/>
      <c r="I23" s="139">
        <f t="shared" si="1"/>
        <v>0</v>
      </c>
      <c r="J23" s="136">
        <f t="shared" si="2"/>
        <v>0</v>
      </c>
      <c r="K23" s="136">
        <f t="shared" si="2"/>
        <v>0</v>
      </c>
      <c r="L23" s="136">
        <f t="shared" si="2"/>
        <v>0</v>
      </c>
      <c r="M23" s="136">
        <f t="shared" si="2"/>
        <v>0</v>
      </c>
      <c r="N23" s="115"/>
      <c r="O23" s="131"/>
      <c r="P23" s="131"/>
      <c r="Q23" s="131"/>
      <c r="R23" s="115"/>
      <c r="S23" s="131"/>
      <c r="T23" s="131"/>
      <c r="U23" s="131"/>
      <c r="V23" s="115"/>
      <c r="W23" s="128"/>
      <c r="X23" s="128"/>
      <c r="Y23" s="128"/>
      <c r="Z23" s="126"/>
      <c r="AA23" s="126"/>
      <c r="AB23" s="126"/>
      <c r="AC23" s="115"/>
      <c r="AD23" s="126"/>
      <c r="AE23" s="126"/>
      <c r="AF23" s="126"/>
      <c r="AG23" s="115"/>
      <c r="AH23" s="128"/>
      <c r="AI23" s="128"/>
      <c r="AJ23" s="128"/>
      <c r="AK23" s="126"/>
      <c r="AL23" s="126"/>
      <c r="AM23" s="126"/>
      <c r="AN23" s="115"/>
      <c r="AO23" s="131"/>
      <c r="AP23" s="131"/>
      <c r="AQ23" s="131"/>
      <c r="AR23" s="115"/>
      <c r="AS23" s="131"/>
      <c r="AT23" s="131"/>
      <c r="AU23" s="131"/>
      <c r="AV23" s="115"/>
      <c r="AW23" s="126"/>
      <c r="AX23" s="126"/>
      <c r="AY23" s="126"/>
      <c r="AZ23" s="115"/>
      <c r="BA23" s="126"/>
      <c r="BB23" s="126"/>
      <c r="BC23" s="126"/>
      <c r="BD23" s="115"/>
    </row>
    <row r="24" spans="1:56" x14ac:dyDescent="0.25">
      <c r="A24" s="94">
        <v>1969</v>
      </c>
      <c r="B24" s="139" cm="1">
        <f t="array" ref="B24">SUMPRODUCT((PARIS!$AA$4:'PARIS'!$AA$103=A24)*PARIS!$AD$4:$AD$103)+SUMPRODUCT((PARIS!$AB$4:'PARIS'!$AB$103=A24)*PARIS!$AD$4:$AD$103)+SUMPRODUCT((PARIS!$AU$4:'PARIS'!$AU$103=A24)*PARIS!$AX$4:$AX$103)</f>
        <v>0</v>
      </c>
      <c r="C24" s="139" cm="1">
        <f t="array" ref="C24">SUMPRODUCT((PARIS!$AA$4:'PARIS'!$AA$103=A24)*PARIS!$AE$4:$AE$103)+SUMPRODUCT((PARIS!$AB$4:'PARIS'!$AB$103=A24)*PARIS!$AE$4:$AE$103)+SUMPRODUCT((PARIS!$AU$4:'PARIS'!$AU$103=A24)*PARIS!$AY$4:$AY$103)</f>
        <v>0</v>
      </c>
      <c r="D24" s="136" cm="1">
        <f t="array" ref="D24">SUMPRODUCT((PARIS!$AA$4:'PARIS'!$AA$103=A24)*PARIS!$AF$4:$AF$103)+SUMPRODUCT((PARIS!$AB$4:'PARIS'!$AB$103=A24)*PARIS!$AF$4:$AF$103)+SUMPRODUCT((PARIS!$AU$4:'PARIS'!$AU$103=A24)*PARIS!$AV$4:$AV$103)</f>
        <v>0</v>
      </c>
      <c r="E24" s="136" cm="1">
        <f t="array" ref="E24">SUMPRODUCT((PARIS!$AA$4:'PARIS'!$AA$103=A24)*PARIS!$AG$4:$AG$103)+SUMPRODUCT((PARIS!$AB$4:'PARIS'!$AB$103=A24)*PARIS!$AG$4:$AG$103)+SUMPRODUCT((PARIS!$AU$4:'PARIS'!$AU$103=A24)*PARIS!$AW$4:$AW$103)</f>
        <v>0</v>
      </c>
      <c r="F24" s="136" cm="1">
        <f t="array" ref="F24">SUMPRODUCT((PARIS!$AA$4:'PARIS'!$AA$103=A24)*PARIS!$AH$4:$AH$103)+SUMPRODUCT((PARIS!$AB$4:'PARIS'!$AB$103=A24)*PARIS!$AH$4:$AH$103)+SUMPRODUCT((PARIS!$AU$4:'PARIS'!$AU$103=A24)*PARIS!$AZ$4:$AZ$103)</f>
        <v>0</v>
      </c>
      <c r="G24" s="136" cm="1">
        <f t="array" ref="G24">SUMPRODUCT((PARIS!$AA$4:'PARIS'!$AA$103=A24)*PARIS!$AI$4:$AI$103)+SUMPRODUCT((PARIS!$AB$4:'PARIS'!$AB$103=A24)*PARIS!$AI$4:$AI$103)+SUMPRODUCT((PARIS!$AU$4:'PARIS'!$AU$103=A24)*PARIS!$BA$4:$BA$103)</f>
        <v>0</v>
      </c>
      <c r="H24" s="115"/>
      <c r="I24" s="139">
        <f t="shared" si="1"/>
        <v>0</v>
      </c>
      <c r="J24" s="136">
        <f t="shared" si="2"/>
        <v>0</v>
      </c>
      <c r="K24" s="136">
        <f t="shared" si="2"/>
        <v>0</v>
      </c>
      <c r="L24" s="136">
        <f t="shared" si="2"/>
        <v>0</v>
      </c>
      <c r="M24" s="136">
        <f t="shared" si="2"/>
        <v>0</v>
      </c>
      <c r="N24" s="115"/>
      <c r="O24" s="131"/>
      <c r="P24" s="131"/>
      <c r="Q24" s="131"/>
      <c r="R24" s="115"/>
      <c r="S24" s="131"/>
      <c r="T24" s="131"/>
      <c r="U24" s="131"/>
      <c r="V24" s="115"/>
      <c r="W24" s="128"/>
      <c r="X24" s="128"/>
      <c r="Y24" s="128"/>
      <c r="Z24" s="126"/>
      <c r="AA24" s="126"/>
      <c r="AB24" s="126"/>
      <c r="AC24" s="115"/>
      <c r="AD24" s="126"/>
      <c r="AE24" s="126"/>
      <c r="AF24" s="126"/>
      <c r="AG24" s="115"/>
      <c r="AH24" s="128"/>
      <c r="AI24" s="128"/>
      <c r="AJ24" s="128"/>
      <c r="AK24" s="126"/>
      <c r="AL24" s="126"/>
      <c r="AM24" s="126"/>
      <c r="AN24" s="115"/>
      <c r="AO24" s="131"/>
      <c r="AP24" s="131"/>
      <c r="AQ24" s="131"/>
      <c r="AR24" s="115"/>
      <c r="AS24" s="131"/>
      <c r="AT24" s="131"/>
      <c r="AU24" s="131"/>
      <c r="AV24" s="115"/>
      <c r="AW24" s="126"/>
      <c r="AX24" s="126"/>
      <c r="AY24" s="126"/>
      <c r="AZ24" s="115"/>
      <c r="BA24" s="126"/>
      <c r="BB24" s="126"/>
      <c r="BC24" s="126"/>
      <c r="BD24" s="115"/>
    </row>
    <row r="25" spans="1:56" x14ac:dyDescent="0.25">
      <c r="A25" s="94">
        <v>1970</v>
      </c>
      <c r="B25" s="139" cm="1">
        <f t="array" ref="B25">SUMPRODUCT((PARIS!$AA$4:'PARIS'!$AA$103=A25)*PARIS!$AD$4:$AD$103)+SUMPRODUCT((PARIS!$AB$4:'PARIS'!$AB$103=A25)*PARIS!$AD$4:$AD$103)+SUMPRODUCT((PARIS!$AU$4:'PARIS'!$AU$103=A25)*PARIS!$AX$4:$AX$103)</f>
        <v>0</v>
      </c>
      <c r="C25" s="139" cm="1">
        <f t="array" ref="C25">SUMPRODUCT((PARIS!$AA$4:'PARIS'!$AA$103=A25)*PARIS!$AE$4:$AE$103)+SUMPRODUCT((PARIS!$AB$4:'PARIS'!$AB$103=A25)*PARIS!$AE$4:$AE$103)+SUMPRODUCT((PARIS!$AU$4:'PARIS'!$AU$103=A25)*PARIS!$AY$4:$AY$103)</f>
        <v>0</v>
      </c>
      <c r="D25" s="136" cm="1">
        <f t="array" ref="D25">SUMPRODUCT((PARIS!$AA$4:'PARIS'!$AA$103=A25)*PARIS!$AF$4:$AF$103)+SUMPRODUCT((PARIS!$AB$4:'PARIS'!$AB$103=A25)*PARIS!$AF$4:$AF$103)+SUMPRODUCT((PARIS!$AU$4:'PARIS'!$AU$103=A25)*PARIS!$AV$4:$AV$103)</f>
        <v>0</v>
      </c>
      <c r="E25" s="136" cm="1">
        <f t="array" ref="E25">SUMPRODUCT((PARIS!$AA$4:'PARIS'!$AA$103=A25)*PARIS!$AG$4:$AG$103)+SUMPRODUCT((PARIS!$AB$4:'PARIS'!$AB$103=A25)*PARIS!$AG$4:$AG$103)+SUMPRODUCT((PARIS!$AU$4:'PARIS'!$AU$103=A25)*PARIS!$AW$4:$AW$103)</f>
        <v>0</v>
      </c>
      <c r="F25" s="136" cm="1">
        <f t="array" ref="F25">SUMPRODUCT((PARIS!$AA$4:'PARIS'!$AA$103=A25)*PARIS!$AH$4:$AH$103)+SUMPRODUCT((PARIS!$AB$4:'PARIS'!$AB$103=A25)*PARIS!$AH$4:$AH$103)+SUMPRODUCT((PARIS!$AU$4:'PARIS'!$AU$103=A25)*PARIS!$AZ$4:$AZ$103)</f>
        <v>0</v>
      </c>
      <c r="G25" s="136" cm="1">
        <f t="array" ref="G25">SUMPRODUCT((PARIS!$AA$4:'PARIS'!$AA$103=A25)*PARIS!$AI$4:$AI$103)+SUMPRODUCT((PARIS!$AB$4:'PARIS'!$AB$103=A25)*PARIS!$AI$4:$AI$103)+SUMPRODUCT((PARIS!$AU$4:'PARIS'!$AU$103=A25)*PARIS!$BA$4:$BA$103)</f>
        <v>0</v>
      </c>
      <c r="H25" s="115"/>
      <c r="I25" s="139">
        <f t="shared" si="1"/>
        <v>0</v>
      </c>
      <c r="J25" s="136">
        <f t="shared" si="2"/>
        <v>0</v>
      </c>
      <c r="K25" s="136">
        <f t="shared" si="2"/>
        <v>0</v>
      </c>
      <c r="L25" s="136">
        <f t="shared" si="2"/>
        <v>0</v>
      </c>
      <c r="M25" s="136">
        <f t="shared" si="2"/>
        <v>0</v>
      </c>
      <c r="N25" s="115"/>
      <c r="O25" s="131"/>
      <c r="P25" s="131"/>
      <c r="Q25" s="131"/>
      <c r="R25" s="115"/>
      <c r="S25" s="131"/>
      <c r="T25" s="131"/>
      <c r="U25" s="131"/>
      <c r="V25" s="115"/>
      <c r="W25" s="128"/>
      <c r="X25" s="128"/>
      <c r="Y25" s="128"/>
      <c r="Z25" s="126"/>
      <c r="AA25" s="126"/>
      <c r="AB25" s="126"/>
      <c r="AC25" s="115"/>
      <c r="AD25" s="126"/>
      <c r="AE25" s="126"/>
      <c r="AF25" s="126"/>
      <c r="AG25" s="115"/>
      <c r="AH25" s="128"/>
      <c r="AI25" s="128"/>
      <c r="AJ25" s="128"/>
      <c r="AK25" s="126"/>
      <c r="AL25" s="126"/>
      <c r="AM25" s="126"/>
      <c r="AN25" s="115"/>
      <c r="AO25" s="131"/>
      <c r="AP25" s="131"/>
      <c r="AQ25" s="131"/>
      <c r="AR25" s="115"/>
      <c r="AS25" s="131"/>
      <c r="AT25" s="131"/>
      <c r="AU25" s="131"/>
      <c r="AV25" s="115"/>
      <c r="AW25" s="126"/>
      <c r="AX25" s="126"/>
      <c r="AY25" s="126"/>
      <c r="AZ25" s="115"/>
      <c r="BA25" s="126"/>
      <c r="BB25" s="126"/>
      <c r="BC25" s="126"/>
      <c r="BD25" s="115"/>
    </row>
    <row r="26" spans="1:56" x14ac:dyDescent="0.25">
      <c r="A26" s="94">
        <v>1971</v>
      </c>
      <c r="B26" s="139" cm="1">
        <f t="array" ref="B26">SUMPRODUCT((PARIS!$AA$4:'PARIS'!$AA$103=A26)*PARIS!$AD$4:$AD$103)+SUMPRODUCT((PARIS!$AB$4:'PARIS'!$AB$103=A26)*PARIS!$AD$4:$AD$103)+SUMPRODUCT((PARIS!$AU$4:'PARIS'!$AU$103=A26)*PARIS!$AX$4:$AX$103)</f>
        <v>0</v>
      </c>
      <c r="C26" s="139" cm="1">
        <f t="array" ref="C26">SUMPRODUCT((PARIS!$AA$4:'PARIS'!$AA$103=A26)*PARIS!$AE$4:$AE$103)+SUMPRODUCT((PARIS!$AB$4:'PARIS'!$AB$103=A26)*PARIS!$AE$4:$AE$103)+SUMPRODUCT((PARIS!$AU$4:'PARIS'!$AU$103=A26)*PARIS!$AY$4:$AY$103)</f>
        <v>0</v>
      </c>
      <c r="D26" s="136" cm="1">
        <f t="array" ref="D26">SUMPRODUCT((PARIS!$AA$4:'PARIS'!$AA$103=A26)*PARIS!$AF$4:$AF$103)+SUMPRODUCT((PARIS!$AB$4:'PARIS'!$AB$103=A26)*PARIS!$AF$4:$AF$103)+SUMPRODUCT((PARIS!$AU$4:'PARIS'!$AU$103=A26)*PARIS!$AV$4:$AV$103)</f>
        <v>0</v>
      </c>
      <c r="E26" s="136" cm="1">
        <f t="array" ref="E26">SUMPRODUCT((PARIS!$AA$4:'PARIS'!$AA$103=A26)*PARIS!$AG$4:$AG$103)+SUMPRODUCT((PARIS!$AB$4:'PARIS'!$AB$103=A26)*PARIS!$AG$4:$AG$103)+SUMPRODUCT((PARIS!$AU$4:'PARIS'!$AU$103=A26)*PARIS!$AW$4:$AW$103)</f>
        <v>0</v>
      </c>
      <c r="F26" s="136" cm="1">
        <f t="array" ref="F26">SUMPRODUCT((PARIS!$AA$4:'PARIS'!$AA$103=A26)*PARIS!$AH$4:$AH$103)+SUMPRODUCT((PARIS!$AB$4:'PARIS'!$AB$103=A26)*PARIS!$AH$4:$AH$103)+SUMPRODUCT((PARIS!$AU$4:'PARIS'!$AU$103=A26)*PARIS!$AZ$4:$AZ$103)</f>
        <v>0</v>
      </c>
      <c r="G26" s="136" cm="1">
        <f t="array" ref="G26">SUMPRODUCT((PARIS!$AA$4:'PARIS'!$AA$103=A26)*PARIS!$AI$4:$AI$103)+SUMPRODUCT((PARIS!$AB$4:'PARIS'!$AB$103=A26)*PARIS!$AI$4:$AI$103)+SUMPRODUCT((PARIS!$AU$4:'PARIS'!$AU$103=A26)*PARIS!$BA$4:$BA$103)</f>
        <v>0</v>
      </c>
      <c r="H26" s="115"/>
      <c r="I26" s="139">
        <f t="shared" si="1"/>
        <v>0</v>
      </c>
      <c r="J26" s="136">
        <f t="shared" si="2"/>
        <v>0</v>
      </c>
      <c r="K26" s="136">
        <f t="shared" si="2"/>
        <v>0</v>
      </c>
      <c r="L26" s="136">
        <f t="shared" si="2"/>
        <v>0</v>
      </c>
      <c r="M26" s="136">
        <f t="shared" si="2"/>
        <v>0</v>
      </c>
      <c r="N26" s="115"/>
      <c r="O26" s="131"/>
      <c r="P26" s="131"/>
      <c r="Q26" s="131"/>
      <c r="R26" s="115"/>
      <c r="S26" s="131"/>
      <c r="T26" s="131"/>
      <c r="U26" s="131"/>
      <c r="V26" s="115"/>
      <c r="W26" s="128"/>
      <c r="X26" s="128"/>
      <c r="Y26" s="128"/>
      <c r="Z26" s="126"/>
      <c r="AA26" s="126"/>
      <c r="AB26" s="126"/>
      <c r="AC26" s="115"/>
      <c r="AD26" s="126"/>
      <c r="AE26" s="126"/>
      <c r="AF26" s="126"/>
      <c r="AG26" s="115"/>
      <c r="AH26" s="128"/>
      <c r="AI26" s="128"/>
      <c r="AJ26" s="128"/>
      <c r="AK26" s="126"/>
      <c r="AL26" s="126"/>
      <c r="AM26" s="126"/>
      <c r="AN26" s="115"/>
      <c r="AO26" s="131"/>
      <c r="AP26" s="131"/>
      <c r="AQ26" s="131"/>
      <c r="AR26" s="115"/>
      <c r="AS26" s="131"/>
      <c r="AT26" s="131"/>
      <c r="AU26" s="131"/>
      <c r="AV26" s="115"/>
      <c r="AW26" s="126"/>
      <c r="AX26" s="126"/>
      <c r="AY26" s="126"/>
      <c r="AZ26" s="115"/>
      <c r="BA26" s="126"/>
      <c r="BB26" s="126"/>
      <c r="BC26" s="126"/>
      <c r="BD26" s="115"/>
    </row>
    <row r="27" spans="1:56" x14ac:dyDescent="0.25">
      <c r="A27" s="94">
        <v>1972</v>
      </c>
      <c r="B27" s="139" cm="1">
        <f t="array" ref="B27">SUMPRODUCT((PARIS!$AA$4:'PARIS'!$AA$103=A27)*PARIS!$AD$4:$AD$103)+SUMPRODUCT((PARIS!$AB$4:'PARIS'!$AB$103=A27)*PARIS!$AD$4:$AD$103)+SUMPRODUCT((PARIS!$AU$4:'PARIS'!$AU$103=A27)*PARIS!$AX$4:$AX$103)</f>
        <v>0</v>
      </c>
      <c r="C27" s="139" cm="1">
        <f t="array" ref="C27">SUMPRODUCT((PARIS!$AA$4:'PARIS'!$AA$103=A27)*PARIS!$AE$4:$AE$103)+SUMPRODUCT((PARIS!$AB$4:'PARIS'!$AB$103=A27)*PARIS!$AE$4:$AE$103)+SUMPRODUCT((PARIS!$AU$4:'PARIS'!$AU$103=A27)*PARIS!$AY$4:$AY$103)</f>
        <v>0</v>
      </c>
      <c r="D27" s="136" cm="1">
        <f t="array" ref="D27">SUMPRODUCT((PARIS!$AA$4:'PARIS'!$AA$103=A27)*PARIS!$AF$4:$AF$103)+SUMPRODUCT((PARIS!$AB$4:'PARIS'!$AB$103=A27)*PARIS!$AF$4:$AF$103)+SUMPRODUCT((PARIS!$AU$4:'PARIS'!$AU$103=A27)*PARIS!$AV$4:$AV$103)</f>
        <v>0</v>
      </c>
      <c r="E27" s="136" cm="1">
        <f t="array" ref="E27">SUMPRODUCT((PARIS!$AA$4:'PARIS'!$AA$103=A27)*PARIS!$AG$4:$AG$103)+SUMPRODUCT((PARIS!$AB$4:'PARIS'!$AB$103=A27)*PARIS!$AG$4:$AG$103)+SUMPRODUCT((PARIS!$AU$4:'PARIS'!$AU$103=A27)*PARIS!$AW$4:$AW$103)</f>
        <v>0</v>
      </c>
      <c r="F27" s="136" cm="1">
        <f t="array" ref="F27">SUMPRODUCT((PARIS!$AA$4:'PARIS'!$AA$103=A27)*PARIS!$AH$4:$AH$103)+SUMPRODUCT((PARIS!$AB$4:'PARIS'!$AB$103=A27)*PARIS!$AH$4:$AH$103)+SUMPRODUCT((PARIS!$AU$4:'PARIS'!$AU$103=A27)*PARIS!$AZ$4:$AZ$103)</f>
        <v>0</v>
      </c>
      <c r="G27" s="136" cm="1">
        <f t="array" ref="G27">SUMPRODUCT((PARIS!$AA$4:'PARIS'!$AA$103=A27)*PARIS!$AI$4:$AI$103)+SUMPRODUCT((PARIS!$AB$4:'PARIS'!$AB$103=A27)*PARIS!$AI$4:$AI$103)+SUMPRODUCT((PARIS!$AU$4:'PARIS'!$AU$103=A27)*PARIS!$BA$4:$BA$103)</f>
        <v>0</v>
      </c>
      <c r="H27" s="115"/>
      <c r="I27" s="139">
        <f t="shared" si="1"/>
        <v>0</v>
      </c>
      <c r="J27" s="136">
        <f t="shared" si="2"/>
        <v>0</v>
      </c>
      <c r="K27" s="136">
        <f t="shared" si="2"/>
        <v>0</v>
      </c>
      <c r="L27" s="136">
        <f t="shared" si="2"/>
        <v>0</v>
      </c>
      <c r="M27" s="136">
        <f t="shared" si="2"/>
        <v>0</v>
      </c>
      <c r="N27" s="115"/>
      <c r="O27" s="131"/>
      <c r="P27" s="131"/>
      <c r="Q27" s="131"/>
      <c r="R27" s="115"/>
      <c r="S27" s="131"/>
      <c r="T27" s="131"/>
      <c r="U27" s="131"/>
      <c r="V27" s="115"/>
      <c r="W27" s="128"/>
      <c r="X27" s="128"/>
      <c r="Y27" s="128"/>
      <c r="Z27" s="126"/>
      <c r="AA27" s="126"/>
      <c r="AB27" s="126"/>
      <c r="AC27" s="115"/>
      <c r="AD27" s="126"/>
      <c r="AE27" s="126"/>
      <c r="AF27" s="126"/>
      <c r="AG27" s="115"/>
      <c r="AH27" s="128"/>
      <c r="AI27" s="128"/>
      <c r="AJ27" s="128"/>
      <c r="AK27" s="126"/>
      <c r="AL27" s="126"/>
      <c r="AM27" s="126"/>
      <c r="AN27" s="115"/>
      <c r="AO27" s="131"/>
      <c r="AP27" s="131"/>
      <c r="AQ27" s="131"/>
      <c r="AR27" s="115"/>
      <c r="AS27" s="131"/>
      <c r="AT27" s="131"/>
      <c r="AU27" s="131"/>
      <c r="AV27" s="115"/>
      <c r="AW27" s="126"/>
      <c r="AX27" s="126"/>
      <c r="AY27" s="126"/>
      <c r="AZ27" s="115"/>
      <c r="BA27" s="126"/>
      <c r="BB27" s="126"/>
      <c r="BC27" s="126"/>
      <c r="BD27" s="115"/>
    </row>
    <row r="28" spans="1:56" x14ac:dyDescent="0.25">
      <c r="A28" s="94">
        <v>1973</v>
      </c>
      <c r="B28" s="139" cm="1">
        <f t="array" ref="B28">SUMPRODUCT((PARIS!$AA$4:'PARIS'!$AA$103=A28)*PARIS!$AD$4:$AD$103)+SUMPRODUCT((PARIS!$AB$4:'PARIS'!$AB$103=A28)*PARIS!$AD$4:$AD$103)+SUMPRODUCT((PARIS!$AU$4:'PARIS'!$AU$103=A28)*PARIS!$AX$4:$AX$103)</f>
        <v>0</v>
      </c>
      <c r="C28" s="139" cm="1">
        <f t="array" ref="C28">SUMPRODUCT((PARIS!$AA$4:'PARIS'!$AA$103=A28)*PARIS!$AE$4:$AE$103)+SUMPRODUCT((PARIS!$AB$4:'PARIS'!$AB$103=A28)*PARIS!$AE$4:$AE$103)+SUMPRODUCT((PARIS!$AU$4:'PARIS'!$AU$103=A28)*PARIS!$AY$4:$AY$103)</f>
        <v>0</v>
      </c>
      <c r="D28" s="136" cm="1">
        <f t="array" ref="D28">SUMPRODUCT((PARIS!$AA$4:'PARIS'!$AA$103=A28)*PARIS!$AF$4:$AF$103)+SUMPRODUCT((PARIS!$AB$4:'PARIS'!$AB$103=A28)*PARIS!$AF$4:$AF$103)+SUMPRODUCT((PARIS!$AU$4:'PARIS'!$AU$103=A28)*PARIS!$AV$4:$AV$103)</f>
        <v>0</v>
      </c>
      <c r="E28" s="136" cm="1">
        <f t="array" ref="E28">SUMPRODUCT((PARIS!$AA$4:'PARIS'!$AA$103=A28)*PARIS!$AG$4:$AG$103)+SUMPRODUCT((PARIS!$AB$4:'PARIS'!$AB$103=A28)*PARIS!$AG$4:$AG$103)+SUMPRODUCT((PARIS!$AU$4:'PARIS'!$AU$103=A28)*PARIS!$AW$4:$AW$103)</f>
        <v>0</v>
      </c>
      <c r="F28" s="136" cm="1">
        <f t="array" ref="F28">SUMPRODUCT((PARIS!$AA$4:'PARIS'!$AA$103=A28)*PARIS!$AH$4:$AH$103)+SUMPRODUCT((PARIS!$AB$4:'PARIS'!$AB$103=A28)*PARIS!$AH$4:$AH$103)+SUMPRODUCT((PARIS!$AU$4:'PARIS'!$AU$103=A28)*PARIS!$AZ$4:$AZ$103)</f>
        <v>0</v>
      </c>
      <c r="G28" s="136" cm="1">
        <f t="array" ref="G28">SUMPRODUCT((PARIS!$AA$4:'PARIS'!$AA$103=A28)*PARIS!$AI$4:$AI$103)+SUMPRODUCT((PARIS!$AB$4:'PARIS'!$AB$103=A28)*PARIS!$AI$4:$AI$103)+SUMPRODUCT((PARIS!$AU$4:'PARIS'!$AU$103=A28)*PARIS!$BA$4:$BA$103)</f>
        <v>0</v>
      </c>
      <c r="H28" s="115"/>
      <c r="I28" s="139">
        <f t="shared" si="1"/>
        <v>0</v>
      </c>
      <c r="J28" s="136">
        <f t="shared" si="2"/>
        <v>0</v>
      </c>
      <c r="K28" s="136">
        <f t="shared" si="2"/>
        <v>0</v>
      </c>
      <c r="L28" s="136">
        <f t="shared" si="2"/>
        <v>0</v>
      </c>
      <c r="M28" s="136">
        <f t="shared" si="2"/>
        <v>0</v>
      </c>
      <c r="N28" s="115"/>
      <c r="O28" s="131"/>
      <c r="P28" s="131"/>
      <c r="Q28" s="131"/>
      <c r="R28" s="115"/>
      <c r="S28" s="131"/>
      <c r="T28" s="131"/>
      <c r="U28" s="131"/>
      <c r="V28" s="115"/>
      <c r="W28" s="128"/>
      <c r="X28" s="128"/>
      <c r="Y28" s="128"/>
      <c r="Z28" s="126"/>
      <c r="AA28" s="126"/>
      <c r="AB28" s="126"/>
      <c r="AC28" s="115"/>
      <c r="AD28" s="126"/>
      <c r="AE28" s="126"/>
      <c r="AF28" s="126"/>
      <c r="AG28" s="115"/>
      <c r="AH28" s="128"/>
      <c r="AI28" s="128"/>
      <c r="AJ28" s="128"/>
      <c r="AK28" s="126"/>
      <c r="AL28" s="126"/>
      <c r="AM28" s="126"/>
      <c r="AN28" s="115"/>
      <c r="AO28" s="131"/>
      <c r="AP28" s="131"/>
      <c r="AQ28" s="131"/>
      <c r="AR28" s="115"/>
      <c r="AS28" s="131"/>
      <c r="AT28" s="131"/>
      <c r="AU28" s="131"/>
      <c r="AV28" s="115"/>
      <c r="AW28" s="126"/>
      <c r="AX28" s="126"/>
      <c r="AY28" s="126"/>
      <c r="AZ28" s="115"/>
      <c r="BA28" s="126"/>
      <c r="BB28" s="126"/>
      <c r="BC28" s="126"/>
      <c r="BD28" s="115"/>
    </row>
    <row r="29" spans="1:56" x14ac:dyDescent="0.25">
      <c r="A29" s="94">
        <v>1974</v>
      </c>
      <c r="B29" s="139" cm="1">
        <f t="array" ref="B29">SUMPRODUCT((PARIS!$AA$4:'PARIS'!$AA$103=A29)*PARIS!$AD$4:$AD$103)+SUMPRODUCT((PARIS!$AB$4:'PARIS'!$AB$103=A29)*PARIS!$AD$4:$AD$103)+SUMPRODUCT((PARIS!$AU$4:'PARIS'!$AU$103=A29)*PARIS!$AX$4:$AX$103)</f>
        <v>0</v>
      </c>
      <c r="C29" s="139" cm="1">
        <f t="array" ref="C29">SUMPRODUCT((PARIS!$AA$4:'PARIS'!$AA$103=A29)*PARIS!$AE$4:$AE$103)+SUMPRODUCT((PARIS!$AB$4:'PARIS'!$AB$103=A29)*PARIS!$AE$4:$AE$103)+SUMPRODUCT((PARIS!$AU$4:'PARIS'!$AU$103=A29)*PARIS!$AY$4:$AY$103)</f>
        <v>0</v>
      </c>
      <c r="D29" s="136" cm="1">
        <f t="array" ref="D29">SUMPRODUCT((PARIS!$AA$4:'PARIS'!$AA$103=A29)*PARIS!$AF$4:$AF$103)+SUMPRODUCT((PARIS!$AB$4:'PARIS'!$AB$103=A29)*PARIS!$AF$4:$AF$103)+SUMPRODUCT((PARIS!$AU$4:'PARIS'!$AU$103=A29)*PARIS!$AV$4:$AV$103)</f>
        <v>0</v>
      </c>
      <c r="E29" s="136" cm="1">
        <f t="array" ref="E29">SUMPRODUCT((PARIS!$AA$4:'PARIS'!$AA$103=A29)*PARIS!$AG$4:$AG$103)+SUMPRODUCT((PARIS!$AB$4:'PARIS'!$AB$103=A29)*PARIS!$AG$4:$AG$103)+SUMPRODUCT((PARIS!$AU$4:'PARIS'!$AU$103=A29)*PARIS!$AW$4:$AW$103)</f>
        <v>0</v>
      </c>
      <c r="F29" s="136" cm="1">
        <f t="array" ref="F29">SUMPRODUCT((PARIS!$AA$4:'PARIS'!$AA$103=A29)*PARIS!$AH$4:$AH$103)+SUMPRODUCT((PARIS!$AB$4:'PARIS'!$AB$103=A29)*PARIS!$AH$4:$AH$103)+SUMPRODUCT((PARIS!$AU$4:'PARIS'!$AU$103=A29)*PARIS!$AZ$4:$AZ$103)</f>
        <v>0</v>
      </c>
      <c r="G29" s="136" cm="1">
        <f t="array" ref="G29">SUMPRODUCT((PARIS!$AA$4:'PARIS'!$AA$103=A29)*PARIS!$AI$4:$AI$103)+SUMPRODUCT((PARIS!$AB$4:'PARIS'!$AB$103=A29)*PARIS!$AI$4:$AI$103)+SUMPRODUCT((PARIS!$AU$4:'PARIS'!$AU$103=A29)*PARIS!$BA$4:$BA$103)</f>
        <v>0</v>
      </c>
      <c r="H29" s="115"/>
      <c r="I29" s="139">
        <f t="shared" si="1"/>
        <v>0</v>
      </c>
      <c r="J29" s="136">
        <f t="shared" si="2"/>
        <v>0</v>
      </c>
      <c r="K29" s="136">
        <f t="shared" si="2"/>
        <v>0</v>
      </c>
      <c r="L29" s="136">
        <f t="shared" si="2"/>
        <v>0</v>
      </c>
      <c r="M29" s="136">
        <f t="shared" si="2"/>
        <v>0</v>
      </c>
      <c r="N29" s="115"/>
      <c r="O29" s="131"/>
      <c r="P29" s="131"/>
      <c r="Q29" s="131"/>
      <c r="R29" s="115"/>
      <c r="S29" s="131"/>
      <c r="T29" s="131"/>
      <c r="U29" s="131"/>
      <c r="V29" s="115"/>
      <c r="W29" s="128"/>
      <c r="X29" s="128"/>
      <c r="Y29" s="128"/>
      <c r="Z29" s="126"/>
      <c r="AA29" s="126"/>
      <c r="AB29" s="126"/>
      <c r="AC29" s="115"/>
      <c r="AD29" s="126"/>
      <c r="AE29" s="126"/>
      <c r="AF29" s="126"/>
      <c r="AG29" s="115"/>
      <c r="AH29" s="128"/>
      <c r="AI29" s="128"/>
      <c r="AJ29" s="128"/>
      <c r="AK29" s="126"/>
      <c r="AL29" s="126"/>
      <c r="AM29" s="126"/>
      <c r="AN29" s="115"/>
      <c r="AO29" s="131"/>
      <c r="AP29" s="131"/>
      <c r="AQ29" s="131"/>
      <c r="AR29" s="115"/>
      <c r="AS29" s="131"/>
      <c r="AT29" s="131"/>
      <c r="AU29" s="131"/>
      <c r="AV29" s="115"/>
      <c r="AW29" s="126"/>
      <c r="AX29" s="126"/>
      <c r="AY29" s="126"/>
      <c r="AZ29" s="115"/>
      <c r="BA29" s="126"/>
      <c r="BB29" s="126"/>
      <c r="BC29" s="126"/>
      <c r="BD29" s="115"/>
    </row>
    <row r="30" spans="1:56" x14ac:dyDescent="0.25">
      <c r="A30" s="94">
        <v>1975</v>
      </c>
      <c r="B30" s="139" cm="1">
        <f t="array" ref="B30">SUMPRODUCT((PARIS!$AA$4:'PARIS'!$AA$103=A30)*PARIS!$AD$4:$AD$103)+SUMPRODUCT((PARIS!$AB$4:'PARIS'!$AB$103=A30)*PARIS!$AD$4:$AD$103)+SUMPRODUCT((PARIS!$AU$4:'PARIS'!$AU$103=A30)*PARIS!$AX$4:$AX$103)</f>
        <v>0</v>
      </c>
      <c r="C30" s="139" cm="1">
        <f t="array" ref="C30">SUMPRODUCT((PARIS!$AA$4:'PARIS'!$AA$103=A30)*PARIS!$AE$4:$AE$103)+SUMPRODUCT((PARIS!$AB$4:'PARIS'!$AB$103=A30)*PARIS!$AE$4:$AE$103)+SUMPRODUCT((PARIS!$AU$4:'PARIS'!$AU$103=A30)*PARIS!$AY$4:$AY$103)</f>
        <v>0</v>
      </c>
      <c r="D30" s="136" cm="1">
        <f t="array" ref="D30">SUMPRODUCT((PARIS!$AA$4:'PARIS'!$AA$103=A30)*PARIS!$AF$4:$AF$103)+SUMPRODUCT((PARIS!$AB$4:'PARIS'!$AB$103=A30)*PARIS!$AF$4:$AF$103)+SUMPRODUCT((PARIS!$AU$4:'PARIS'!$AU$103=A30)*PARIS!$AV$4:$AV$103)</f>
        <v>0</v>
      </c>
      <c r="E30" s="136" cm="1">
        <f t="array" ref="E30">SUMPRODUCT((PARIS!$AA$4:'PARIS'!$AA$103=A30)*PARIS!$AG$4:$AG$103)+SUMPRODUCT((PARIS!$AB$4:'PARIS'!$AB$103=A30)*PARIS!$AG$4:$AG$103)+SUMPRODUCT((PARIS!$AU$4:'PARIS'!$AU$103=A30)*PARIS!$AW$4:$AW$103)</f>
        <v>0</v>
      </c>
      <c r="F30" s="136" cm="1">
        <f t="array" ref="F30">SUMPRODUCT((PARIS!$AA$4:'PARIS'!$AA$103=A30)*PARIS!$AH$4:$AH$103)+SUMPRODUCT((PARIS!$AB$4:'PARIS'!$AB$103=A30)*PARIS!$AH$4:$AH$103)+SUMPRODUCT((PARIS!$AU$4:'PARIS'!$AU$103=A30)*PARIS!$AZ$4:$AZ$103)</f>
        <v>0</v>
      </c>
      <c r="G30" s="136" cm="1">
        <f t="array" ref="G30">SUMPRODUCT((PARIS!$AA$4:'PARIS'!$AA$103=A30)*PARIS!$AI$4:$AI$103)+SUMPRODUCT((PARIS!$AB$4:'PARIS'!$AB$103=A30)*PARIS!$AI$4:$AI$103)+SUMPRODUCT((PARIS!$AU$4:'PARIS'!$AU$103=A30)*PARIS!$BA$4:$BA$103)</f>
        <v>0</v>
      </c>
      <c r="H30" s="115"/>
      <c r="I30" s="139">
        <f t="shared" si="1"/>
        <v>0</v>
      </c>
      <c r="J30" s="136">
        <f t="shared" si="2"/>
        <v>0</v>
      </c>
      <c r="K30" s="136">
        <f t="shared" si="2"/>
        <v>0</v>
      </c>
      <c r="L30" s="136">
        <f t="shared" si="2"/>
        <v>0</v>
      </c>
      <c r="M30" s="136">
        <f t="shared" si="2"/>
        <v>0</v>
      </c>
      <c r="N30" s="115"/>
      <c r="O30" s="131"/>
      <c r="P30" s="131"/>
      <c r="Q30" s="131"/>
      <c r="R30" s="115"/>
      <c r="S30" s="131"/>
      <c r="T30" s="131"/>
      <c r="U30" s="131"/>
      <c r="V30" s="115"/>
      <c r="W30" s="128"/>
      <c r="X30" s="128"/>
      <c r="Y30" s="128"/>
      <c r="Z30" s="126"/>
      <c r="AA30" s="126"/>
      <c r="AB30" s="126"/>
      <c r="AC30" s="115"/>
      <c r="AD30" s="126"/>
      <c r="AE30" s="126"/>
      <c r="AF30" s="126"/>
      <c r="AG30" s="115"/>
      <c r="AH30" s="128"/>
      <c r="AI30" s="128"/>
      <c r="AJ30" s="128"/>
      <c r="AK30" s="126"/>
      <c r="AL30" s="126"/>
      <c r="AM30" s="126"/>
      <c r="AN30" s="115"/>
      <c r="AO30" s="131"/>
      <c r="AP30" s="131"/>
      <c r="AQ30" s="131"/>
      <c r="AR30" s="115"/>
      <c r="AS30" s="131"/>
      <c r="AT30" s="131"/>
      <c r="AU30" s="131"/>
      <c r="AV30" s="115"/>
      <c r="AW30" s="126"/>
      <c r="AX30" s="126"/>
      <c r="AY30" s="126"/>
      <c r="AZ30" s="115"/>
      <c r="BA30" s="126"/>
      <c r="BB30" s="126"/>
      <c r="BC30" s="126"/>
      <c r="BD30" s="115"/>
    </row>
    <row r="31" spans="1:56" x14ac:dyDescent="0.25">
      <c r="A31" s="94">
        <v>1976</v>
      </c>
      <c r="B31" s="139" cm="1">
        <f t="array" ref="B31">SUMPRODUCT((PARIS!$AA$4:'PARIS'!$AA$103=A31)*PARIS!$AD$4:$AD$103)+SUMPRODUCT((PARIS!$AB$4:'PARIS'!$AB$103=A31)*PARIS!$AD$4:$AD$103)+SUMPRODUCT((PARIS!$AU$4:'PARIS'!$AU$103=A31)*PARIS!$AX$4:$AX$103)</f>
        <v>0</v>
      </c>
      <c r="C31" s="139" cm="1">
        <f t="array" ref="C31">SUMPRODUCT((PARIS!$AA$4:'PARIS'!$AA$103=A31)*PARIS!$AE$4:$AE$103)+SUMPRODUCT((PARIS!$AB$4:'PARIS'!$AB$103=A31)*PARIS!$AE$4:$AE$103)+SUMPRODUCT((PARIS!$AU$4:'PARIS'!$AU$103=A31)*PARIS!$AY$4:$AY$103)</f>
        <v>0</v>
      </c>
      <c r="D31" s="136" cm="1">
        <f t="array" ref="D31">SUMPRODUCT((PARIS!$AA$4:'PARIS'!$AA$103=A31)*PARIS!$AF$4:$AF$103)+SUMPRODUCT((PARIS!$AB$4:'PARIS'!$AB$103=A31)*PARIS!$AF$4:$AF$103)+SUMPRODUCT((PARIS!$AU$4:'PARIS'!$AU$103=A31)*PARIS!$AV$4:$AV$103)</f>
        <v>0</v>
      </c>
      <c r="E31" s="136" cm="1">
        <f t="array" ref="E31">SUMPRODUCT((PARIS!$AA$4:'PARIS'!$AA$103=A31)*PARIS!$AG$4:$AG$103)+SUMPRODUCT((PARIS!$AB$4:'PARIS'!$AB$103=A31)*PARIS!$AG$4:$AG$103)+SUMPRODUCT((PARIS!$AU$4:'PARIS'!$AU$103=A31)*PARIS!$AW$4:$AW$103)</f>
        <v>0</v>
      </c>
      <c r="F31" s="136" cm="1">
        <f t="array" ref="F31">SUMPRODUCT((PARIS!$AA$4:'PARIS'!$AA$103=A31)*PARIS!$AH$4:$AH$103)+SUMPRODUCT((PARIS!$AB$4:'PARIS'!$AB$103=A31)*PARIS!$AH$4:$AH$103)+SUMPRODUCT((PARIS!$AU$4:'PARIS'!$AU$103=A31)*PARIS!$AZ$4:$AZ$103)</f>
        <v>0</v>
      </c>
      <c r="G31" s="136" cm="1">
        <f t="array" ref="G31">SUMPRODUCT((PARIS!$AA$4:'PARIS'!$AA$103=A31)*PARIS!$AI$4:$AI$103)+SUMPRODUCT((PARIS!$AB$4:'PARIS'!$AB$103=A31)*PARIS!$AI$4:$AI$103)+SUMPRODUCT((PARIS!$AU$4:'PARIS'!$AU$103=A31)*PARIS!$BA$4:$BA$103)</f>
        <v>0</v>
      </c>
      <c r="H31" s="115"/>
      <c r="I31" s="139">
        <f t="shared" si="1"/>
        <v>0</v>
      </c>
      <c r="J31" s="136">
        <f t="shared" si="2"/>
        <v>0</v>
      </c>
      <c r="K31" s="136">
        <f t="shared" si="2"/>
        <v>0</v>
      </c>
      <c r="L31" s="136">
        <f t="shared" si="2"/>
        <v>0</v>
      </c>
      <c r="M31" s="136">
        <f t="shared" si="2"/>
        <v>0</v>
      </c>
      <c r="N31" s="115"/>
      <c r="O31" s="131"/>
      <c r="P31" s="131"/>
      <c r="Q31" s="131"/>
      <c r="R31" s="115"/>
      <c r="S31" s="131"/>
      <c r="T31" s="131"/>
      <c r="U31" s="131"/>
      <c r="V31" s="115"/>
      <c r="W31" s="128"/>
      <c r="X31" s="128"/>
      <c r="Y31" s="128"/>
      <c r="Z31" s="126"/>
      <c r="AA31" s="126"/>
      <c r="AB31" s="126"/>
      <c r="AC31" s="115"/>
      <c r="AD31" s="126"/>
      <c r="AE31" s="126"/>
      <c r="AF31" s="126"/>
      <c r="AG31" s="115"/>
      <c r="AH31" s="128"/>
      <c r="AI31" s="128"/>
      <c r="AJ31" s="128"/>
      <c r="AK31" s="126"/>
      <c r="AL31" s="126"/>
      <c r="AM31" s="126"/>
      <c r="AN31" s="115"/>
      <c r="AO31" s="131"/>
      <c r="AP31" s="131"/>
      <c r="AQ31" s="131"/>
      <c r="AR31" s="115"/>
      <c r="AS31" s="131"/>
      <c r="AT31" s="131"/>
      <c r="AU31" s="131"/>
      <c r="AV31" s="115"/>
      <c r="AW31" s="126"/>
      <c r="AX31" s="126"/>
      <c r="AY31" s="126"/>
      <c r="AZ31" s="115"/>
      <c r="BA31" s="126"/>
      <c r="BB31" s="126"/>
      <c r="BC31" s="126"/>
      <c r="BD31" s="115"/>
    </row>
    <row r="32" spans="1:56" x14ac:dyDescent="0.25">
      <c r="A32" s="94">
        <v>1977</v>
      </c>
      <c r="B32" s="139" cm="1">
        <f t="array" ref="B32">SUMPRODUCT((PARIS!$AA$4:'PARIS'!$AA$103=A32)*PARIS!$AD$4:$AD$103)+SUMPRODUCT((PARIS!$AB$4:'PARIS'!$AB$103=A32)*PARIS!$AD$4:$AD$103)+SUMPRODUCT((PARIS!$AU$4:'PARIS'!$AU$103=A32)*PARIS!$AX$4:$AX$103)</f>
        <v>0</v>
      </c>
      <c r="C32" s="139" cm="1">
        <f t="array" ref="C32">SUMPRODUCT((PARIS!$AA$4:'PARIS'!$AA$103=A32)*PARIS!$AE$4:$AE$103)+SUMPRODUCT((PARIS!$AB$4:'PARIS'!$AB$103=A32)*PARIS!$AE$4:$AE$103)+SUMPRODUCT((PARIS!$AU$4:'PARIS'!$AU$103=A32)*PARIS!$AY$4:$AY$103)</f>
        <v>0</v>
      </c>
      <c r="D32" s="136" cm="1">
        <f t="array" ref="D32">SUMPRODUCT((PARIS!$AA$4:'PARIS'!$AA$103=A32)*PARIS!$AF$4:$AF$103)+SUMPRODUCT((PARIS!$AB$4:'PARIS'!$AB$103=A32)*PARIS!$AF$4:$AF$103)+SUMPRODUCT((PARIS!$AU$4:'PARIS'!$AU$103=A32)*PARIS!$AV$4:$AV$103)</f>
        <v>0</v>
      </c>
      <c r="E32" s="136" cm="1">
        <f t="array" ref="E32">SUMPRODUCT((PARIS!$AA$4:'PARIS'!$AA$103=A32)*PARIS!$AG$4:$AG$103)+SUMPRODUCT((PARIS!$AB$4:'PARIS'!$AB$103=A32)*PARIS!$AG$4:$AG$103)+SUMPRODUCT((PARIS!$AU$4:'PARIS'!$AU$103=A32)*PARIS!$AW$4:$AW$103)</f>
        <v>0</v>
      </c>
      <c r="F32" s="136" cm="1">
        <f t="array" ref="F32">SUMPRODUCT((PARIS!$AA$4:'PARIS'!$AA$103=A32)*PARIS!$AH$4:$AH$103)+SUMPRODUCT((PARIS!$AB$4:'PARIS'!$AB$103=A32)*PARIS!$AH$4:$AH$103)+SUMPRODUCT((PARIS!$AU$4:'PARIS'!$AU$103=A32)*PARIS!$AZ$4:$AZ$103)</f>
        <v>0</v>
      </c>
      <c r="G32" s="136" cm="1">
        <f t="array" ref="G32">SUMPRODUCT((PARIS!$AA$4:'PARIS'!$AA$103=A32)*PARIS!$AI$4:$AI$103)+SUMPRODUCT((PARIS!$AB$4:'PARIS'!$AB$103=A32)*PARIS!$AI$4:$AI$103)+SUMPRODUCT((PARIS!$AU$4:'PARIS'!$AU$103=A32)*PARIS!$BA$4:$BA$103)</f>
        <v>0</v>
      </c>
      <c r="H32" s="115"/>
      <c r="I32" s="139">
        <f t="shared" si="1"/>
        <v>0</v>
      </c>
      <c r="J32" s="136">
        <f t="shared" si="2"/>
        <v>0</v>
      </c>
      <c r="K32" s="136">
        <f t="shared" si="2"/>
        <v>0</v>
      </c>
      <c r="L32" s="136">
        <f t="shared" si="2"/>
        <v>0</v>
      </c>
      <c r="M32" s="136">
        <f t="shared" si="2"/>
        <v>0</v>
      </c>
      <c r="N32" s="115"/>
      <c r="O32" s="131"/>
      <c r="P32" s="131"/>
      <c r="Q32" s="131"/>
      <c r="R32" s="115"/>
      <c r="S32" s="131"/>
      <c r="T32" s="131"/>
      <c r="U32" s="131"/>
      <c r="V32" s="115"/>
      <c r="W32" s="128"/>
      <c r="X32" s="128"/>
      <c r="Y32" s="128"/>
      <c r="Z32" s="126"/>
      <c r="AA32" s="126"/>
      <c r="AB32" s="126"/>
      <c r="AC32" s="115"/>
      <c r="AD32" s="126"/>
      <c r="AE32" s="126"/>
      <c r="AF32" s="126"/>
      <c r="AG32" s="115"/>
      <c r="AH32" s="128"/>
      <c r="AI32" s="128"/>
      <c r="AJ32" s="128"/>
      <c r="AK32" s="126"/>
      <c r="AL32" s="126"/>
      <c r="AM32" s="126"/>
      <c r="AN32" s="115"/>
      <c r="AO32" s="131"/>
      <c r="AP32" s="131"/>
      <c r="AQ32" s="131"/>
      <c r="AR32" s="115"/>
      <c r="AS32" s="131"/>
      <c r="AT32" s="131"/>
      <c r="AU32" s="131"/>
      <c r="AV32" s="115"/>
      <c r="AW32" s="126"/>
      <c r="AX32" s="126"/>
      <c r="AY32" s="126"/>
      <c r="AZ32" s="115"/>
      <c r="BA32" s="126"/>
      <c r="BB32" s="126"/>
      <c r="BC32" s="126"/>
      <c r="BD32" s="115"/>
    </row>
    <row r="33" spans="1:56" x14ac:dyDescent="0.25">
      <c r="A33" s="94">
        <v>1978</v>
      </c>
      <c r="B33" s="139" cm="1">
        <f t="array" ref="B33">SUMPRODUCT((PARIS!$AA$4:'PARIS'!$AA$103=A33)*PARIS!$AD$4:$AD$103)+SUMPRODUCT((PARIS!$AB$4:'PARIS'!$AB$103=A33)*PARIS!$AD$4:$AD$103)+SUMPRODUCT((PARIS!$AU$4:'PARIS'!$AU$103=A33)*PARIS!$AX$4:$AX$103)</f>
        <v>0</v>
      </c>
      <c r="C33" s="139" cm="1">
        <f t="array" ref="C33">SUMPRODUCT((PARIS!$AA$4:'PARIS'!$AA$103=A33)*PARIS!$AE$4:$AE$103)+SUMPRODUCT((PARIS!$AB$4:'PARIS'!$AB$103=A33)*PARIS!$AE$4:$AE$103)+SUMPRODUCT((PARIS!$AU$4:'PARIS'!$AU$103=A33)*PARIS!$AY$4:$AY$103)</f>
        <v>0</v>
      </c>
      <c r="D33" s="136" cm="1">
        <f t="array" ref="D33">SUMPRODUCT((PARIS!$AA$4:'PARIS'!$AA$103=A33)*PARIS!$AF$4:$AF$103)+SUMPRODUCT((PARIS!$AB$4:'PARIS'!$AB$103=A33)*PARIS!$AF$4:$AF$103)+SUMPRODUCT((PARIS!$AU$4:'PARIS'!$AU$103=A33)*PARIS!$AV$4:$AV$103)</f>
        <v>0</v>
      </c>
      <c r="E33" s="136" cm="1">
        <f t="array" ref="E33">SUMPRODUCT((PARIS!$AA$4:'PARIS'!$AA$103=A33)*PARIS!$AG$4:$AG$103)+SUMPRODUCT((PARIS!$AB$4:'PARIS'!$AB$103=A33)*PARIS!$AG$4:$AG$103)+SUMPRODUCT((PARIS!$AU$4:'PARIS'!$AU$103=A33)*PARIS!$AW$4:$AW$103)</f>
        <v>0</v>
      </c>
      <c r="F33" s="136" cm="1">
        <f t="array" ref="F33">SUMPRODUCT((PARIS!$AA$4:'PARIS'!$AA$103=A33)*PARIS!$AH$4:$AH$103)+SUMPRODUCT((PARIS!$AB$4:'PARIS'!$AB$103=A33)*PARIS!$AH$4:$AH$103)+SUMPRODUCT((PARIS!$AU$4:'PARIS'!$AU$103=A33)*PARIS!$AZ$4:$AZ$103)</f>
        <v>0</v>
      </c>
      <c r="G33" s="136" cm="1">
        <f t="array" ref="G33">SUMPRODUCT((PARIS!$AA$4:'PARIS'!$AA$103=A33)*PARIS!$AI$4:$AI$103)+SUMPRODUCT((PARIS!$AB$4:'PARIS'!$AB$103=A33)*PARIS!$AI$4:$AI$103)+SUMPRODUCT((PARIS!$AU$4:'PARIS'!$AU$103=A33)*PARIS!$BA$4:$BA$103)</f>
        <v>0</v>
      </c>
      <c r="H33" s="115"/>
      <c r="I33" s="139">
        <f t="shared" si="1"/>
        <v>0</v>
      </c>
      <c r="J33" s="136">
        <f t="shared" si="2"/>
        <v>0</v>
      </c>
      <c r="K33" s="136">
        <f t="shared" si="2"/>
        <v>0</v>
      </c>
      <c r="L33" s="136">
        <f t="shared" si="2"/>
        <v>0</v>
      </c>
      <c r="M33" s="136">
        <f t="shared" si="2"/>
        <v>0</v>
      </c>
      <c r="N33" s="115"/>
      <c r="O33" s="131"/>
      <c r="P33" s="131"/>
      <c r="Q33" s="131"/>
      <c r="R33" s="115"/>
      <c r="S33" s="131"/>
      <c r="T33" s="131"/>
      <c r="U33" s="131"/>
      <c r="V33" s="115"/>
      <c r="W33" s="128"/>
      <c r="X33" s="128"/>
      <c r="Y33" s="128"/>
      <c r="Z33" s="126"/>
      <c r="AA33" s="126"/>
      <c r="AB33" s="126"/>
      <c r="AC33" s="115"/>
      <c r="AD33" s="126"/>
      <c r="AE33" s="126"/>
      <c r="AF33" s="126"/>
      <c r="AG33" s="115"/>
      <c r="AH33" s="128"/>
      <c r="AI33" s="128"/>
      <c r="AJ33" s="128"/>
      <c r="AK33" s="126"/>
      <c r="AL33" s="126"/>
      <c r="AM33" s="126"/>
      <c r="AN33" s="115"/>
      <c r="AO33" s="131"/>
      <c r="AP33" s="131"/>
      <c r="AQ33" s="131"/>
      <c r="AR33" s="115"/>
      <c r="AS33" s="131"/>
      <c r="AT33" s="131"/>
      <c r="AU33" s="131"/>
      <c r="AV33" s="115"/>
      <c r="AW33" s="126"/>
      <c r="AX33" s="126"/>
      <c r="AY33" s="126"/>
      <c r="AZ33" s="115"/>
      <c r="BA33" s="126"/>
      <c r="BB33" s="126"/>
      <c r="BC33" s="126"/>
      <c r="BD33" s="115"/>
    </row>
    <row r="34" spans="1:56" x14ac:dyDescent="0.25">
      <c r="A34" s="94">
        <v>1979</v>
      </c>
      <c r="B34" s="139" cm="1">
        <f t="array" ref="B34">SUMPRODUCT((PARIS!$AA$4:'PARIS'!$AA$103=A34)*PARIS!$AD$4:$AD$103)+SUMPRODUCT((PARIS!$AB$4:'PARIS'!$AB$103=A34)*PARIS!$AD$4:$AD$103)+SUMPRODUCT((PARIS!$AU$4:'PARIS'!$AU$103=A34)*PARIS!$AX$4:$AX$103)</f>
        <v>0</v>
      </c>
      <c r="C34" s="139" cm="1">
        <f t="array" ref="C34">SUMPRODUCT((PARIS!$AA$4:'PARIS'!$AA$103=A34)*PARIS!$AE$4:$AE$103)+SUMPRODUCT((PARIS!$AB$4:'PARIS'!$AB$103=A34)*PARIS!$AE$4:$AE$103)+SUMPRODUCT((PARIS!$AU$4:'PARIS'!$AU$103=A34)*PARIS!$AY$4:$AY$103)</f>
        <v>0</v>
      </c>
      <c r="D34" s="136" cm="1">
        <f t="array" ref="D34">SUMPRODUCT((PARIS!$AA$4:'PARIS'!$AA$103=A34)*PARIS!$AF$4:$AF$103)+SUMPRODUCT((PARIS!$AB$4:'PARIS'!$AB$103=A34)*PARIS!$AF$4:$AF$103)+SUMPRODUCT((PARIS!$AU$4:'PARIS'!$AU$103=A34)*PARIS!$AV$4:$AV$103)</f>
        <v>0</v>
      </c>
      <c r="E34" s="136" cm="1">
        <f t="array" ref="E34">SUMPRODUCT((PARIS!$AA$4:'PARIS'!$AA$103=A34)*PARIS!$AG$4:$AG$103)+SUMPRODUCT((PARIS!$AB$4:'PARIS'!$AB$103=A34)*PARIS!$AG$4:$AG$103)+SUMPRODUCT((PARIS!$AU$4:'PARIS'!$AU$103=A34)*PARIS!$AW$4:$AW$103)</f>
        <v>0</v>
      </c>
      <c r="F34" s="136" cm="1">
        <f t="array" ref="F34">SUMPRODUCT((PARIS!$AA$4:'PARIS'!$AA$103=A34)*PARIS!$AH$4:$AH$103)+SUMPRODUCT((PARIS!$AB$4:'PARIS'!$AB$103=A34)*PARIS!$AH$4:$AH$103)+SUMPRODUCT((PARIS!$AU$4:'PARIS'!$AU$103=A34)*PARIS!$AZ$4:$AZ$103)</f>
        <v>0</v>
      </c>
      <c r="G34" s="136" cm="1">
        <f t="array" ref="G34">SUMPRODUCT((PARIS!$AA$4:'PARIS'!$AA$103=A34)*PARIS!$AI$4:$AI$103)+SUMPRODUCT((PARIS!$AB$4:'PARIS'!$AB$103=A34)*PARIS!$AI$4:$AI$103)+SUMPRODUCT((PARIS!$AU$4:'PARIS'!$AU$103=A34)*PARIS!$BA$4:$BA$103)</f>
        <v>0</v>
      </c>
      <c r="H34" s="115"/>
      <c r="I34" s="139">
        <f t="shared" si="1"/>
        <v>0</v>
      </c>
      <c r="J34" s="136">
        <f t="shared" si="2"/>
        <v>0</v>
      </c>
      <c r="K34" s="136">
        <f t="shared" si="2"/>
        <v>0</v>
      </c>
      <c r="L34" s="136">
        <f t="shared" si="2"/>
        <v>0</v>
      </c>
      <c r="M34" s="136">
        <f t="shared" si="2"/>
        <v>0</v>
      </c>
      <c r="N34" s="115"/>
      <c r="O34" s="131"/>
      <c r="P34" s="131"/>
      <c r="Q34" s="131"/>
      <c r="R34" s="115"/>
      <c r="S34" s="131"/>
      <c r="T34" s="131"/>
      <c r="U34" s="131"/>
      <c r="V34" s="115"/>
      <c r="W34" s="128"/>
      <c r="X34" s="128"/>
      <c r="Y34" s="128"/>
      <c r="Z34" s="126"/>
      <c r="AA34" s="126"/>
      <c r="AB34" s="126"/>
      <c r="AC34" s="115"/>
      <c r="AD34" s="126"/>
      <c r="AE34" s="126"/>
      <c r="AF34" s="126"/>
      <c r="AG34" s="115"/>
      <c r="AH34" s="128"/>
      <c r="AI34" s="128"/>
      <c r="AJ34" s="128"/>
      <c r="AK34" s="126"/>
      <c r="AL34" s="126"/>
      <c r="AM34" s="126"/>
      <c r="AN34" s="115"/>
      <c r="AO34" s="131"/>
      <c r="AP34" s="131"/>
      <c r="AQ34" s="131"/>
      <c r="AR34" s="115"/>
      <c r="AS34" s="131"/>
      <c r="AT34" s="131"/>
      <c r="AU34" s="131"/>
      <c r="AV34" s="115"/>
      <c r="AW34" s="126"/>
      <c r="AX34" s="126"/>
      <c r="AY34" s="126"/>
      <c r="AZ34" s="115"/>
      <c r="BA34" s="126"/>
      <c r="BB34" s="126"/>
      <c r="BC34" s="126"/>
      <c r="BD34" s="115"/>
    </row>
    <row r="35" spans="1:56" x14ac:dyDescent="0.25">
      <c r="A35" s="94">
        <v>1980</v>
      </c>
      <c r="B35" s="139" cm="1">
        <f t="array" ref="B35">SUMPRODUCT((PARIS!$AA$4:'PARIS'!$AA$103=A35)*PARIS!$AD$4:$AD$103)+SUMPRODUCT((PARIS!$AB$4:'PARIS'!$AB$103=A35)*PARIS!$AD$4:$AD$103)+SUMPRODUCT((PARIS!$AU$4:'PARIS'!$AU$103=A35)*PARIS!$AX$4:$AX$103)</f>
        <v>0</v>
      </c>
      <c r="C35" s="139" cm="1">
        <f t="array" ref="C35">SUMPRODUCT((PARIS!$AA$4:'PARIS'!$AA$103=A35)*PARIS!$AE$4:$AE$103)+SUMPRODUCT((PARIS!$AB$4:'PARIS'!$AB$103=A35)*PARIS!$AE$4:$AE$103)+SUMPRODUCT((PARIS!$AU$4:'PARIS'!$AU$103=A35)*PARIS!$AY$4:$AY$103)</f>
        <v>0</v>
      </c>
      <c r="D35" s="136" cm="1">
        <f t="array" ref="D35">SUMPRODUCT((PARIS!$AA$4:'PARIS'!$AA$103=A35)*PARIS!$AF$4:$AF$103)+SUMPRODUCT((PARIS!$AB$4:'PARIS'!$AB$103=A35)*PARIS!$AF$4:$AF$103)+SUMPRODUCT((PARIS!$AU$4:'PARIS'!$AU$103=A35)*PARIS!$AV$4:$AV$103)</f>
        <v>0</v>
      </c>
      <c r="E35" s="136" cm="1">
        <f t="array" ref="E35">SUMPRODUCT((PARIS!$AA$4:'PARIS'!$AA$103=A35)*PARIS!$AG$4:$AG$103)+SUMPRODUCT((PARIS!$AB$4:'PARIS'!$AB$103=A35)*PARIS!$AG$4:$AG$103)+SUMPRODUCT((PARIS!$AU$4:'PARIS'!$AU$103=A35)*PARIS!$AW$4:$AW$103)</f>
        <v>0</v>
      </c>
      <c r="F35" s="136" cm="1">
        <f t="array" ref="F35">SUMPRODUCT((PARIS!$AA$4:'PARIS'!$AA$103=A35)*PARIS!$AH$4:$AH$103)+SUMPRODUCT((PARIS!$AB$4:'PARIS'!$AB$103=A35)*PARIS!$AH$4:$AH$103)+SUMPRODUCT((PARIS!$AU$4:'PARIS'!$AU$103=A35)*PARIS!$AZ$4:$AZ$103)</f>
        <v>0</v>
      </c>
      <c r="G35" s="136" cm="1">
        <f t="array" ref="G35">SUMPRODUCT((PARIS!$AA$4:'PARIS'!$AA$103=A35)*PARIS!$AI$4:$AI$103)+SUMPRODUCT((PARIS!$AB$4:'PARIS'!$AB$103=A35)*PARIS!$AI$4:$AI$103)+SUMPRODUCT((PARIS!$AU$4:'PARIS'!$AU$103=A35)*PARIS!$BA$4:$BA$103)</f>
        <v>0</v>
      </c>
      <c r="H35" s="115"/>
      <c r="I35" s="139">
        <f t="shared" si="1"/>
        <v>0</v>
      </c>
      <c r="J35" s="136">
        <f t="shared" si="2"/>
        <v>0</v>
      </c>
      <c r="K35" s="136">
        <f t="shared" si="2"/>
        <v>0</v>
      </c>
      <c r="L35" s="136">
        <f t="shared" si="2"/>
        <v>0</v>
      </c>
      <c r="M35" s="136">
        <f t="shared" si="2"/>
        <v>0</v>
      </c>
      <c r="N35" s="115"/>
      <c r="O35" s="131"/>
      <c r="P35" s="131"/>
      <c r="Q35" s="131"/>
      <c r="R35" s="115"/>
      <c r="S35" s="131"/>
      <c r="T35" s="131"/>
      <c r="U35" s="131"/>
      <c r="V35" s="115"/>
      <c r="W35" s="128"/>
      <c r="X35" s="128"/>
      <c r="Y35" s="128"/>
      <c r="Z35" s="126"/>
      <c r="AA35" s="126"/>
      <c r="AB35" s="126"/>
      <c r="AC35" s="115"/>
      <c r="AD35" s="126"/>
      <c r="AE35" s="126"/>
      <c r="AF35" s="126"/>
      <c r="AG35" s="115"/>
      <c r="AH35" s="128"/>
      <c r="AI35" s="128"/>
      <c r="AJ35" s="128"/>
      <c r="AK35" s="126"/>
      <c r="AL35" s="126"/>
      <c r="AM35" s="126"/>
      <c r="AN35" s="115"/>
      <c r="AO35" s="131"/>
      <c r="AP35" s="131"/>
      <c r="AQ35" s="131"/>
      <c r="AR35" s="115"/>
      <c r="AS35" s="131"/>
      <c r="AT35" s="131"/>
      <c r="AU35" s="131"/>
      <c r="AV35" s="115"/>
      <c r="AW35" s="126"/>
      <c r="AX35" s="126"/>
      <c r="AY35" s="126"/>
      <c r="AZ35" s="115"/>
      <c r="BA35" s="126"/>
      <c r="BB35" s="126"/>
      <c r="BC35" s="126"/>
      <c r="BD35" s="115"/>
    </row>
    <row r="36" spans="1:56" x14ac:dyDescent="0.25">
      <c r="A36" s="94">
        <v>1981</v>
      </c>
      <c r="B36" s="139" cm="1">
        <f t="array" ref="B36">SUMPRODUCT((PARIS!$AA$4:'PARIS'!$AA$103=A36)*PARIS!$AD$4:$AD$103)+SUMPRODUCT((PARIS!$AB$4:'PARIS'!$AB$103=A36)*PARIS!$AD$4:$AD$103)+SUMPRODUCT((PARIS!$AU$4:'PARIS'!$AU$103=A36)*PARIS!$AX$4:$AX$103)</f>
        <v>0</v>
      </c>
      <c r="C36" s="139" cm="1">
        <f t="array" ref="C36">SUMPRODUCT((PARIS!$AA$4:'PARIS'!$AA$103=A36)*PARIS!$AE$4:$AE$103)+SUMPRODUCT((PARIS!$AB$4:'PARIS'!$AB$103=A36)*PARIS!$AE$4:$AE$103)+SUMPRODUCT((PARIS!$AU$4:'PARIS'!$AU$103=A36)*PARIS!$AY$4:$AY$103)</f>
        <v>0</v>
      </c>
      <c r="D36" s="136" cm="1">
        <f t="array" ref="D36">SUMPRODUCT((PARIS!$AA$4:'PARIS'!$AA$103=A36)*PARIS!$AF$4:$AF$103)+SUMPRODUCT((PARIS!$AB$4:'PARIS'!$AB$103=A36)*PARIS!$AF$4:$AF$103)+SUMPRODUCT((PARIS!$AU$4:'PARIS'!$AU$103=A36)*PARIS!$AV$4:$AV$103)</f>
        <v>0</v>
      </c>
      <c r="E36" s="136" cm="1">
        <f t="array" ref="E36">SUMPRODUCT((PARIS!$AA$4:'PARIS'!$AA$103=A36)*PARIS!$AG$4:$AG$103)+SUMPRODUCT((PARIS!$AB$4:'PARIS'!$AB$103=A36)*PARIS!$AG$4:$AG$103)+SUMPRODUCT((PARIS!$AU$4:'PARIS'!$AU$103=A36)*PARIS!$AW$4:$AW$103)</f>
        <v>0</v>
      </c>
      <c r="F36" s="136" cm="1">
        <f t="array" ref="F36">SUMPRODUCT((PARIS!$AA$4:'PARIS'!$AA$103=A36)*PARIS!$AH$4:$AH$103)+SUMPRODUCT((PARIS!$AB$4:'PARIS'!$AB$103=A36)*PARIS!$AH$4:$AH$103)+SUMPRODUCT((PARIS!$AU$4:'PARIS'!$AU$103=A36)*PARIS!$AZ$4:$AZ$103)</f>
        <v>0</v>
      </c>
      <c r="G36" s="136" cm="1">
        <f t="array" ref="G36">SUMPRODUCT((PARIS!$AA$4:'PARIS'!$AA$103=A36)*PARIS!$AI$4:$AI$103)+SUMPRODUCT((PARIS!$AB$4:'PARIS'!$AB$103=A36)*PARIS!$AI$4:$AI$103)+SUMPRODUCT((PARIS!$AU$4:'PARIS'!$AU$103=A36)*PARIS!$BA$4:$BA$103)</f>
        <v>0</v>
      </c>
      <c r="H36" s="115"/>
      <c r="I36" s="139">
        <f t="shared" si="1"/>
        <v>0</v>
      </c>
      <c r="J36" s="136">
        <f t="shared" si="2"/>
        <v>0</v>
      </c>
      <c r="K36" s="136">
        <f t="shared" si="2"/>
        <v>0</v>
      </c>
      <c r="L36" s="136">
        <f t="shared" si="2"/>
        <v>0</v>
      </c>
      <c r="M36" s="136">
        <f t="shared" si="2"/>
        <v>0</v>
      </c>
      <c r="N36" s="115"/>
      <c r="O36" s="131"/>
      <c r="P36" s="131"/>
      <c r="Q36" s="131"/>
      <c r="R36" s="115"/>
      <c r="S36" s="131"/>
      <c r="T36" s="131"/>
      <c r="U36" s="131"/>
      <c r="V36" s="115"/>
      <c r="W36" s="128"/>
      <c r="X36" s="128"/>
      <c r="Y36" s="128"/>
      <c r="Z36" s="126"/>
      <c r="AA36" s="126"/>
      <c r="AB36" s="126"/>
      <c r="AC36" s="115"/>
      <c r="AD36" s="126"/>
      <c r="AE36" s="126"/>
      <c r="AF36" s="126"/>
      <c r="AG36" s="115"/>
      <c r="AH36" s="128"/>
      <c r="AI36" s="128"/>
      <c r="AJ36" s="128"/>
      <c r="AK36" s="126"/>
      <c r="AL36" s="126"/>
      <c r="AM36" s="126"/>
      <c r="AN36" s="115"/>
      <c r="AO36" s="131"/>
      <c r="AP36" s="131"/>
      <c r="AQ36" s="131"/>
      <c r="AR36" s="115"/>
      <c r="AS36" s="131"/>
      <c r="AT36" s="131"/>
      <c r="AU36" s="131"/>
      <c r="AV36" s="115"/>
      <c r="AW36" s="126"/>
      <c r="AX36" s="126"/>
      <c r="AY36" s="126"/>
      <c r="AZ36" s="115"/>
      <c r="BA36" s="126"/>
      <c r="BB36" s="126"/>
      <c r="BC36" s="126"/>
      <c r="BD36" s="115"/>
    </row>
    <row r="37" spans="1:56" x14ac:dyDescent="0.25">
      <c r="A37" s="94">
        <v>1982</v>
      </c>
      <c r="B37" s="139" cm="1">
        <f t="array" ref="B37">SUMPRODUCT((PARIS!$AA$4:'PARIS'!$AA$103=A37)*PARIS!$AD$4:$AD$103)+SUMPRODUCT((PARIS!$AB$4:'PARIS'!$AB$103=A37)*PARIS!$AD$4:$AD$103)+SUMPRODUCT((PARIS!$AU$4:'PARIS'!$AU$103=A37)*PARIS!$AX$4:$AX$103)</f>
        <v>0</v>
      </c>
      <c r="C37" s="139" cm="1">
        <f t="array" ref="C37">SUMPRODUCT((PARIS!$AA$4:'PARIS'!$AA$103=A37)*PARIS!$AE$4:$AE$103)+SUMPRODUCT((PARIS!$AB$4:'PARIS'!$AB$103=A37)*PARIS!$AE$4:$AE$103)+SUMPRODUCT((PARIS!$AU$4:'PARIS'!$AU$103=A37)*PARIS!$AY$4:$AY$103)</f>
        <v>0</v>
      </c>
      <c r="D37" s="136" cm="1">
        <f t="array" ref="D37">SUMPRODUCT((PARIS!$AA$4:'PARIS'!$AA$103=A37)*PARIS!$AF$4:$AF$103)+SUMPRODUCT((PARIS!$AB$4:'PARIS'!$AB$103=A37)*PARIS!$AF$4:$AF$103)+SUMPRODUCT((PARIS!$AU$4:'PARIS'!$AU$103=A37)*PARIS!$AV$4:$AV$103)</f>
        <v>0</v>
      </c>
      <c r="E37" s="136" cm="1">
        <f t="array" ref="E37">SUMPRODUCT((PARIS!$AA$4:'PARIS'!$AA$103=A37)*PARIS!$AG$4:$AG$103)+SUMPRODUCT((PARIS!$AB$4:'PARIS'!$AB$103=A37)*PARIS!$AG$4:$AG$103)+SUMPRODUCT((PARIS!$AU$4:'PARIS'!$AU$103=A37)*PARIS!$AW$4:$AW$103)</f>
        <v>0</v>
      </c>
      <c r="F37" s="136" cm="1">
        <f t="array" ref="F37">SUMPRODUCT((PARIS!$AA$4:'PARIS'!$AA$103=A37)*PARIS!$AH$4:$AH$103)+SUMPRODUCT((PARIS!$AB$4:'PARIS'!$AB$103=A37)*PARIS!$AH$4:$AH$103)+SUMPRODUCT((PARIS!$AU$4:'PARIS'!$AU$103=A37)*PARIS!$AZ$4:$AZ$103)</f>
        <v>0</v>
      </c>
      <c r="G37" s="136" cm="1">
        <f t="array" ref="G37">SUMPRODUCT((PARIS!$AA$4:'PARIS'!$AA$103=A37)*PARIS!$AI$4:$AI$103)+SUMPRODUCT((PARIS!$AB$4:'PARIS'!$AB$103=A37)*PARIS!$AI$4:$AI$103)+SUMPRODUCT((PARIS!$AU$4:'PARIS'!$AU$103=A37)*PARIS!$BA$4:$BA$103)</f>
        <v>0</v>
      </c>
      <c r="H37" s="115"/>
      <c r="I37" s="139">
        <f t="shared" si="1"/>
        <v>0</v>
      </c>
      <c r="J37" s="136">
        <f t="shared" si="2"/>
        <v>0</v>
      </c>
      <c r="K37" s="136">
        <f t="shared" si="2"/>
        <v>0</v>
      </c>
      <c r="L37" s="136">
        <f t="shared" si="2"/>
        <v>0</v>
      </c>
      <c r="M37" s="136">
        <f t="shared" si="2"/>
        <v>0</v>
      </c>
      <c r="N37" s="115"/>
      <c r="O37" s="131"/>
      <c r="P37" s="131"/>
      <c r="Q37" s="131"/>
      <c r="R37" s="115"/>
      <c r="S37" s="131"/>
      <c r="T37" s="131"/>
      <c r="U37" s="131"/>
      <c r="V37" s="115"/>
      <c r="W37" s="128"/>
      <c r="X37" s="128"/>
      <c r="Y37" s="128"/>
      <c r="Z37" s="126"/>
      <c r="AA37" s="126"/>
      <c r="AB37" s="126"/>
      <c r="AC37" s="115"/>
      <c r="AD37" s="126"/>
      <c r="AE37" s="126"/>
      <c r="AF37" s="126"/>
      <c r="AG37" s="115"/>
      <c r="AH37" s="128"/>
      <c r="AI37" s="128"/>
      <c r="AJ37" s="128"/>
      <c r="AK37" s="126"/>
      <c r="AL37" s="126"/>
      <c r="AM37" s="126"/>
      <c r="AN37" s="115"/>
      <c r="AO37" s="131"/>
      <c r="AP37" s="131"/>
      <c r="AQ37" s="131"/>
      <c r="AR37" s="115"/>
      <c r="AS37" s="131"/>
      <c r="AT37" s="131"/>
      <c r="AU37" s="131"/>
      <c r="AV37" s="115"/>
      <c r="AW37" s="126"/>
      <c r="AX37" s="126"/>
      <c r="AY37" s="126"/>
      <c r="AZ37" s="115"/>
      <c r="BA37" s="126"/>
      <c r="BB37" s="126"/>
      <c r="BC37" s="126"/>
      <c r="BD37" s="115"/>
    </row>
    <row r="38" spans="1:56" x14ac:dyDescent="0.25">
      <c r="A38" s="94">
        <v>1983</v>
      </c>
      <c r="B38" s="139" cm="1">
        <f t="array" ref="B38">SUMPRODUCT((PARIS!$AA$4:'PARIS'!$AA$103=A38)*PARIS!$AD$4:$AD$103)+SUMPRODUCT((PARIS!$AB$4:'PARIS'!$AB$103=A38)*PARIS!$AD$4:$AD$103)+SUMPRODUCT((PARIS!$AU$4:'PARIS'!$AU$103=A38)*PARIS!$AX$4:$AX$103)</f>
        <v>0</v>
      </c>
      <c r="C38" s="139" cm="1">
        <f t="array" ref="C38">SUMPRODUCT((PARIS!$AA$4:'PARIS'!$AA$103=A38)*PARIS!$AE$4:$AE$103)+SUMPRODUCT((PARIS!$AB$4:'PARIS'!$AB$103=A38)*PARIS!$AE$4:$AE$103)+SUMPRODUCT((PARIS!$AU$4:'PARIS'!$AU$103=A38)*PARIS!$AY$4:$AY$103)</f>
        <v>0</v>
      </c>
      <c r="D38" s="136" cm="1">
        <f t="array" ref="D38">SUMPRODUCT((PARIS!$AA$4:'PARIS'!$AA$103=A38)*PARIS!$AF$4:$AF$103)+SUMPRODUCT((PARIS!$AB$4:'PARIS'!$AB$103=A38)*PARIS!$AF$4:$AF$103)+SUMPRODUCT((PARIS!$AU$4:'PARIS'!$AU$103=A38)*PARIS!$AV$4:$AV$103)</f>
        <v>0</v>
      </c>
      <c r="E38" s="136" cm="1">
        <f t="array" ref="E38">SUMPRODUCT((PARIS!$AA$4:'PARIS'!$AA$103=A38)*PARIS!$AG$4:$AG$103)+SUMPRODUCT((PARIS!$AB$4:'PARIS'!$AB$103=A38)*PARIS!$AG$4:$AG$103)+SUMPRODUCT((PARIS!$AU$4:'PARIS'!$AU$103=A38)*PARIS!$AW$4:$AW$103)</f>
        <v>0</v>
      </c>
      <c r="F38" s="136" cm="1">
        <f t="array" ref="F38">SUMPRODUCT((PARIS!$AA$4:'PARIS'!$AA$103=A38)*PARIS!$AH$4:$AH$103)+SUMPRODUCT((PARIS!$AB$4:'PARIS'!$AB$103=A38)*PARIS!$AH$4:$AH$103)+SUMPRODUCT((PARIS!$AU$4:'PARIS'!$AU$103=A38)*PARIS!$AZ$4:$AZ$103)</f>
        <v>0</v>
      </c>
      <c r="G38" s="136" cm="1">
        <f t="array" ref="G38">SUMPRODUCT((PARIS!$AA$4:'PARIS'!$AA$103=A38)*PARIS!$AI$4:$AI$103)+SUMPRODUCT((PARIS!$AB$4:'PARIS'!$AB$103=A38)*PARIS!$AI$4:$AI$103)+SUMPRODUCT((PARIS!$AU$4:'PARIS'!$AU$103=A38)*PARIS!$BA$4:$BA$103)</f>
        <v>0</v>
      </c>
      <c r="H38" s="115"/>
      <c r="I38" s="139">
        <f t="shared" si="1"/>
        <v>0</v>
      </c>
      <c r="J38" s="136">
        <f t="shared" si="2"/>
        <v>0</v>
      </c>
      <c r="K38" s="136">
        <f t="shared" si="2"/>
        <v>0</v>
      </c>
      <c r="L38" s="136">
        <f t="shared" si="2"/>
        <v>0</v>
      </c>
      <c r="M38" s="136">
        <f t="shared" si="2"/>
        <v>0</v>
      </c>
      <c r="N38" s="115"/>
      <c r="O38" s="131"/>
      <c r="P38" s="131"/>
      <c r="Q38" s="131"/>
      <c r="R38" s="115"/>
      <c r="S38" s="131"/>
      <c r="T38" s="131"/>
      <c r="U38" s="131"/>
      <c r="V38" s="115"/>
      <c r="W38" s="128"/>
      <c r="X38" s="128"/>
      <c r="Y38" s="128"/>
      <c r="Z38" s="126"/>
      <c r="AA38" s="126"/>
      <c r="AB38" s="126"/>
      <c r="AC38" s="115"/>
      <c r="AD38" s="126"/>
      <c r="AE38" s="126"/>
      <c r="AF38" s="126"/>
      <c r="AG38" s="115"/>
      <c r="AH38" s="128"/>
      <c r="AI38" s="128"/>
      <c r="AJ38" s="128"/>
      <c r="AK38" s="126"/>
      <c r="AL38" s="126"/>
      <c r="AM38" s="126"/>
      <c r="AN38" s="115"/>
      <c r="AO38" s="131"/>
      <c r="AP38" s="131"/>
      <c r="AQ38" s="131"/>
      <c r="AR38" s="115"/>
      <c r="AS38" s="131"/>
      <c r="AT38" s="131"/>
      <c r="AU38" s="131"/>
      <c r="AV38" s="115"/>
      <c r="AW38" s="126"/>
      <c r="AX38" s="126"/>
      <c r="AY38" s="126"/>
      <c r="AZ38" s="115"/>
      <c r="BA38" s="126"/>
      <c r="BB38" s="126"/>
      <c r="BC38" s="126"/>
      <c r="BD38" s="115"/>
    </row>
    <row r="39" spans="1:56" x14ac:dyDescent="0.25">
      <c r="A39" s="94">
        <v>1984</v>
      </c>
      <c r="B39" s="139" cm="1">
        <f t="array" ref="B39">SUMPRODUCT((PARIS!$AA$4:'PARIS'!$AA$103=A39)*PARIS!$AD$4:$AD$103)+SUMPRODUCT((PARIS!$AB$4:'PARIS'!$AB$103=A39)*PARIS!$AD$4:$AD$103)+SUMPRODUCT((PARIS!$AU$4:'PARIS'!$AU$103=A39)*PARIS!$AX$4:$AX$103)</f>
        <v>0</v>
      </c>
      <c r="C39" s="139" cm="1">
        <f t="array" ref="C39">SUMPRODUCT((PARIS!$AA$4:'PARIS'!$AA$103=A39)*PARIS!$AE$4:$AE$103)+SUMPRODUCT((PARIS!$AB$4:'PARIS'!$AB$103=A39)*PARIS!$AE$4:$AE$103)+SUMPRODUCT((PARIS!$AU$4:'PARIS'!$AU$103=A39)*PARIS!$AY$4:$AY$103)</f>
        <v>0</v>
      </c>
      <c r="D39" s="136" cm="1">
        <f t="array" ref="D39">SUMPRODUCT((PARIS!$AA$4:'PARIS'!$AA$103=A39)*PARIS!$AF$4:$AF$103)+SUMPRODUCT((PARIS!$AB$4:'PARIS'!$AB$103=A39)*PARIS!$AF$4:$AF$103)+SUMPRODUCT((PARIS!$AU$4:'PARIS'!$AU$103=A39)*PARIS!$AV$4:$AV$103)</f>
        <v>0</v>
      </c>
      <c r="E39" s="136" cm="1">
        <f t="array" ref="E39">SUMPRODUCT((PARIS!$AA$4:'PARIS'!$AA$103=A39)*PARIS!$AG$4:$AG$103)+SUMPRODUCT((PARIS!$AB$4:'PARIS'!$AB$103=A39)*PARIS!$AG$4:$AG$103)+SUMPRODUCT((PARIS!$AU$4:'PARIS'!$AU$103=A39)*PARIS!$AW$4:$AW$103)</f>
        <v>0</v>
      </c>
      <c r="F39" s="136" cm="1">
        <f t="array" ref="F39">SUMPRODUCT((PARIS!$AA$4:'PARIS'!$AA$103=A39)*PARIS!$AH$4:$AH$103)+SUMPRODUCT((PARIS!$AB$4:'PARIS'!$AB$103=A39)*PARIS!$AH$4:$AH$103)+SUMPRODUCT((PARIS!$AU$4:'PARIS'!$AU$103=A39)*PARIS!$AZ$4:$AZ$103)</f>
        <v>0</v>
      </c>
      <c r="G39" s="136" cm="1">
        <f t="array" ref="G39">SUMPRODUCT((PARIS!$AA$4:'PARIS'!$AA$103=A39)*PARIS!$AI$4:$AI$103)+SUMPRODUCT((PARIS!$AB$4:'PARIS'!$AB$103=A39)*PARIS!$AI$4:$AI$103)+SUMPRODUCT((PARIS!$AU$4:'PARIS'!$AU$103=A39)*PARIS!$BA$4:$BA$103)</f>
        <v>0</v>
      </c>
      <c r="H39" s="115"/>
      <c r="I39" s="139">
        <f t="shared" ref="I39:I70" si="3">C39+I38</f>
        <v>0</v>
      </c>
      <c r="J39" s="136">
        <f t="shared" si="2"/>
        <v>0</v>
      </c>
      <c r="K39" s="136">
        <f t="shared" si="2"/>
        <v>0</v>
      </c>
      <c r="L39" s="136">
        <f t="shared" si="2"/>
        <v>0</v>
      </c>
      <c r="M39" s="136">
        <f t="shared" si="2"/>
        <v>0</v>
      </c>
      <c r="N39" s="115"/>
      <c r="O39" s="131"/>
      <c r="P39" s="131"/>
      <c r="Q39" s="131"/>
      <c r="R39" s="115"/>
      <c r="S39" s="131"/>
      <c r="T39" s="131"/>
      <c r="U39" s="131"/>
      <c r="V39" s="115"/>
      <c r="W39" s="128"/>
      <c r="X39" s="128"/>
      <c r="Y39" s="128"/>
      <c r="Z39" s="126"/>
      <c r="AA39" s="126"/>
      <c r="AB39" s="126"/>
      <c r="AC39" s="115"/>
      <c r="AD39" s="126"/>
      <c r="AE39" s="126"/>
      <c r="AF39" s="126"/>
      <c r="AG39" s="115"/>
      <c r="AH39" s="128"/>
      <c r="AI39" s="128"/>
      <c r="AJ39" s="128"/>
      <c r="AK39" s="126"/>
      <c r="AL39" s="126"/>
      <c r="AM39" s="126"/>
      <c r="AN39" s="115"/>
      <c r="AO39" s="131"/>
      <c r="AP39" s="131"/>
      <c r="AQ39" s="131"/>
      <c r="AR39" s="115"/>
      <c r="AS39" s="131"/>
      <c r="AT39" s="131"/>
      <c r="AU39" s="131"/>
      <c r="AV39" s="115"/>
      <c r="AW39" s="126"/>
      <c r="AX39" s="126"/>
      <c r="AY39" s="126"/>
      <c r="AZ39" s="115"/>
      <c r="BA39" s="126"/>
      <c r="BB39" s="126"/>
      <c r="BC39" s="126"/>
      <c r="BD39" s="115"/>
    </row>
    <row r="40" spans="1:56" x14ac:dyDescent="0.25">
      <c r="A40" s="94">
        <v>1985</v>
      </c>
      <c r="B40" s="139" cm="1">
        <f t="array" ref="B40">SUMPRODUCT((PARIS!$AA$4:'PARIS'!$AA$103=A40)*PARIS!$AD$4:$AD$103)+SUMPRODUCT((PARIS!$AB$4:'PARIS'!$AB$103=A40)*PARIS!$AD$4:$AD$103)+SUMPRODUCT((PARIS!$AU$4:'PARIS'!$AU$103=A40)*PARIS!$AX$4:$AX$103)</f>
        <v>0</v>
      </c>
      <c r="C40" s="139" cm="1">
        <f t="array" ref="C40">SUMPRODUCT((PARIS!$AA$4:'PARIS'!$AA$103=A40)*PARIS!$AE$4:$AE$103)+SUMPRODUCT((PARIS!$AB$4:'PARIS'!$AB$103=A40)*PARIS!$AE$4:$AE$103)+SUMPRODUCT((PARIS!$AU$4:'PARIS'!$AU$103=A40)*PARIS!$AY$4:$AY$103)</f>
        <v>0</v>
      </c>
      <c r="D40" s="136" cm="1">
        <f t="array" ref="D40">SUMPRODUCT((PARIS!$AA$4:'PARIS'!$AA$103=A40)*PARIS!$AF$4:$AF$103)+SUMPRODUCT((PARIS!$AB$4:'PARIS'!$AB$103=A40)*PARIS!$AF$4:$AF$103)+SUMPRODUCT((PARIS!$AU$4:'PARIS'!$AU$103=A40)*PARIS!$AV$4:$AV$103)</f>
        <v>0</v>
      </c>
      <c r="E40" s="136" cm="1">
        <f t="array" ref="E40">SUMPRODUCT((PARIS!$AA$4:'PARIS'!$AA$103=A40)*PARIS!$AG$4:$AG$103)+SUMPRODUCT((PARIS!$AB$4:'PARIS'!$AB$103=A40)*PARIS!$AG$4:$AG$103)+SUMPRODUCT((PARIS!$AU$4:'PARIS'!$AU$103=A40)*PARIS!$AW$4:$AW$103)</f>
        <v>0</v>
      </c>
      <c r="F40" s="136" cm="1">
        <f t="array" ref="F40">SUMPRODUCT((PARIS!$AA$4:'PARIS'!$AA$103=A40)*PARIS!$AH$4:$AH$103)+SUMPRODUCT((PARIS!$AB$4:'PARIS'!$AB$103=A40)*PARIS!$AH$4:$AH$103)+SUMPRODUCT((PARIS!$AU$4:'PARIS'!$AU$103=A40)*PARIS!$AZ$4:$AZ$103)</f>
        <v>0</v>
      </c>
      <c r="G40" s="136" cm="1">
        <f t="array" ref="G40">SUMPRODUCT((PARIS!$AA$4:'PARIS'!$AA$103=A40)*PARIS!$AI$4:$AI$103)+SUMPRODUCT((PARIS!$AB$4:'PARIS'!$AB$103=A40)*PARIS!$AI$4:$AI$103)+SUMPRODUCT((PARIS!$AU$4:'PARIS'!$AU$103=A40)*PARIS!$BA$4:$BA$103)</f>
        <v>0</v>
      </c>
      <c r="H40" s="115"/>
      <c r="I40" s="139">
        <f t="shared" si="3"/>
        <v>0</v>
      </c>
      <c r="J40" s="136">
        <f t="shared" si="2"/>
        <v>0</v>
      </c>
      <c r="K40" s="136">
        <f t="shared" si="2"/>
        <v>0</v>
      </c>
      <c r="L40" s="136">
        <f t="shared" si="2"/>
        <v>0</v>
      </c>
      <c r="M40" s="136">
        <f t="shared" si="2"/>
        <v>0</v>
      </c>
      <c r="N40" s="115"/>
      <c r="O40" s="131"/>
      <c r="P40" s="131"/>
      <c r="Q40" s="131"/>
      <c r="R40" s="115"/>
      <c r="S40" s="131"/>
      <c r="T40" s="131"/>
      <c r="U40" s="131"/>
      <c r="V40" s="115"/>
      <c r="W40" s="128"/>
      <c r="X40" s="128"/>
      <c r="Y40" s="128"/>
      <c r="Z40" s="126"/>
      <c r="AA40" s="126"/>
      <c r="AB40" s="126"/>
      <c r="AC40" s="115"/>
      <c r="AD40" s="126"/>
      <c r="AE40" s="126"/>
      <c r="AF40" s="126"/>
      <c r="AG40" s="115"/>
      <c r="AH40" s="128"/>
      <c r="AI40" s="128"/>
      <c r="AJ40" s="128"/>
      <c r="AK40" s="126"/>
      <c r="AL40" s="126"/>
      <c r="AM40" s="126"/>
      <c r="AN40" s="115"/>
      <c r="AO40" s="131"/>
      <c r="AP40" s="131"/>
      <c r="AQ40" s="131"/>
      <c r="AR40" s="115"/>
      <c r="AS40" s="131"/>
      <c r="AT40" s="131"/>
      <c r="AU40" s="131"/>
      <c r="AV40" s="115"/>
      <c r="AW40" s="126"/>
      <c r="AX40" s="126"/>
      <c r="AY40" s="126"/>
      <c r="AZ40" s="115"/>
      <c r="BA40" s="126"/>
      <c r="BB40" s="126"/>
      <c r="BC40" s="126"/>
      <c r="BD40" s="115"/>
    </row>
    <row r="41" spans="1:56" x14ac:dyDescent="0.25">
      <c r="A41" s="94">
        <v>1986</v>
      </c>
      <c r="B41" s="139" cm="1">
        <f t="array" ref="B41">SUMPRODUCT((PARIS!$AA$4:'PARIS'!$AA$103=A41)*PARIS!$AD$4:$AD$103)+SUMPRODUCT((PARIS!$AB$4:'PARIS'!$AB$103=A41)*PARIS!$AD$4:$AD$103)+SUMPRODUCT((PARIS!$AU$4:'PARIS'!$AU$103=A41)*PARIS!$AX$4:$AX$103)</f>
        <v>0</v>
      </c>
      <c r="C41" s="139" cm="1">
        <f t="array" ref="C41">SUMPRODUCT((PARIS!$AA$4:'PARIS'!$AA$103=A41)*PARIS!$AE$4:$AE$103)+SUMPRODUCT((PARIS!$AB$4:'PARIS'!$AB$103=A41)*PARIS!$AE$4:$AE$103)+SUMPRODUCT((PARIS!$AU$4:'PARIS'!$AU$103=A41)*PARIS!$AY$4:$AY$103)</f>
        <v>0</v>
      </c>
      <c r="D41" s="136" cm="1">
        <f t="array" ref="D41">SUMPRODUCT((PARIS!$AA$4:'PARIS'!$AA$103=A41)*PARIS!$AF$4:$AF$103)+SUMPRODUCT((PARIS!$AB$4:'PARIS'!$AB$103=A41)*PARIS!$AF$4:$AF$103)+SUMPRODUCT((PARIS!$AU$4:'PARIS'!$AU$103=A41)*PARIS!$AV$4:$AV$103)</f>
        <v>0</v>
      </c>
      <c r="E41" s="136" cm="1">
        <f t="array" ref="E41">SUMPRODUCT((PARIS!$AA$4:'PARIS'!$AA$103=A41)*PARIS!$AG$4:$AG$103)+SUMPRODUCT((PARIS!$AB$4:'PARIS'!$AB$103=A41)*PARIS!$AG$4:$AG$103)+SUMPRODUCT((PARIS!$AU$4:'PARIS'!$AU$103=A41)*PARIS!$AW$4:$AW$103)</f>
        <v>0</v>
      </c>
      <c r="F41" s="136" cm="1">
        <f t="array" ref="F41">SUMPRODUCT((PARIS!$AA$4:'PARIS'!$AA$103=A41)*PARIS!$AH$4:$AH$103)+SUMPRODUCT((PARIS!$AB$4:'PARIS'!$AB$103=A41)*PARIS!$AH$4:$AH$103)+SUMPRODUCT((PARIS!$AU$4:'PARIS'!$AU$103=A41)*PARIS!$AZ$4:$AZ$103)</f>
        <v>0</v>
      </c>
      <c r="G41" s="136" cm="1">
        <f t="array" ref="G41">SUMPRODUCT((PARIS!$AA$4:'PARIS'!$AA$103=A41)*PARIS!$AI$4:$AI$103)+SUMPRODUCT((PARIS!$AB$4:'PARIS'!$AB$103=A41)*PARIS!$AI$4:$AI$103)+SUMPRODUCT((PARIS!$AU$4:'PARIS'!$AU$103=A41)*PARIS!$BA$4:$BA$103)</f>
        <v>0</v>
      </c>
      <c r="H41" s="115"/>
      <c r="I41" s="139">
        <f t="shared" si="3"/>
        <v>0</v>
      </c>
      <c r="J41" s="136">
        <f t="shared" si="2"/>
        <v>0</v>
      </c>
      <c r="K41" s="136">
        <f t="shared" si="2"/>
        <v>0</v>
      </c>
      <c r="L41" s="136">
        <f t="shared" si="2"/>
        <v>0</v>
      </c>
      <c r="M41" s="136">
        <f t="shared" si="2"/>
        <v>0</v>
      </c>
      <c r="N41" s="115"/>
      <c r="O41" s="131"/>
      <c r="P41" s="131"/>
      <c r="Q41" s="131"/>
      <c r="R41" s="115"/>
      <c r="S41" s="131"/>
      <c r="T41" s="131"/>
      <c r="U41" s="131"/>
      <c r="V41" s="115"/>
      <c r="W41" s="128"/>
      <c r="X41" s="128"/>
      <c r="Y41" s="128"/>
      <c r="Z41" s="126"/>
      <c r="AA41" s="126"/>
      <c r="AB41" s="126"/>
      <c r="AC41" s="115"/>
      <c r="AD41" s="126"/>
      <c r="AE41" s="126"/>
      <c r="AF41" s="126"/>
      <c r="AG41" s="115"/>
      <c r="AH41" s="128"/>
      <c r="AI41" s="128"/>
      <c r="AJ41" s="128"/>
      <c r="AK41" s="126"/>
      <c r="AL41" s="126"/>
      <c r="AM41" s="126"/>
      <c r="AN41" s="115"/>
      <c r="AO41" s="131"/>
      <c r="AP41" s="131"/>
      <c r="AQ41" s="131"/>
      <c r="AR41" s="115"/>
      <c r="AS41" s="131"/>
      <c r="AT41" s="131"/>
      <c r="AU41" s="131"/>
      <c r="AV41" s="115"/>
      <c r="AW41" s="126"/>
      <c r="AX41" s="126"/>
      <c r="AY41" s="126"/>
      <c r="AZ41" s="115"/>
      <c r="BA41" s="126"/>
      <c r="BB41" s="126"/>
      <c r="BC41" s="126"/>
      <c r="BD41" s="115"/>
    </row>
    <row r="42" spans="1:56" x14ac:dyDescent="0.25">
      <c r="A42" s="94">
        <v>1987</v>
      </c>
      <c r="B42" s="139" cm="1">
        <f t="array" ref="B42">SUMPRODUCT((PARIS!$AA$4:'PARIS'!$AA$103=A42)*PARIS!$AD$4:$AD$103)+SUMPRODUCT((PARIS!$AB$4:'PARIS'!$AB$103=A42)*PARIS!$AD$4:$AD$103)+SUMPRODUCT((PARIS!$AU$4:'PARIS'!$AU$103=A42)*PARIS!$AX$4:$AX$103)</f>
        <v>0</v>
      </c>
      <c r="C42" s="139" cm="1">
        <f t="array" ref="C42">SUMPRODUCT((PARIS!$AA$4:'PARIS'!$AA$103=A42)*PARIS!$AE$4:$AE$103)+SUMPRODUCT((PARIS!$AB$4:'PARIS'!$AB$103=A42)*PARIS!$AE$4:$AE$103)+SUMPRODUCT((PARIS!$AU$4:'PARIS'!$AU$103=A42)*PARIS!$AY$4:$AY$103)</f>
        <v>0</v>
      </c>
      <c r="D42" s="136" cm="1">
        <f t="array" ref="D42">SUMPRODUCT((PARIS!$AA$4:'PARIS'!$AA$103=A42)*PARIS!$AF$4:$AF$103)+SUMPRODUCT((PARIS!$AB$4:'PARIS'!$AB$103=A42)*PARIS!$AF$4:$AF$103)+SUMPRODUCT((PARIS!$AU$4:'PARIS'!$AU$103=A42)*PARIS!$AV$4:$AV$103)</f>
        <v>0</v>
      </c>
      <c r="E42" s="136" cm="1">
        <f t="array" ref="E42">SUMPRODUCT((PARIS!$AA$4:'PARIS'!$AA$103=A42)*PARIS!$AG$4:$AG$103)+SUMPRODUCT((PARIS!$AB$4:'PARIS'!$AB$103=A42)*PARIS!$AG$4:$AG$103)+SUMPRODUCT((PARIS!$AU$4:'PARIS'!$AU$103=A42)*PARIS!$AW$4:$AW$103)</f>
        <v>0</v>
      </c>
      <c r="F42" s="136" cm="1">
        <f t="array" ref="F42">SUMPRODUCT((PARIS!$AA$4:'PARIS'!$AA$103=A42)*PARIS!$AH$4:$AH$103)+SUMPRODUCT((PARIS!$AB$4:'PARIS'!$AB$103=A42)*PARIS!$AH$4:$AH$103)+SUMPRODUCT((PARIS!$AU$4:'PARIS'!$AU$103=A42)*PARIS!$AZ$4:$AZ$103)</f>
        <v>0</v>
      </c>
      <c r="G42" s="136" cm="1">
        <f t="array" ref="G42">SUMPRODUCT((PARIS!$AA$4:'PARIS'!$AA$103=A42)*PARIS!$AI$4:$AI$103)+SUMPRODUCT((PARIS!$AB$4:'PARIS'!$AB$103=A42)*PARIS!$AI$4:$AI$103)+SUMPRODUCT((PARIS!$AU$4:'PARIS'!$AU$103=A42)*PARIS!$BA$4:$BA$103)</f>
        <v>0</v>
      </c>
      <c r="H42" s="115"/>
      <c r="I42" s="139">
        <f t="shared" si="3"/>
        <v>0</v>
      </c>
      <c r="J42" s="136">
        <f t="shared" si="2"/>
        <v>0</v>
      </c>
      <c r="K42" s="136">
        <f t="shared" si="2"/>
        <v>0</v>
      </c>
      <c r="L42" s="136">
        <f t="shared" si="2"/>
        <v>0</v>
      </c>
      <c r="M42" s="136">
        <f t="shared" si="2"/>
        <v>0</v>
      </c>
      <c r="N42" s="115"/>
      <c r="O42" s="131"/>
      <c r="P42" s="131"/>
      <c r="Q42" s="131"/>
      <c r="R42" s="115"/>
      <c r="S42" s="131"/>
      <c r="T42" s="131"/>
      <c r="U42" s="131"/>
      <c r="V42" s="115"/>
      <c r="W42" s="128"/>
      <c r="X42" s="128"/>
      <c r="Y42" s="128"/>
      <c r="Z42" s="126"/>
      <c r="AA42" s="126"/>
      <c r="AB42" s="126"/>
      <c r="AC42" s="115"/>
      <c r="AD42" s="126"/>
      <c r="AE42" s="126"/>
      <c r="AF42" s="126"/>
      <c r="AG42" s="115"/>
      <c r="AH42" s="128"/>
      <c r="AI42" s="128"/>
      <c r="AJ42" s="128"/>
      <c r="AK42" s="126"/>
      <c r="AL42" s="126"/>
      <c r="AM42" s="126"/>
      <c r="AN42" s="115"/>
      <c r="AO42" s="131"/>
      <c r="AP42" s="131"/>
      <c r="AQ42" s="131"/>
      <c r="AR42" s="115"/>
      <c r="AS42" s="131"/>
      <c r="AT42" s="131"/>
      <c r="AU42" s="131"/>
      <c r="AV42" s="115"/>
      <c r="AW42" s="126"/>
      <c r="AX42" s="126"/>
      <c r="AY42" s="126"/>
      <c r="AZ42" s="115"/>
      <c r="BA42" s="126"/>
      <c r="BB42" s="126"/>
      <c r="BC42" s="126"/>
      <c r="BD42" s="115"/>
    </row>
    <row r="43" spans="1:56" x14ac:dyDescent="0.25">
      <c r="A43" s="94">
        <v>1988</v>
      </c>
      <c r="B43" s="139" cm="1">
        <f t="array" ref="B43">SUMPRODUCT((PARIS!$AA$4:'PARIS'!$AA$103=A43)*PARIS!$AD$4:$AD$103)+SUMPRODUCT((PARIS!$AB$4:'PARIS'!$AB$103=A43)*PARIS!$AD$4:$AD$103)+SUMPRODUCT((PARIS!$AU$4:'PARIS'!$AU$103=A43)*PARIS!$AX$4:$AX$103)</f>
        <v>0</v>
      </c>
      <c r="C43" s="139" cm="1">
        <f t="array" ref="C43">SUMPRODUCT((PARIS!$AA$4:'PARIS'!$AA$103=A43)*PARIS!$AE$4:$AE$103)+SUMPRODUCT((PARIS!$AB$4:'PARIS'!$AB$103=A43)*PARIS!$AE$4:$AE$103)+SUMPRODUCT((PARIS!$AU$4:'PARIS'!$AU$103=A43)*PARIS!$AY$4:$AY$103)</f>
        <v>0</v>
      </c>
      <c r="D43" s="136" cm="1">
        <f t="array" ref="D43">SUMPRODUCT((PARIS!$AA$4:'PARIS'!$AA$103=A43)*PARIS!$AF$4:$AF$103)+SUMPRODUCT((PARIS!$AB$4:'PARIS'!$AB$103=A43)*PARIS!$AF$4:$AF$103)+SUMPRODUCT((PARIS!$AU$4:'PARIS'!$AU$103=A43)*PARIS!$AV$4:$AV$103)</f>
        <v>0</v>
      </c>
      <c r="E43" s="136" cm="1">
        <f t="array" ref="E43">SUMPRODUCT((PARIS!$AA$4:'PARIS'!$AA$103=A43)*PARIS!$AG$4:$AG$103)+SUMPRODUCT((PARIS!$AB$4:'PARIS'!$AB$103=A43)*PARIS!$AG$4:$AG$103)+SUMPRODUCT((PARIS!$AU$4:'PARIS'!$AU$103=A43)*PARIS!$AW$4:$AW$103)</f>
        <v>0</v>
      </c>
      <c r="F43" s="136" cm="1">
        <f t="array" ref="F43">SUMPRODUCT((PARIS!$AA$4:'PARIS'!$AA$103=A43)*PARIS!$AH$4:$AH$103)+SUMPRODUCT((PARIS!$AB$4:'PARIS'!$AB$103=A43)*PARIS!$AH$4:$AH$103)+SUMPRODUCT((PARIS!$AU$4:'PARIS'!$AU$103=A43)*PARIS!$AZ$4:$AZ$103)</f>
        <v>0</v>
      </c>
      <c r="G43" s="136" cm="1">
        <f t="array" ref="G43">SUMPRODUCT((PARIS!$AA$4:'PARIS'!$AA$103=A43)*PARIS!$AI$4:$AI$103)+SUMPRODUCT((PARIS!$AB$4:'PARIS'!$AB$103=A43)*PARIS!$AI$4:$AI$103)+SUMPRODUCT((PARIS!$AU$4:'PARIS'!$AU$103=A43)*PARIS!$BA$4:$BA$103)</f>
        <v>0</v>
      </c>
      <c r="H43" s="115"/>
      <c r="I43" s="139">
        <f t="shared" si="3"/>
        <v>0</v>
      </c>
      <c r="J43" s="136">
        <f t="shared" si="2"/>
        <v>0</v>
      </c>
      <c r="K43" s="136">
        <f t="shared" si="2"/>
        <v>0</v>
      </c>
      <c r="L43" s="136">
        <f t="shared" si="2"/>
        <v>0</v>
      </c>
      <c r="M43" s="136">
        <f t="shared" si="2"/>
        <v>0</v>
      </c>
      <c r="N43" s="115"/>
      <c r="O43" s="131"/>
      <c r="P43" s="131"/>
      <c r="Q43" s="131"/>
      <c r="R43" s="115"/>
      <c r="S43" s="131"/>
      <c r="T43" s="131"/>
      <c r="U43" s="131"/>
      <c r="V43" s="115"/>
      <c r="W43" s="128"/>
      <c r="X43" s="128"/>
      <c r="Y43" s="128"/>
      <c r="Z43" s="126"/>
      <c r="AA43" s="126"/>
      <c r="AB43" s="126"/>
      <c r="AC43" s="115"/>
      <c r="AD43" s="126"/>
      <c r="AE43" s="126"/>
      <c r="AF43" s="126"/>
      <c r="AG43" s="115"/>
      <c r="AH43" s="128"/>
      <c r="AI43" s="128"/>
      <c r="AJ43" s="128"/>
      <c r="AK43" s="126"/>
      <c r="AL43" s="126"/>
      <c r="AM43" s="126"/>
      <c r="AN43" s="115"/>
      <c r="AO43" s="131"/>
      <c r="AP43" s="131"/>
      <c r="AQ43" s="131"/>
      <c r="AR43" s="115"/>
      <c r="AS43" s="131"/>
      <c r="AT43" s="131"/>
      <c r="AU43" s="131"/>
      <c r="AV43" s="115"/>
      <c r="AW43" s="126"/>
      <c r="AX43" s="126"/>
      <c r="AY43" s="126"/>
      <c r="AZ43" s="115"/>
      <c r="BA43" s="126"/>
      <c r="BB43" s="126"/>
      <c r="BC43" s="126"/>
      <c r="BD43" s="115"/>
    </row>
    <row r="44" spans="1:56" x14ac:dyDescent="0.25">
      <c r="A44" s="94">
        <v>1989</v>
      </c>
      <c r="B44" s="139" cm="1">
        <f t="array" ref="B44">SUMPRODUCT((PARIS!$AA$4:'PARIS'!$AA$103=A44)*PARIS!$AD$4:$AD$103)+SUMPRODUCT((PARIS!$AB$4:'PARIS'!$AB$103=A44)*PARIS!$AD$4:$AD$103)+SUMPRODUCT((PARIS!$AU$4:'PARIS'!$AU$103=A44)*PARIS!$AX$4:$AX$103)</f>
        <v>0</v>
      </c>
      <c r="C44" s="139" cm="1">
        <f t="array" ref="C44">SUMPRODUCT((PARIS!$AA$4:'PARIS'!$AA$103=A44)*PARIS!$AE$4:$AE$103)+SUMPRODUCT((PARIS!$AB$4:'PARIS'!$AB$103=A44)*PARIS!$AE$4:$AE$103)+SUMPRODUCT((PARIS!$AU$4:'PARIS'!$AU$103=A44)*PARIS!$AY$4:$AY$103)</f>
        <v>0</v>
      </c>
      <c r="D44" s="136" cm="1">
        <f t="array" ref="D44">SUMPRODUCT((PARIS!$AA$4:'PARIS'!$AA$103=A44)*PARIS!$AF$4:$AF$103)+SUMPRODUCT((PARIS!$AB$4:'PARIS'!$AB$103=A44)*PARIS!$AF$4:$AF$103)+SUMPRODUCT((PARIS!$AU$4:'PARIS'!$AU$103=A44)*PARIS!$AV$4:$AV$103)</f>
        <v>0</v>
      </c>
      <c r="E44" s="136" cm="1">
        <f t="array" ref="E44">SUMPRODUCT((PARIS!$AA$4:'PARIS'!$AA$103=A44)*PARIS!$AG$4:$AG$103)+SUMPRODUCT((PARIS!$AB$4:'PARIS'!$AB$103=A44)*PARIS!$AG$4:$AG$103)+SUMPRODUCT((PARIS!$AU$4:'PARIS'!$AU$103=A44)*PARIS!$AW$4:$AW$103)</f>
        <v>0</v>
      </c>
      <c r="F44" s="136" cm="1">
        <f t="array" ref="F44">SUMPRODUCT((PARIS!$AA$4:'PARIS'!$AA$103=A44)*PARIS!$AH$4:$AH$103)+SUMPRODUCT((PARIS!$AB$4:'PARIS'!$AB$103=A44)*PARIS!$AH$4:$AH$103)+SUMPRODUCT((PARIS!$AU$4:'PARIS'!$AU$103=A44)*PARIS!$AZ$4:$AZ$103)</f>
        <v>0</v>
      </c>
      <c r="G44" s="136" cm="1">
        <f t="array" ref="G44">SUMPRODUCT((PARIS!$AA$4:'PARIS'!$AA$103=A44)*PARIS!$AI$4:$AI$103)+SUMPRODUCT((PARIS!$AB$4:'PARIS'!$AB$103=A44)*PARIS!$AI$4:$AI$103)+SUMPRODUCT((PARIS!$AU$4:'PARIS'!$AU$103=A44)*PARIS!$BA$4:$BA$103)</f>
        <v>0</v>
      </c>
      <c r="H44" s="115"/>
      <c r="I44" s="139">
        <f t="shared" si="3"/>
        <v>0</v>
      </c>
      <c r="J44" s="136">
        <f t="shared" si="2"/>
        <v>0</v>
      </c>
      <c r="K44" s="136">
        <f t="shared" si="2"/>
        <v>0</v>
      </c>
      <c r="L44" s="136">
        <f t="shared" si="2"/>
        <v>0</v>
      </c>
      <c r="M44" s="136">
        <f t="shared" si="2"/>
        <v>0</v>
      </c>
      <c r="N44" s="115"/>
      <c r="O44" s="131"/>
      <c r="P44" s="131"/>
      <c r="Q44" s="131"/>
      <c r="R44" s="115"/>
      <c r="S44" s="131"/>
      <c r="T44" s="131"/>
      <c r="U44" s="131"/>
      <c r="V44" s="115"/>
      <c r="W44" s="128"/>
      <c r="X44" s="128"/>
      <c r="Y44" s="128"/>
      <c r="Z44" s="126"/>
      <c r="AA44" s="126"/>
      <c r="AB44" s="126"/>
      <c r="AC44" s="115"/>
      <c r="AD44" s="126"/>
      <c r="AE44" s="126"/>
      <c r="AF44" s="126"/>
      <c r="AG44" s="115"/>
      <c r="AH44" s="128"/>
      <c r="AI44" s="128"/>
      <c r="AJ44" s="128"/>
      <c r="AK44" s="126"/>
      <c r="AL44" s="126"/>
      <c r="AM44" s="126"/>
      <c r="AN44" s="115"/>
      <c r="AO44" s="131"/>
      <c r="AP44" s="131"/>
      <c r="AQ44" s="131"/>
      <c r="AR44" s="115"/>
      <c r="AS44" s="131"/>
      <c r="AT44" s="131"/>
      <c r="AU44" s="131"/>
      <c r="AV44" s="115"/>
      <c r="AW44" s="126"/>
      <c r="AX44" s="126"/>
      <c r="AY44" s="126"/>
      <c r="AZ44" s="115"/>
      <c r="BA44" s="126"/>
      <c r="BB44" s="126"/>
      <c r="BC44" s="126"/>
      <c r="BD44" s="115"/>
    </row>
    <row r="45" spans="1:56" x14ac:dyDescent="0.25">
      <c r="A45" s="94">
        <v>1990</v>
      </c>
      <c r="B45" s="139" cm="1">
        <f t="array" ref="B45">SUMPRODUCT((PARIS!$AA$4:'PARIS'!$AA$103=A45)*PARIS!$AD$4:$AD$103)+SUMPRODUCT((PARIS!$AB$4:'PARIS'!$AB$103=A45)*PARIS!$AD$4:$AD$103)+SUMPRODUCT((PARIS!$AU$4:'PARIS'!$AU$103=A45)*PARIS!$AX$4:$AX$103)</f>
        <v>0</v>
      </c>
      <c r="C45" s="139" cm="1">
        <f t="array" ref="C45">SUMPRODUCT((PARIS!$AA$4:'PARIS'!$AA$103=A45)*PARIS!$AE$4:$AE$103)+SUMPRODUCT((PARIS!$AB$4:'PARIS'!$AB$103=A45)*PARIS!$AE$4:$AE$103)+SUMPRODUCT((PARIS!$AU$4:'PARIS'!$AU$103=A45)*PARIS!$AY$4:$AY$103)</f>
        <v>0</v>
      </c>
      <c r="D45" s="136" cm="1">
        <f t="array" ref="D45">SUMPRODUCT((PARIS!$AA$4:'PARIS'!$AA$103=A45)*PARIS!$AF$4:$AF$103)+SUMPRODUCT((PARIS!$AB$4:'PARIS'!$AB$103=A45)*PARIS!$AF$4:$AF$103)+SUMPRODUCT((PARIS!$AU$4:'PARIS'!$AU$103=A45)*PARIS!$AV$4:$AV$103)</f>
        <v>0</v>
      </c>
      <c r="E45" s="136" cm="1">
        <f t="array" ref="E45">SUMPRODUCT((PARIS!$AA$4:'PARIS'!$AA$103=A45)*PARIS!$AG$4:$AG$103)+SUMPRODUCT((PARIS!$AB$4:'PARIS'!$AB$103=A45)*PARIS!$AG$4:$AG$103)+SUMPRODUCT((PARIS!$AU$4:'PARIS'!$AU$103=A45)*PARIS!$AW$4:$AW$103)</f>
        <v>0</v>
      </c>
      <c r="F45" s="136" cm="1">
        <f t="array" ref="F45">SUMPRODUCT((PARIS!$AA$4:'PARIS'!$AA$103=A45)*PARIS!$AH$4:$AH$103)+SUMPRODUCT((PARIS!$AB$4:'PARIS'!$AB$103=A45)*PARIS!$AH$4:$AH$103)+SUMPRODUCT((PARIS!$AU$4:'PARIS'!$AU$103=A45)*PARIS!$AZ$4:$AZ$103)</f>
        <v>0</v>
      </c>
      <c r="G45" s="136" cm="1">
        <f t="array" ref="G45">SUMPRODUCT((PARIS!$AA$4:'PARIS'!$AA$103=A45)*PARIS!$AI$4:$AI$103)+SUMPRODUCT((PARIS!$AB$4:'PARIS'!$AB$103=A45)*PARIS!$AI$4:$AI$103)+SUMPRODUCT((PARIS!$AU$4:'PARIS'!$AU$103=A45)*PARIS!$BA$4:$BA$103)</f>
        <v>0</v>
      </c>
      <c r="H45" s="115"/>
      <c r="I45" s="139">
        <f t="shared" si="3"/>
        <v>0</v>
      </c>
      <c r="J45" s="136">
        <f t="shared" si="2"/>
        <v>0</v>
      </c>
      <c r="K45" s="136">
        <f t="shared" si="2"/>
        <v>0</v>
      </c>
      <c r="L45" s="136">
        <f t="shared" si="2"/>
        <v>0</v>
      </c>
      <c r="M45" s="136">
        <f t="shared" si="2"/>
        <v>0</v>
      </c>
      <c r="N45" s="115"/>
      <c r="O45" s="131"/>
      <c r="P45" s="131"/>
      <c r="Q45" s="131"/>
      <c r="R45" s="115"/>
      <c r="S45" s="131"/>
      <c r="T45" s="131"/>
      <c r="U45" s="131"/>
      <c r="V45" s="115"/>
      <c r="W45" s="128"/>
      <c r="X45" s="128"/>
      <c r="Y45" s="128"/>
      <c r="Z45" s="126"/>
      <c r="AA45" s="126"/>
      <c r="AB45" s="126"/>
      <c r="AC45" s="115"/>
      <c r="AD45" s="126"/>
      <c r="AE45" s="126"/>
      <c r="AF45" s="126"/>
      <c r="AG45" s="115"/>
      <c r="AH45" s="128"/>
      <c r="AI45" s="128"/>
      <c r="AJ45" s="128"/>
      <c r="AK45" s="126"/>
      <c r="AL45" s="126"/>
      <c r="AM45" s="126"/>
      <c r="AN45" s="115"/>
      <c r="AO45" s="131"/>
      <c r="AP45" s="131"/>
      <c r="AQ45" s="131"/>
      <c r="AR45" s="115"/>
      <c r="AS45" s="131"/>
      <c r="AT45" s="131"/>
      <c r="AU45" s="131"/>
      <c r="AV45" s="115"/>
      <c r="AW45" s="126"/>
      <c r="AX45" s="126"/>
      <c r="AY45" s="126"/>
      <c r="AZ45" s="115"/>
      <c r="BA45" s="126"/>
      <c r="BB45" s="126"/>
      <c r="BC45" s="126"/>
      <c r="BD45" s="115"/>
    </row>
    <row r="46" spans="1:56" x14ac:dyDescent="0.25">
      <c r="A46" s="94">
        <v>1991</v>
      </c>
      <c r="B46" s="139" cm="1">
        <f t="array" ref="B46">SUMPRODUCT((PARIS!$AA$4:'PARIS'!$AA$103=A46)*PARIS!$AD$4:$AD$103)+SUMPRODUCT((PARIS!$AB$4:'PARIS'!$AB$103=A46)*PARIS!$AD$4:$AD$103)+SUMPRODUCT((PARIS!$AU$4:'PARIS'!$AU$103=A46)*PARIS!$AX$4:$AX$103)</f>
        <v>0</v>
      </c>
      <c r="C46" s="139" cm="1">
        <f t="array" ref="C46">SUMPRODUCT((PARIS!$AA$4:'PARIS'!$AA$103=A46)*PARIS!$AE$4:$AE$103)+SUMPRODUCT((PARIS!$AB$4:'PARIS'!$AB$103=A46)*PARIS!$AE$4:$AE$103)+SUMPRODUCT((PARIS!$AU$4:'PARIS'!$AU$103=A46)*PARIS!$AY$4:$AY$103)</f>
        <v>0</v>
      </c>
      <c r="D46" s="136" cm="1">
        <f t="array" ref="D46">SUMPRODUCT((PARIS!$AA$4:'PARIS'!$AA$103=A46)*PARIS!$AF$4:$AF$103)+SUMPRODUCT((PARIS!$AB$4:'PARIS'!$AB$103=A46)*PARIS!$AF$4:$AF$103)+SUMPRODUCT((PARIS!$AU$4:'PARIS'!$AU$103=A46)*PARIS!$AV$4:$AV$103)</f>
        <v>0</v>
      </c>
      <c r="E46" s="136" cm="1">
        <f t="array" ref="E46">SUMPRODUCT((PARIS!$AA$4:'PARIS'!$AA$103=A46)*PARIS!$AG$4:$AG$103)+SUMPRODUCT((PARIS!$AB$4:'PARIS'!$AB$103=A46)*PARIS!$AG$4:$AG$103)+SUMPRODUCT((PARIS!$AU$4:'PARIS'!$AU$103=A46)*PARIS!$AW$4:$AW$103)</f>
        <v>0</v>
      </c>
      <c r="F46" s="136" cm="1">
        <f t="array" ref="F46">SUMPRODUCT((PARIS!$AA$4:'PARIS'!$AA$103=A46)*PARIS!$AH$4:$AH$103)+SUMPRODUCT((PARIS!$AB$4:'PARIS'!$AB$103=A46)*PARIS!$AH$4:$AH$103)+SUMPRODUCT((PARIS!$AU$4:'PARIS'!$AU$103=A46)*PARIS!$AZ$4:$AZ$103)</f>
        <v>0</v>
      </c>
      <c r="G46" s="136" cm="1">
        <f t="array" ref="G46">SUMPRODUCT((PARIS!$AA$4:'PARIS'!$AA$103=A46)*PARIS!$AI$4:$AI$103)+SUMPRODUCT((PARIS!$AB$4:'PARIS'!$AB$103=A46)*PARIS!$AI$4:$AI$103)+SUMPRODUCT((PARIS!$AU$4:'PARIS'!$AU$103=A46)*PARIS!$BA$4:$BA$103)</f>
        <v>0</v>
      </c>
      <c r="H46" s="115"/>
      <c r="I46" s="139">
        <f t="shared" si="3"/>
        <v>0</v>
      </c>
      <c r="J46" s="136">
        <f t="shared" si="2"/>
        <v>0</v>
      </c>
      <c r="K46" s="136">
        <f t="shared" si="2"/>
        <v>0</v>
      </c>
      <c r="L46" s="136">
        <f t="shared" si="2"/>
        <v>0</v>
      </c>
      <c r="M46" s="136">
        <f t="shared" si="2"/>
        <v>0</v>
      </c>
      <c r="N46" s="115"/>
      <c r="O46" s="131"/>
      <c r="P46" s="131"/>
      <c r="Q46" s="131"/>
      <c r="R46" s="115"/>
      <c r="S46" s="131"/>
      <c r="T46" s="131"/>
      <c r="U46" s="131"/>
      <c r="V46" s="115"/>
      <c r="W46" s="128"/>
      <c r="X46" s="128"/>
      <c r="Y46" s="128"/>
      <c r="Z46" s="126"/>
      <c r="AA46" s="126"/>
      <c r="AB46" s="126"/>
      <c r="AC46" s="115"/>
      <c r="AD46" s="126"/>
      <c r="AE46" s="126"/>
      <c r="AF46" s="126"/>
      <c r="AG46" s="115"/>
      <c r="AH46" s="128"/>
      <c r="AI46" s="128"/>
      <c r="AJ46" s="128"/>
      <c r="AK46" s="126"/>
      <c r="AL46" s="126"/>
      <c r="AM46" s="126"/>
      <c r="AN46" s="115"/>
      <c r="AO46" s="131"/>
      <c r="AP46" s="131"/>
      <c r="AQ46" s="131"/>
      <c r="AR46" s="115"/>
      <c r="AS46" s="131"/>
      <c r="AT46" s="131"/>
      <c r="AU46" s="131"/>
      <c r="AV46" s="115"/>
      <c r="AW46" s="126"/>
      <c r="AX46" s="126"/>
      <c r="AY46" s="126"/>
      <c r="AZ46" s="115"/>
      <c r="BA46" s="126"/>
      <c r="BB46" s="126"/>
      <c r="BC46" s="126"/>
      <c r="BD46" s="115"/>
    </row>
    <row r="47" spans="1:56" x14ac:dyDescent="0.25">
      <c r="A47" s="94">
        <v>1992</v>
      </c>
      <c r="B47" s="139" cm="1">
        <f t="array" ref="B47">SUMPRODUCT((PARIS!$AA$4:'PARIS'!$AA$103=A47)*PARIS!$AD$4:$AD$103)+SUMPRODUCT((PARIS!$AB$4:'PARIS'!$AB$103=A47)*PARIS!$AD$4:$AD$103)+SUMPRODUCT((PARIS!$AU$4:'PARIS'!$AU$103=A47)*PARIS!$AX$4:$AX$103)</f>
        <v>0</v>
      </c>
      <c r="C47" s="139" cm="1">
        <f t="array" ref="C47">SUMPRODUCT((PARIS!$AA$4:'PARIS'!$AA$103=A47)*PARIS!$AE$4:$AE$103)+SUMPRODUCT((PARIS!$AB$4:'PARIS'!$AB$103=A47)*PARIS!$AE$4:$AE$103)+SUMPRODUCT((PARIS!$AU$4:'PARIS'!$AU$103=A47)*PARIS!$AY$4:$AY$103)</f>
        <v>0</v>
      </c>
      <c r="D47" s="136" cm="1">
        <f t="array" ref="D47">SUMPRODUCT((PARIS!$AA$4:'PARIS'!$AA$103=A47)*PARIS!$AF$4:$AF$103)+SUMPRODUCT((PARIS!$AB$4:'PARIS'!$AB$103=A47)*PARIS!$AF$4:$AF$103)+SUMPRODUCT((PARIS!$AU$4:'PARIS'!$AU$103=A47)*PARIS!$AV$4:$AV$103)</f>
        <v>0</v>
      </c>
      <c r="E47" s="136" cm="1">
        <f t="array" ref="E47">SUMPRODUCT((PARIS!$AA$4:'PARIS'!$AA$103=A47)*PARIS!$AG$4:$AG$103)+SUMPRODUCT((PARIS!$AB$4:'PARIS'!$AB$103=A47)*PARIS!$AG$4:$AG$103)+SUMPRODUCT((PARIS!$AU$4:'PARIS'!$AU$103=A47)*PARIS!$AW$4:$AW$103)</f>
        <v>0</v>
      </c>
      <c r="F47" s="136" cm="1">
        <f t="array" ref="F47">SUMPRODUCT((PARIS!$AA$4:'PARIS'!$AA$103=A47)*PARIS!$AH$4:$AH$103)+SUMPRODUCT((PARIS!$AB$4:'PARIS'!$AB$103=A47)*PARIS!$AH$4:$AH$103)+SUMPRODUCT((PARIS!$AU$4:'PARIS'!$AU$103=A47)*PARIS!$AZ$4:$AZ$103)</f>
        <v>0</v>
      </c>
      <c r="G47" s="136" cm="1">
        <f t="array" ref="G47">SUMPRODUCT((PARIS!$AA$4:'PARIS'!$AA$103=A47)*PARIS!$AI$4:$AI$103)+SUMPRODUCT((PARIS!$AB$4:'PARIS'!$AB$103=A47)*PARIS!$AI$4:$AI$103)+SUMPRODUCT((PARIS!$AU$4:'PARIS'!$AU$103=A47)*PARIS!$BA$4:$BA$103)</f>
        <v>0</v>
      </c>
      <c r="H47" s="115"/>
      <c r="I47" s="139">
        <f t="shared" si="3"/>
        <v>0</v>
      </c>
      <c r="J47" s="136">
        <f t="shared" si="2"/>
        <v>0</v>
      </c>
      <c r="K47" s="136">
        <f t="shared" si="2"/>
        <v>0</v>
      </c>
      <c r="L47" s="136">
        <f t="shared" si="2"/>
        <v>0</v>
      </c>
      <c r="M47" s="136">
        <f t="shared" si="2"/>
        <v>0</v>
      </c>
      <c r="N47" s="115"/>
      <c r="O47" s="131"/>
      <c r="P47" s="131"/>
      <c r="Q47" s="131"/>
      <c r="R47" s="115"/>
      <c r="S47" s="131"/>
      <c r="T47" s="131"/>
      <c r="U47" s="131"/>
      <c r="V47" s="115"/>
      <c r="W47" s="128"/>
      <c r="X47" s="128"/>
      <c r="Y47" s="128"/>
      <c r="Z47" s="126"/>
      <c r="AA47" s="126"/>
      <c r="AB47" s="126"/>
      <c r="AC47" s="115"/>
      <c r="AD47" s="126"/>
      <c r="AE47" s="126"/>
      <c r="AF47" s="126"/>
      <c r="AG47" s="115"/>
      <c r="AH47" s="128"/>
      <c r="AI47" s="128"/>
      <c r="AJ47" s="128"/>
      <c r="AK47" s="126"/>
      <c r="AL47" s="126"/>
      <c r="AM47" s="126"/>
      <c r="AN47" s="115"/>
      <c r="AO47" s="131"/>
      <c r="AP47" s="131"/>
      <c r="AQ47" s="131"/>
      <c r="AR47" s="115"/>
      <c r="AS47" s="131"/>
      <c r="AT47" s="131"/>
      <c r="AU47" s="131"/>
      <c r="AV47" s="115"/>
      <c r="AW47" s="126"/>
      <c r="AX47" s="126"/>
      <c r="AY47" s="126"/>
      <c r="AZ47" s="115"/>
      <c r="BA47" s="126"/>
      <c r="BB47" s="126"/>
      <c r="BC47" s="126"/>
      <c r="BD47" s="115"/>
    </row>
    <row r="48" spans="1:56" x14ac:dyDescent="0.25">
      <c r="A48" s="94">
        <v>1993</v>
      </c>
      <c r="B48" s="139" cm="1">
        <f t="array" ref="B48">SUMPRODUCT((PARIS!$AA$4:'PARIS'!$AA$103=A48)*PARIS!$AD$4:$AD$103)+SUMPRODUCT((PARIS!$AB$4:'PARIS'!$AB$103=A48)*PARIS!$AD$4:$AD$103)+SUMPRODUCT((PARIS!$AU$4:'PARIS'!$AU$103=A48)*PARIS!$AX$4:$AX$103)</f>
        <v>52731</v>
      </c>
      <c r="C48" s="139" cm="1">
        <f t="array" ref="C48">SUMPRODUCT((PARIS!$AA$4:'PARIS'!$AA$103=A48)*PARIS!$AE$4:$AE$103)+SUMPRODUCT((PARIS!$AB$4:'PARIS'!$AB$103=A48)*PARIS!$AE$4:$AE$103)+SUMPRODUCT((PARIS!$AU$4:'PARIS'!$AU$103=A48)*PARIS!$AY$4:$AY$103)</f>
        <v>1186.4475</v>
      </c>
      <c r="D48" s="136" cm="1">
        <f t="array" ref="D48">SUMPRODUCT((PARIS!$AA$4:'PARIS'!$AA$103=A48)*PARIS!$AF$4:$AF$103)+SUMPRODUCT((PARIS!$AB$4:'PARIS'!$AB$103=A48)*PARIS!$AF$4:$AF$103)+SUMPRODUCT((PARIS!$AU$4:'PARIS'!$AU$103=A48)*PARIS!$AV$4:$AV$103)</f>
        <v>1186.4475</v>
      </c>
      <c r="E48" s="136" cm="1">
        <f t="array" ref="E48">SUMPRODUCT((PARIS!$AA$4:'PARIS'!$AA$103=A48)*PARIS!$AG$4:$AG$103)+SUMPRODUCT((PARIS!$AB$4:'PARIS'!$AB$103=A48)*PARIS!$AG$4:$AG$103)+SUMPRODUCT((PARIS!$AU$4:'PARIS'!$AU$103=A48)*PARIS!$AW$4:$AW$103)</f>
        <v>0</v>
      </c>
      <c r="F48" s="136" cm="1">
        <f t="array" ref="F48">SUMPRODUCT((PARIS!$AA$4:'PARIS'!$AA$103=A48)*PARIS!$AH$4:$AH$103)+SUMPRODUCT((PARIS!$AB$4:'PARIS'!$AB$103=A48)*PARIS!$AH$4:$AH$103)+SUMPRODUCT((PARIS!$AU$4:'PARIS'!$AU$103=A48)*PARIS!$AZ$4:$AZ$103)</f>
        <v>78.126000000000005</v>
      </c>
      <c r="G48" s="136" cm="1">
        <f t="array" ref="G48">SUMPRODUCT((PARIS!$AA$4:'PARIS'!$AA$103=A48)*PARIS!$AI$4:$AI$103)+SUMPRODUCT((PARIS!$AB$4:'PARIS'!$AB$103=A48)*PARIS!$AI$4:$AI$103)+SUMPRODUCT((PARIS!$AU$4:'PARIS'!$AU$103=A48)*PARIS!$BA$4:$BA$103)</f>
        <v>0</v>
      </c>
      <c r="H48" s="115"/>
      <c r="I48" s="139">
        <f t="shared" si="3"/>
        <v>1186.4475</v>
      </c>
      <c r="J48" s="136">
        <f t="shared" si="2"/>
        <v>1186.4475</v>
      </c>
      <c r="K48" s="136">
        <f t="shared" si="2"/>
        <v>0</v>
      </c>
      <c r="L48" s="136">
        <f t="shared" si="2"/>
        <v>78.126000000000005</v>
      </c>
      <c r="M48" s="136">
        <f t="shared" si="2"/>
        <v>0</v>
      </c>
      <c r="N48" s="115"/>
      <c r="O48" s="131"/>
      <c r="P48" s="131"/>
      <c r="Q48" s="131"/>
      <c r="R48" s="115"/>
      <c r="S48" s="131"/>
      <c r="T48" s="131"/>
      <c r="U48" s="131"/>
      <c r="V48" s="115"/>
      <c r="W48" s="128"/>
      <c r="X48" s="128"/>
      <c r="Y48" s="128"/>
      <c r="Z48" s="126"/>
      <c r="AA48" s="126"/>
      <c r="AB48" s="126"/>
      <c r="AC48" s="115"/>
      <c r="AD48" s="126"/>
      <c r="AE48" s="126"/>
      <c r="AF48" s="126"/>
      <c r="AG48" s="115"/>
      <c r="AH48" s="128"/>
      <c r="AI48" s="128"/>
      <c r="AJ48" s="128"/>
      <c r="AK48" s="126"/>
      <c r="AL48" s="126"/>
      <c r="AM48" s="126"/>
      <c r="AN48" s="115"/>
      <c r="AO48" s="131"/>
      <c r="AP48" s="131"/>
      <c r="AQ48" s="131"/>
      <c r="AR48" s="115"/>
      <c r="AS48" s="131"/>
      <c r="AT48" s="131"/>
      <c r="AU48" s="131"/>
      <c r="AV48" s="115"/>
      <c r="AW48" s="126"/>
      <c r="AX48" s="126"/>
      <c r="AY48" s="126"/>
      <c r="AZ48" s="115"/>
      <c r="BA48" s="126"/>
      <c r="BB48" s="126"/>
      <c r="BC48" s="126"/>
      <c r="BD48" s="115"/>
    </row>
    <row r="49" spans="1:56" x14ac:dyDescent="0.25">
      <c r="A49" s="94">
        <v>1994</v>
      </c>
      <c r="B49" s="139" cm="1">
        <f t="array" ref="B49">SUMPRODUCT((PARIS!$AA$4:'PARIS'!$AA$103=A49)*PARIS!$AD$4:$AD$103)+SUMPRODUCT((PARIS!$AB$4:'PARIS'!$AB$103=A49)*PARIS!$AD$4:$AD$103)+SUMPRODUCT((PARIS!$AU$4:'PARIS'!$AU$103=A49)*PARIS!$AX$4:$AX$103)</f>
        <v>11793.6</v>
      </c>
      <c r="C49" s="139" cm="1">
        <f t="array" ref="C49">SUMPRODUCT((PARIS!$AA$4:'PARIS'!$AA$103=A49)*PARIS!$AE$4:$AE$103)+SUMPRODUCT((PARIS!$AB$4:'PARIS'!$AB$103=A49)*PARIS!$AE$4:$AE$103)+SUMPRODUCT((PARIS!$AU$4:'PARIS'!$AU$103=A49)*PARIS!$AY$4:$AY$103)</f>
        <v>176.904</v>
      </c>
      <c r="D49" s="136" cm="1">
        <f t="array" ref="D49">SUMPRODUCT((PARIS!$AA$4:'PARIS'!$AA$103=A49)*PARIS!$AF$4:$AF$103)+SUMPRODUCT((PARIS!$AB$4:'PARIS'!$AB$103=A49)*PARIS!$AF$4:$AF$103)+SUMPRODUCT((PARIS!$AU$4:'PARIS'!$AU$103=A49)*PARIS!$AV$4:$AV$103)</f>
        <v>36.855000000000004</v>
      </c>
      <c r="E49" s="136" cm="1">
        <f t="array" ref="E49">SUMPRODUCT((PARIS!$AA$4:'PARIS'!$AA$103=A49)*PARIS!$AG$4:$AG$103)+SUMPRODUCT((PARIS!$AB$4:'PARIS'!$AB$103=A49)*PARIS!$AG$4:$AG$103)+SUMPRODUCT((PARIS!$AU$4:'PARIS'!$AU$103=A49)*PARIS!$AW$4:$AW$103)</f>
        <v>140.04900000000001</v>
      </c>
      <c r="F49" s="136" cm="1">
        <f t="array" ref="F49">SUMPRODUCT((PARIS!$AA$4:'PARIS'!$AA$103=A49)*PARIS!$AH$4:$AH$103)+SUMPRODUCT((PARIS!$AB$4:'PARIS'!$AB$103=A49)*PARIS!$AH$4:$AH$103)+SUMPRODUCT((PARIS!$AU$4:'PARIS'!$AU$103=A49)*PARIS!$AZ$4:$AZ$103)</f>
        <v>21.475999999999999</v>
      </c>
      <c r="G49" s="136" cm="1">
        <f t="array" ref="G49">SUMPRODUCT((PARIS!$AA$4:'PARIS'!$AA$103=A49)*PARIS!$AI$4:$AI$103)+SUMPRODUCT((PARIS!$AB$4:'PARIS'!$AB$103=A49)*PARIS!$AI$4:$AI$103)+SUMPRODUCT((PARIS!$AU$4:'PARIS'!$AU$103=A49)*PARIS!$BA$4:$BA$103)</f>
        <v>12.375999999999999</v>
      </c>
      <c r="H49" s="115"/>
      <c r="I49" s="139">
        <f t="shared" si="3"/>
        <v>1363.3515</v>
      </c>
      <c r="J49" s="136">
        <f t="shared" si="2"/>
        <v>1223.3025</v>
      </c>
      <c r="K49" s="136">
        <f t="shared" si="2"/>
        <v>140.04900000000001</v>
      </c>
      <c r="L49" s="136">
        <f t="shared" si="2"/>
        <v>99.602000000000004</v>
      </c>
      <c r="M49" s="136">
        <f t="shared" si="2"/>
        <v>12.375999999999999</v>
      </c>
      <c r="N49" s="115"/>
      <c r="O49" s="131"/>
      <c r="P49" s="131"/>
      <c r="Q49" s="131"/>
      <c r="R49" s="115"/>
      <c r="S49" s="131"/>
      <c r="T49" s="131"/>
      <c r="U49" s="131"/>
      <c r="V49" s="115"/>
      <c r="W49" s="128"/>
      <c r="X49" s="128"/>
      <c r="Y49" s="128"/>
      <c r="Z49" s="126"/>
      <c r="AA49" s="126"/>
      <c r="AB49" s="126"/>
      <c r="AC49" s="115"/>
      <c r="AD49" s="126"/>
      <c r="AE49" s="126"/>
      <c r="AF49" s="126"/>
      <c r="AG49" s="115"/>
      <c r="AH49" s="128"/>
      <c r="AI49" s="128"/>
      <c r="AJ49" s="128"/>
      <c r="AK49" s="126"/>
      <c r="AL49" s="126"/>
      <c r="AM49" s="126"/>
      <c r="AN49" s="115"/>
      <c r="AO49" s="131"/>
      <c r="AP49" s="131"/>
      <c r="AQ49" s="131"/>
      <c r="AR49" s="115"/>
      <c r="AS49" s="131"/>
      <c r="AT49" s="131"/>
      <c r="AU49" s="131"/>
      <c r="AV49" s="115"/>
      <c r="AW49" s="126"/>
      <c r="AX49" s="126"/>
      <c r="AY49" s="126"/>
      <c r="AZ49" s="115"/>
      <c r="BA49" s="126"/>
      <c r="BB49" s="126"/>
      <c r="BC49" s="126"/>
      <c r="BD49" s="115"/>
    </row>
    <row r="50" spans="1:56" x14ac:dyDescent="0.25">
      <c r="A50" s="94">
        <v>1995</v>
      </c>
      <c r="B50" s="139" cm="1">
        <f t="array" ref="B50">SUMPRODUCT((PARIS!$AA$4:'PARIS'!$AA$103=A50)*PARIS!$AD$4:$AD$103)+SUMPRODUCT((PARIS!$AB$4:'PARIS'!$AB$103=A50)*PARIS!$AD$4:$AD$103)+SUMPRODUCT((PARIS!$AU$4:'PARIS'!$AU$103=A50)*PARIS!$AX$4:$AX$103)</f>
        <v>0</v>
      </c>
      <c r="C50" s="139" cm="1">
        <f t="array" ref="C50">SUMPRODUCT((PARIS!$AA$4:'PARIS'!$AA$103=A50)*PARIS!$AE$4:$AE$103)+SUMPRODUCT((PARIS!$AB$4:'PARIS'!$AB$103=A50)*PARIS!$AE$4:$AE$103)+SUMPRODUCT((PARIS!$AU$4:'PARIS'!$AU$103=A50)*PARIS!$AY$4:$AY$103)</f>
        <v>0</v>
      </c>
      <c r="D50" s="136" cm="1">
        <f t="array" ref="D50">SUMPRODUCT((PARIS!$AA$4:'PARIS'!$AA$103=A50)*PARIS!$AF$4:$AF$103)+SUMPRODUCT((PARIS!$AB$4:'PARIS'!$AB$103=A50)*PARIS!$AF$4:$AF$103)+SUMPRODUCT((PARIS!$AU$4:'PARIS'!$AU$103=A50)*PARIS!$AV$4:$AV$103)</f>
        <v>0</v>
      </c>
      <c r="E50" s="136" cm="1">
        <f t="array" ref="E50">SUMPRODUCT((PARIS!$AA$4:'PARIS'!$AA$103=A50)*PARIS!$AG$4:$AG$103)+SUMPRODUCT((PARIS!$AB$4:'PARIS'!$AB$103=A50)*PARIS!$AG$4:$AG$103)+SUMPRODUCT((PARIS!$AU$4:'PARIS'!$AU$103=A50)*PARIS!$AW$4:$AW$103)</f>
        <v>0</v>
      </c>
      <c r="F50" s="136" cm="1">
        <f t="array" ref="F50">SUMPRODUCT((PARIS!$AA$4:'PARIS'!$AA$103=A50)*PARIS!$AH$4:$AH$103)+SUMPRODUCT((PARIS!$AB$4:'PARIS'!$AB$103=A50)*PARIS!$AH$4:$AH$103)+SUMPRODUCT((PARIS!$AU$4:'PARIS'!$AU$103=A50)*PARIS!$AZ$4:$AZ$103)</f>
        <v>0</v>
      </c>
      <c r="G50" s="136" cm="1">
        <f t="array" ref="G50">SUMPRODUCT((PARIS!$AA$4:'PARIS'!$AA$103=A50)*PARIS!$AI$4:$AI$103)+SUMPRODUCT((PARIS!$AB$4:'PARIS'!$AB$103=A50)*PARIS!$AI$4:$AI$103)+SUMPRODUCT((PARIS!$AU$4:'PARIS'!$AU$103=A50)*PARIS!$BA$4:$BA$103)</f>
        <v>0</v>
      </c>
      <c r="H50" s="115"/>
      <c r="I50" s="139">
        <f t="shared" si="3"/>
        <v>1363.3515</v>
      </c>
      <c r="J50" s="136">
        <f t="shared" si="2"/>
        <v>1223.3025</v>
      </c>
      <c r="K50" s="136">
        <f t="shared" si="2"/>
        <v>140.04900000000001</v>
      </c>
      <c r="L50" s="136">
        <f t="shared" si="2"/>
        <v>99.602000000000004</v>
      </c>
      <c r="M50" s="136">
        <f t="shared" si="2"/>
        <v>12.375999999999999</v>
      </c>
      <c r="N50" s="115"/>
      <c r="O50" s="131"/>
      <c r="P50" s="131"/>
      <c r="Q50" s="131"/>
      <c r="R50" s="115"/>
      <c r="S50" s="131"/>
      <c r="T50" s="131"/>
      <c r="U50" s="131"/>
      <c r="V50" s="115"/>
      <c r="W50" s="128"/>
      <c r="X50" s="128"/>
      <c r="Y50" s="128"/>
      <c r="Z50" s="126"/>
      <c r="AA50" s="126"/>
      <c r="AB50" s="126"/>
      <c r="AC50" s="115"/>
      <c r="AD50" s="126"/>
      <c r="AE50" s="126"/>
      <c r="AF50" s="126"/>
      <c r="AG50" s="115"/>
      <c r="AH50" s="128"/>
      <c r="AI50" s="128"/>
      <c r="AJ50" s="128"/>
      <c r="AK50" s="126"/>
      <c r="AL50" s="126"/>
      <c r="AM50" s="126"/>
      <c r="AN50" s="115"/>
      <c r="AO50" s="131"/>
      <c r="AP50" s="131"/>
      <c r="AQ50" s="131"/>
      <c r="AR50" s="115"/>
      <c r="AS50" s="131"/>
      <c r="AT50" s="131"/>
      <c r="AU50" s="131"/>
      <c r="AV50" s="115"/>
      <c r="AW50" s="126"/>
      <c r="AX50" s="126"/>
      <c r="AY50" s="126"/>
      <c r="AZ50" s="115"/>
      <c r="BA50" s="126"/>
      <c r="BB50" s="126"/>
      <c r="BC50" s="126"/>
      <c r="BD50" s="115"/>
    </row>
    <row r="51" spans="1:56" x14ac:dyDescent="0.25">
      <c r="A51" s="94">
        <v>1996</v>
      </c>
      <c r="B51" s="139" cm="1">
        <f t="array" ref="B51">SUMPRODUCT((PARIS!$AA$4:'PARIS'!$AA$103=A51)*PARIS!$AD$4:$AD$103)+SUMPRODUCT((PARIS!$AB$4:'PARIS'!$AB$103=A51)*PARIS!$AD$4:$AD$103)+SUMPRODUCT((PARIS!$AU$4:'PARIS'!$AU$103=A51)*PARIS!$AX$4:$AX$103)</f>
        <v>17451.54</v>
      </c>
      <c r="C51" s="139" cm="1">
        <f t="array" ref="C51">SUMPRODUCT((PARIS!$AA$4:'PARIS'!$AA$103=A51)*PARIS!$AE$4:$AE$103)+SUMPRODUCT((PARIS!$AB$4:'PARIS'!$AB$103=A51)*PARIS!$AE$4:$AE$103)+SUMPRODUCT((PARIS!$AU$4:'PARIS'!$AU$103=A51)*PARIS!$AY$4:$AY$103)</f>
        <v>335.8449</v>
      </c>
      <c r="D51" s="136" cm="1">
        <f t="array" ref="D51">SUMPRODUCT((PARIS!$AA$4:'PARIS'!$AA$103=A51)*PARIS!$AF$4:$AF$103)+SUMPRODUCT((PARIS!$AB$4:'PARIS'!$AB$103=A51)*PARIS!$AF$4:$AF$103)+SUMPRODUCT((PARIS!$AU$4:'PARIS'!$AU$103=A51)*PARIS!$AV$4:$AV$103)</f>
        <v>39.557699999999997</v>
      </c>
      <c r="E51" s="136" cm="1">
        <f t="array" ref="E51">SUMPRODUCT((PARIS!$AA$4:'PARIS'!$AA$103=A51)*PARIS!$AG$4:$AG$103)+SUMPRODUCT((PARIS!$AB$4:'PARIS'!$AB$103=A51)*PARIS!$AG$4:$AG$103)+SUMPRODUCT((PARIS!$AU$4:'PARIS'!$AU$103=A51)*PARIS!$AW$4:$AW$103)</f>
        <v>296.28719999999998</v>
      </c>
      <c r="F51" s="136" cm="1">
        <f t="array" ref="F51">SUMPRODUCT((PARIS!$AA$4:'PARIS'!$AA$103=A51)*PARIS!$AH$4:$AH$103)+SUMPRODUCT((PARIS!$AB$4:'PARIS'!$AB$103=A51)*PARIS!$AH$4:$AH$103)+SUMPRODUCT((PARIS!$AU$4:'PARIS'!$AU$103=A51)*PARIS!$AZ$4:$AZ$103)</f>
        <v>27.1374</v>
      </c>
      <c r="G51" s="136" cm="1">
        <f t="array" ref="G51">SUMPRODUCT((PARIS!$AA$4:'PARIS'!$AA$103=A51)*PARIS!$AI$4:$AI$103)+SUMPRODUCT((PARIS!$AB$4:'PARIS'!$AB$103=A51)*PARIS!$AI$4:$AI$103)+SUMPRODUCT((PARIS!$AU$4:'PARIS'!$AU$103=A51)*PARIS!$BA$4:$BA$103)</f>
        <v>18.856200000000001</v>
      </c>
      <c r="H51" s="115"/>
      <c r="I51" s="139">
        <f t="shared" si="3"/>
        <v>1699.1964</v>
      </c>
      <c r="J51" s="136">
        <f t="shared" si="2"/>
        <v>1262.8602000000001</v>
      </c>
      <c r="K51" s="136">
        <f t="shared" si="2"/>
        <v>436.33619999999996</v>
      </c>
      <c r="L51" s="136">
        <f t="shared" si="2"/>
        <v>126.7394</v>
      </c>
      <c r="M51" s="136">
        <f t="shared" si="2"/>
        <v>31.232199999999999</v>
      </c>
      <c r="N51" s="115"/>
      <c r="O51" s="131"/>
      <c r="P51" s="131"/>
      <c r="Q51" s="131"/>
      <c r="R51" s="115"/>
      <c r="S51" s="131"/>
      <c r="T51" s="131"/>
      <c r="U51" s="131"/>
      <c r="V51" s="115"/>
      <c r="W51" s="128"/>
      <c r="X51" s="128"/>
      <c r="Y51" s="128"/>
      <c r="Z51" s="126"/>
      <c r="AA51" s="126"/>
      <c r="AB51" s="126"/>
      <c r="AC51" s="115"/>
      <c r="AD51" s="126"/>
      <c r="AE51" s="126"/>
      <c r="AF51" s="126"/>
      <c r="AG51" s="115"/>
      <c r="AH51" s="128"/>
      <c r="AI51" s="128"/>
      <c r="AJ51" s="128"/>
      <c r="AK51" s="126"/>
      <c r="AL51" s="126"/>
      <c r="AM51" s="126"/>
      <c r="AN51" s="115"/>
      <c r="AO51" s="131"/>
      <c r="AP51" s="131"/>
      <c r="AQ51" s="131"/>
      <c r="AR51" s="115"/>
      <c r="AS51" s="131"/>
      <c r="AT51" s="131"/>
      <c r="AU51" s="131"/>
      <c r="AV51" s="115"/>
      <c r="AW51" s="126"/>
      <c r="AX51" s="126"/>
      <c r="AY51" s="126"/>
      <c r="AZ51" s="115"/>
      <c r="BA51" s="126"/>
      <c r="BB51" s="126"/>
      <c r="BC51" s="126"/>
      <c r="BD51" s="115"/>
    </row>
    <row r="52" spans="1:56" x14ac:dyDescent="0.25">
      <c r="A52" s="94">
        <v>1997</v>
      </c>
      <c r="B52" s="139" cm="1">
        <f t="array" ref="B52">SUMPRODUCT((PARIS!$AA$4:'PARIS'!$AA$103=A52)*PARIS!$AD$4:$AD$103)+SUMPRODUCT((PARIS!$AB$4:'PARIS'!$AB$103=A52)*PARIS!$AD$4:$AD$103)+SUMPRODUCT((PARIS!$AU$4:'PARIS'!$AU$103=A52)*PARIS!$AX$4:$AX$103)</f>
        <v>0</v>
      </c>
      <c r="C52" s="139" cm="1">
        <f t="array" ref="C52">SUMPRODUCT((PARIS!$AA$4:'PARIS'!$AA$103=A52)*PARIS!$AE$4:$AE$103)+SUMPRODUCT((PARIS!$AB$4:'PARIS'!$AB$103=A52)*PARIS!$AE$4:$AE$103)+SUMPRODUCT((PARIS!$AU$4:'PARIS'!$AU$103=A52)*PARIS!$AY$4:$AY$103)</f>
        <v>0</v>
      </c>
      <c r="D52" s="136" cm="1">
        <f t="array" ref="D52">SUMPRODUCT((PARIS!$AA$4:'PARIS'!$AA$103=A52)*PARIS!$AF$4:$AF$103)+SUMPRODUCT((PARIS!$AB$4:'PARIS'!$AB$103=A52)*PARIS!$AF$4:$AF$103)+SUMPRODUCT((PARIS!$AU$4:'PARIS'!$AU$103=A52)*PARIS!$AV$4:$AV$103)</f>
        <v>0</v>
      </c>
      <c r="E52" s="136" cm="1">
        <f t="array" ref="E52">SUMPRODUCT((PARIS!$AA$4:'PARIS'!$AA$103=A52)*PARIS!$AG$4:$AG$103)+SUMPRODUCT((PARIS!$AB$4:'PARIS'!$AB$103=A52)*PARIS!$AG$4:$AG$103)+SUMPRODUCT((PARIS!$AU$4:'PARIS'!$AU$103=A52)*PARIS!$AW$4:$AW$103)</f>
        <v>0</v>
      </c>
      <c r="F52" s="136" cm="1">
        <f t="array" ref="F52">SUMPRODUCT((PARIS!$AA$4:'PARIS'!$AA$103=A52)*PARIS!$AH$4:$AH$103)+SUMPRODUCT((PARIS!$AB$4:'PARIS'!$AB$103=A52)*PARIS!$AH$4:$AH$103)+SUMPRODUCT((PARIS!$AU$4:'PARIS'!$AU$103=A52)*PARIS!$AZ$4:$AZ$103)</f>
        <v>0</v>
      </c>
      <c r="G52" s="136" cm="1">
        <f t="array" ref="G52">SUMPRODUCT((PARIS!$AA$4:'PARIS'!$AA$103=A52)*PARIS!$AI$4:$AI$103)+SUMPRODUCT((PARIS!$AB$4:'PARIS'!$AB$103=A52)*PARIS!$AI$4:$AI$103)+SUMPRODUCT((PARIS!$AU$4:'PARIS'!$AU$103=A52)*PARIS!$BA$4:$BA$103)</f>
        <v>0</v>
      </c>
      <c r="H52" s="115"/>
      <c r="I52" s="139">
        <f t="shared" si="3"/>
        <v>1699.1964</v>
      </c>
      <c r="J52" s="136">
        <f t="shared" si="2"/>
        <v>1262.8602000000001</v>
      </c>
      <c r="K52" s="136">
        <f t="shared" si="2"/>
        <v>436.33619999999996</v>
      </c>
      <c r="L52" s="136">
        <f t="shared" si="2"/>
        <v>126.7394</v>
      </c>
      <c r="M52" s="136">
        <f t="shared" si="2"/>
        <v>31.232199999999999</v>
      </c>
      <c r="N52" s="115"/>
      <c r="O52" s="131"/>
      <c r="P52" s="131"/>
      <c r="Q52" s="131"/>
      <c r="R52" s="115"/>
      <c r="S52" s="131"/>
      <c r="T52" s="131"/>
      <c r="U52" s="131"/>
      <c r="V52" s="115"/>
      <c r="W52" s="128"/>
      <c r="X52" s="128"/>
      <c r="Y52" s="128"/>
      <c r="Z52" s="126"/>
      <c r="AA52" s="126"/>
      <c r="AB52" s="126"/>
      <c r="AC52" s="115"/>
      <c r="AD52" s="126"/>
      <c r="AE52" s="126"/>
      <c r="AF52" s="126"/>
      <c r="AG52" s="115"/>
      <c r="AH52" s="128"/>
      <c r="AI52" s="128"/>
      <c r="AJ52" s="128"/>
      <c r="AK52" s="126"/>
      <c r="AL52" s="126"/>
      <c r="AM52" s="126"/>
      <c r="AN52" s="115"/>
      <c r="AO52" s="131"/>
      <c r="AP52" s="131"/>
      <c r="AQ52" s="131"/>
      <c r="AR52" s="115"/>
      <c r="AS52" s="131"/>
      <c r="AT52" s="131"/>
      <c r="AU52" s="131"/>
      <c r="AV52" s="115"/>
      <c r="AW52" s="126"/>
      <c r="AX52" s="126"/>
      <c r="AY52" s="126"/>
      <c r="AZ52" s="115"/>
      <c r="BA52" s="126"/>
      <c r="BB52" s="126"/>
      <c r="BC52" s="126"/>
      <c r="BD52" s="115"/>
    </row>
    <row r="53" spans="1:56" x14ac:dyDescent="0.25">
      <c r="A53" s="94">
        <v>1998</v>
      </c>
      <c r="B53" s="139" cm="1">
        <f t="array" ref="B53">SUMPRODUCT((PARIS!$AA$4:'PARIS'!$AA$103=A53)*PARIS!$AD$4:$AD$103)+SUMPRODUCT((PARIS!$AB$4:'PARIS'!$AB$103=A53)*PARIS!$AD$4:$AD$103)+SUMPRODUCT((PARIS!$AU$4:'PARIS'!$AU$103=A53)*PARIS!$AX$4:$AX$103)</f>
        <v>21288.959999999995</v>
      </c>
      <c r="C53" s="139" cm="1">
        <f t="array" ref="C53">SUMPRODUCT((PARIS!$AA$4:'PARIS'!$AA$103=A53)*PARIS!$AE$4:$AE$103)+SUMPRODUCT((PARIS!$AB$4:'PARIS'!$AB$103=A53)*PARIS!$AE$4:$AE$103)+SUMPRODUCT((PARIS!$AU$4:'PARIS'!$AU$103=A53)*PARIS!$AY$4:$AY$103)</f>
        <v>406.77119999999996</v>
      </c>
      <c r="D53" s="136" cm="1">
        <f t="array" ref="D53">SUMPRODUCT((PARIS!$AA$4:'PARIS'!$AA$103=A53)*PARIS!$AF$4:$AF$103)+SUMPRODUCT((PARIS!$AB$4:'PARIS'!$AB$103=A53)*PARIS!$AF$4:$AF$103)+SUMPRODUCT((PARIS!$AU$4:'PARIS'!$AU$103=A53)*PARIS!$AV$4:$AV$103)</f>
        <v>57.024000000000001</v>
      </c>
      <c r="E53" s="136" cm="1">
        <f t="array" ref="E53">SUMPRODUCT((PARIS!$AA$4:'PARIS'!$AA$103=A53)*PARIS!$AG$4:$AG$103)+SUMPRODUCT((PARIS!$AB$4:'PARIS'!$AB$103=A53)*PARIS!$AG$4:$AG$103)+SUMPRODUCT((PARIS!$AU$4:'PARIS'!$AU$103=A53)*PARIS!$AW$4:$AW$103)</f>
        <v>349.74719999999996</v>
      </c>
      <c r="F53" s="136" cm="1">
        <f t="array" ref="F53">SUMPRODUCT((PARIS!$AA$4:'PARIS'!$AA$103=A53)*PARIS!$AH$4:$AH$103)+SUMPRODUCT((PARIS!$AB$4:'PARIS'!$AB$103=A53)*PARIS!$AH$4:$AH$103)+SUMPRODUCT((PARIS!$AU$4:'PARIS'!$AU$103=A53)*PARIS!$AZ$4:$AZ$103)</f>
        <v>44.774399999999993</v>
      </c>
      <c r="G53" s="136" cm="1">
        <f t="array" ref="G53">SUMPRODUCT((PARIS!$AA$4:'PARIS'!$AA$103=A53)*PARIS!$AI$4:$AI$103)+SUMPRODUCT((PARIS!$AB$4:'PARIS'!$AB$103=A53)*PARIS!$AI$4:$AI$103)+SUMPRODUCT((PARIS!$AU$4:'PARIS'!$AU$103=A53)*PARIS!$BA$4:$BA$103)</f>
        <v>27.878399999999999</v>
      </c>
      <c r="H53" s="115"/>
      <c r="I53" s="139">
        <f t="shared" si="3"/>
        <v>2105.9675999999999</v>
      </c>
      <c r="J53" s="136">
        <f t="shared" si="2"/>
        <v>1319.8842</v>
      </c>
      <c r="K53" s="136">
        <f t="shared" si="2"/>
        <v>786.08339999999998</v>
      </c>
      <c r="L53" s="136">
        <f t="shared" si="2"/>
        <v>171.5138</v>
      </c>
      <c r="M53" s="136">
        <f t="shared" si="2"/>
        <v>59.110599999999998</v>
      </c>
      <c r="N53" s="115"/>
      <c r="O53" s="131"/>
      <c r="P53" s="131"/>
      <c r="Q53" s="131"/>
      <c r="R53" s="115"/>
      <c r="S53" s="131"/>
      <c r="T53" s="131"/>
      <c r="U53" s="131"/>
      <c r="V53" s="115"/>
      <c r="W53" s="128"/>
      <c r="X53" s="128"/>
      <c r="Y53" s="128"/>
      <c r="Z53" s="126"/>
      <c r="AA53" s="126"/>
      <c r="AB53" s="126"/>
      <c r="AC53" s="115"/>
      <c r="AD53" s="126"/>
      <c r="AE53" s="126"/>
      <c r="AF53" s="126"/>
      <c r="AG53" s="115"/>
      <c r="AH53" s="128"/>
      <c r="AI53" s="128"/>
      <c r="AJ53" s="128"/>
      <c r="AK53" s="126"/>
      <c r="AL53" s="126"/>
      <c r="AM53" s="126"/>
      <c r="AN53" s="115"/>
      <c r="AO53" s="131"/>
      <c r="AP53" s="131"/>
      <c r="AQ53" s="131"/>
      <c r="AR53" s="115"/>
      <c r="AS53" s="131"/>
      <c r="AT53" s="131"/>
      <c r="AU53" s="131"/>
      <c r="AV53" s="115"/>
      <c r="AW53" s="126"/>
      <c r="AX53" s="126"/>
      <c r="AY53" s="126"/>
      <c r="AZ53" s="115"/>
      <c r="BA53" s="126"/>
      <c r="BB53" s="126"/>
      <c r="BC53" s="126"/>
      <c r="BD53" s="115"/>
    </row>
    <row r="54" spans="1:56" x14ac:dyDescent="0.25">
      <c r="A54" s="94">
        <v>1999</v>
      </c>
      <c r="B54" s="139" cm="1">
        <f t="array" ref="B54">SUMPRODUCT((PARIS!$AA$4:'PARIS'!$AA$103=A54)*PARIS!$AD$4:$AD$103)+SUMPRODUCT((PARIS!$AB$4:'PARIS'!$AB$103=A54)*PARIS!$AD$4:$AD$103)+SUMPRODUCT((PARIS!$AU$4:'PARIS'!$AU$103=A54)*PARIS!$AX$4:$AX$103)</f>
        <v>20352</v>
      </c>
      <c r="C54" s="139" cm="1">
        <f t="array" ref="C54">SUMPRODUCT((PARIS!$AA$4:'PARIS'!$AA$103=A54)*PARIS!$AE$4:$AE$103)+SUMPRODUCT((PARIS!$AB$4:'PARIS'!$AB$103=A54)*PARIS!$AE$4:$AE$103)+SUMPRODUCT((PARIS!$AU$4:'PARIS'!$AU$103=A54)*PARIS!$AY$4:$AY$103)</f>
        <v>394.94</v>
      </c>
      <c r="D54" s="136" cm="1">
        <f t="array" ref="D54">SUMPRODUCT((PARIS!$AA$4:'PARIS'!$AA$103=A54)*PARIS!$AF$4:$AF$103)+SUMPRODUCT((PARIS!$AB$4:'PARIS'!$AB$103=A54)*PARIS!$AF$4:$AF$103)+SUMPRODUCT((PARIS!$AU$4:'PARIS'!$AU$103=A54)*PARIS!$AV$4:$AV$103)</f>
        <v>36.299999999999997</v>
      </c>
      <c r="E54" s="136" cm="1">
        <f t="array" ref="E54">SUMPRODUCT((PARIS!$AA$4:'PARIS'!$AA$103=A54)*PARIS!$AG$4:$AG$103)+SUMPRODUCT((PARIS!$AB$4:'PARIS'!$AB$103=A54)*PARIS!$AG$4:$AG$103)+SUMPRODUCT((PARIS!$AU$4:'PARIS'!$AU$103=A54)*PARIS!$AW$4:$AW$103)</f>
        <v>358.64</v>
      </c>
      <c r="F54" s="136" cm="1">
        <f t="array" ref="F54">SUMPRODUCT((PARIS!$AA$4:'PARIS'!$AA$103=A54)*PARIS!$AH$4:$AH$103)+SUMPRODUCT((PARIS!$AB$4:'PARIS'!$AB$103=A54)*PARIS!$AH$4:$AH$103)+SUMPRODUCT((PARIS!$AU$4:'PARIS'!$AU$103=A54)*PARIS!$AZ$4:$AZ$103)</f>
        <v>22.295000000000002</v>
      </c>
      <c r="G54" s="136" cm="1">
        <f t="array" ref="G54">SUMPRODUCT((PARIS!$AA$4:'PARIS'!$AA$103=A54)*PARIS!$AI$4:$AI$103)+SUMPRODUCT((PARIS!$AB$4:'PARIS'!$AB$103=A54)*PARIS!$AI$4:$AI$103)+SUMPRODUCT((PARIS!$AU$4:'PARIS'!$AU$103=A54)*PARIS!$BA$4:$BA$103)</f>
        <v>23.909333333333333</v>
      </c>
      <c r="H54" s="115"/>
      <c r="I54" s="139">
        <f t="shared" si="3"/>
        <v>2500.9076</v>
      </c>
      <c r="J54" s="136">
        <f t="shared" si="2"/>
        <v>1356.1841999999999</v>
      </c>
      <c r="K54" s="136">
        <f t="shared" si="2"/>
        <v>1144.7233999999999</v>
      </c>
      <c r="L54" s="136">
        <f t="shared" si="2"/>
        <v>193.80880000000002</v>
      </c>
      <c r="M54" s="136">
        <f t="shared" si="2"/>
        <v>83.019933333333327</v>
      </c>
      <c r="N54" s="115"/>
      <c r="O54" s="131"/>
      <c r="P54" s="131"/>
      <c r="Q54" s="131"/>
      <c r="R54" s="115"/>
      <c r="S54" s="131"/>
      <c r="T54" s="131"/>
      <c r="U54" s="131"/>
      <c r="V54" s="115"/>
      <c r="W54" s="128"/>
      <c r="X54" s="128"/>
      <c r="Y54" s="128"/>
      <c r="Z54" s="126"/>
      <c r="AA54" s="126"/>
      <c r="AB54" s="126"/>
      <c r="AC54" s="115"/>
      <c r="AD54" s="126"/>
      <c r="AE54" s="126"/>
      <c r="AF54" s="126"/>
      <c r="AG54" s="115"/>
      <c r="AH54" s="128"/>
      <c r="AI54" s="128"/>
      <c r="AJ54" s="128"/>
      <c r="AK54" s="126"/>
      <c r="AL54" s="126"/>
      <c r="AM54" s="126"/>
      <c r="AN54" s="115"/>
      <c r="AO54" s="131"/>
      <c r="AP54" s="131"/>
      <c r="AQ54" s="131"/>
      <c r="AR54" s="115"/>
      <c r="AS54" s="131"/>
      <c r="AT54" s="131"/>
      <c r="AU54" s="131"/>
      <c r="AV54" s="115"/>
      <c r="AW54" s="126"/>
      <c r="AX54" s="126"/>
      <c r="AY54" s="126"/>
      <c r="AZ54" s="115"/>
      <c r="BA54" s="126"/>
      <c r="BB54" s="126"/>
      <c r="BC54" s="126"/>
      <c r="BD54" s="115"/>
    </row>
    <row r="55" spans="1:56" x14ac:dyDescent="0.25">
      <c r="A55" s="94">
        <v>2000</v>
      </c>
      <c r="B55" s="139" cm="1">
        <f t="array" ref="B55">SUMPRODUCT((PARIS!$AA$4:'PARIS'!$AA$103=A55)*PARIS!$AD$4:$AD$103)+SUMPRODUCT((PARIS!$AB$4:'PARIS'!$AB$103=A55)*PARIS!$AD$4:$AD$103)+SUMPRODUCT((PARIS!$AU$4:'PARIS'!$AU$103=A55)*PARIS!$AX$4:$AX$103)</f>
        <v>10910</v>
      </c>
      <c r="C55" s="139" cm="1">
        <f t="array" ref="C55">SUMPRODUCT((PARIS!$AA$4:'PARIS'!$AA$103=A55)*PARIS!$AE$4:$AE$103)+SUMPRODUCT((PARIS!$AB$4:'PARIS'!$AB$103=A55)*PARIS!$AE$4:$AE$103)+SUMPRODUCT((PARIS!$AU$4:'PARIS'!$AU$103=A55)*PARIS!$AY$4:$AY$103)</f>
        <v>143.5</v>
      </c>
      <c r="D55" s="136" cm="1">
        <f t="array" ref="D55">SUMPRODUCT((PARIS!$AA$4:'PARIS'!$AA$103=A55)*PARIS!$AF$4:$AF$103)+SUMPRODUCT((PARIS!$AB$4:'PARIS'!$AB$103=A55)*PARIS!$AF$4:$AF$103)+SUMPRODUCT((PARIS!$AU$4:'PARIS'!$AU$103=A55)*PARIS!$AV$4:$AV$103)</f>
        <v>0</v>
      </c>
      <c r="E55" s="136" cm="1">
        <f t="array" ref="E55">SUMPRODUCT((PARIS!$AA$4:'PARIS'!$AA$103=A55)*PARIS!$AG$4:$AG$103)+SUMPRODUCT((PARIS!$AB$4:'PARIS'!$AB$103=A55)*PARIS!$AG$4:$AG$103)+SUMPRODUCT((PARIS!$AU$4:'PARIS'!$AU$103=A55)*PARIS!$AW$4:$AW$103)</f>
        <v>143.5</v>
      </c>
      <c r="F55" s="136" cm="1">
        <f t="array" ref="F55">SUMPRODUCT((PARIS!$AA$4:'PARIS'!$AA$103=A55)*PARIS!$AH$4:$AH$103)+SUMPRODUCT((PARIS!$AB$4:'PARIS'!$AB$103=A55)*PARIS!$AH$4:$AH$103)+SUMPRODUCT((PARIS!$AU$4:'PARIS'!$AU$103=A55)*PARIS!$AZ$4:$AZ$103)</f>
        <v>14.78</v>
      </c>
      <c r="G55" s="136" cm="1">
        <f t="array" ref="G55">SUMPRODUCT((PARIS!$AA$4:'PARIS'!$AA$103=A55)*PARIS!$AI$4:$AI$103)+SUMPRODUCT((PARIS!$AB$4:'PARIS'!$AB$103=A55)*PARIS!$AI$4:$AI$103)+SUMPRODUCT((PARIS!$AU$4:'PARIS'!$AU$103=A55)*PARIS!$BA$4:$BA$103)</f>
        <v>14.78</v>
      </c>
      <c r="H55" s="115"/>
      <c r="I55" s="139">
        <f t="shared" si="3"/>
        <v>2644.4076</v>
      </c>
      <c r="J55" s="136">
        <f t="shared" si="2"/>
        <v>1356.1841999999999</v>
      </c>
      <c r="K55" s="136">
        <f t="shared" si="2"/>
        <v>1288.2233999999999</v>
      </c>
      <c r="L55" s="136">
        <f t="shared" si="2"/>
        <v>208.58880000000002</v>
      </c>
      <c r="M55" s="136">
        <f t="shared" si="2"/>
        <v>97.799933333333328</v>
      </c>
      <c r="N55" s="115"/>
      <c r="O55" s="131"/>
      <c r="P55" s="131"/>
      <c r="Q55" s="131"/>
      <c r="R55" s="115"/>
      <c r="S55" s="131"/>
      <c r="T55" s="131"/>
      <c r="U55" s="131"/>
      <c r="V55" s="115"/>
      <c r="W55" s="128"/>
      <c r="X55" s="128"/>
      <c r="Y55" s="128"/>
      <c r="Z55" s="126"/>
      <c r="AA55" s="126"/>
      <c r="AB55" s="126"/>
      <c r="AC55" s="115"/>
      <c r="AD55" s="126"/>
      <c r="AE55" s="126"/>
      <c r="AF55" s="126"/>
      <c r="AG55" s="115"/>
      <c r="AH55" s="128"/>
      <c r="AI55" s="128"/>
      <c r="AJ55" s="128"/>
      <c r="AK55" s="126"/>
      <c r="AL55" s="126"/>
      <c r="AM55" s="126"/>
      <c r="AN55" s="115"/>
      <c r="AO55" s="131"/>
      <c r="AP55" s="131"/>
      <c r="AQ55" s="131"/>
      <c r="AR55" s="115"/>
      <c r="AS55" s="131"/>
      <c r="AT55" s="131"/>
      <c r="AU55" s="131"/>
      <c r="AV55" s="115"/>
      <c r="AW55" s="126"/>
      <c r="AX55" s="126"/>
      <c r="AY55" s="126"/>
      <c r="AZ55" s="115"/>
      <c r="BA55" s="126"/>
      <c r="BB55" s="126"/>
      <c r="BC55" s="126"/>
      <c r="BD55" s="115"/>
    </row>
    <row r="56" spans="1:56" x14ac:dyDescent="0.25">
      <c r="A56" s="94">
        <v>2001</v>
      </c>
      <c r="B56" s="139" cm="1">
        <f t="array" ref="B56">SUMPRODUCT((PARIS!$AA$4:'PARIS'!$AA$103=A56)*PARIS!$AD$4:$AD$103)+SUMPRODUCT((PARIS!$AB$4:'PARIS'!$AB$103=A56)*PARIS!$AD$4:$AD$103)+SUMPRODUCT((PARIS!$AU$4:'PARIS'!$AU$103=A56)*PARIS!$AX$4:$AX$103)</f>
        <v>0</v>
      </c>
      <c r="C56" s="139" cm="1">
        <f t="array" ref="C56">SUMPRODUCT((PARIS!$AA$4:'PARIS'!$AA$103=A56)*PARIS!$AE$4:$AE$103)+SUMPRODUCT((PARIS!$AB$4:'PARIS'!$AB$103=A56)*PARIS!$AE$4:$AE$103)+SUMPRODUCT((PARIS!$AU$4:'PARIS'!$AU$103=A56)*PARIS!$AY$4:$AY$103)</f>
        <v>0</v>
      </c>
      <c r="D56" s="136" cm="1">
        <f t="array" ref="D56">SUMPRODUCT((PARIS!$AA$4:'PARIS'!$AA$103=A56)*PARIS!$AF$4:$AF$103)+SUMPRODUCT((PARIS!$AB$4:'PARIS'!$AB$103=A56)*PARIS!$AF$4:$AF$103)+SUMPRODUCT((PARIS!$AU$4:'PARIS'!$AU$103=A56)*PARIS!$AV$4:$AV$103)</f>
        <v>0</v>
      </c>
      <c r="E56" s="136" cm="1">
        <f t="array" ref="E56">SUMPRODUCT((PARIS!$AA$4:'PARIS'!$AA$103=A56)*PARIS!$AG$4:$AG$103)+SUMPRODUCT((PARIS!$AB$4:'PARIS'!$AB$103=A56)*PARIS!$AG$4:$AG$103)+SUMPRODUCT((PARIS!$AU$4:'PARIS'!$AU$103=A56)*PARIS!$AW$4:$AW$103)</f>
        <v>0</v>
      </c>
      <c r="F56" s="136" cm="1">
        <f t="array" ref="F56">SUMPRODUCT((PARIS!$AA$4:'PARIS'!$AA$103=A56)*PARIS!$AH$4:$AH$103)+SUMPRODUCT((PARIS!$AB$4:'PARIS'!$AB$103=A56)*PARIS!$AH$4:$AH$103)+SUMPRODUCT((PARIS!$AU$4:'PARIS'!$AU$103=A56)*PARIS!$AZ$4:$AZ$103)</f>
        <v>0</v>
      </c>
      <c r="G56" s="136" cm="1">
        <f t="array" ref="G56">SUMPRODUCT((PARIS!$AA$4:'PARIS'!$AA$103=A56)*PARIS!$AI$4:$AI$103)+SUMPRODUCT((PARIS!$AB$4:'PARIS'!$AB$103=A56)*PARIS!$AI$4:$AI$103)+SUMPRODUCT((PARIS!$AU$4:'PARIS'!$AU$103=A56)*PARIS!$BA$4:$BA$103)</f>
        <v>0</v>
      </c>
      <c r="H56" s="115"/>
      <c r="I56" s="139">
        <f t="shared" si="3"/>
        <v>2644.4076</v>
      </c>
      <c r="J56" s="136">
        <f t="shared" si="2"/>
        <v>1356.1841999999999</v>
      </c>
      <c r="K56" s="136">
        <f t="shared" si="2"/>
        <v>1288.2233999999999</v>
      </c>
      <c r="L56" s="136">
        <f t="shared" si="2"/>
        <v>208.58880000000002</v>
      </c>
      <c r="M56" s="136">
        <f t="shared" si="2"/>
        <v>97.799933333333328</v>
      </c>
      <c r="N56" s="115"/>
      <c r="O56" s="131"/>
      <c r="P56" s="131"/>
      <c r="Q56" s="131"/>
      <c r="R56" s="115"/>
      <c r="S56" s="131"/>
      <c r="T56" s="131"/>
      <c r="U56" s="131"/>
      <c r="V56" s="115"/>
      <c r="W56" s="128"/>
      <c r="X56" s="128"/>
      <c r="Y56" s="128"/>
      <c r="Z56" s="126"/>
      <c r="AA56" s="126"/>
      <c r="AB56" s="126"/>
      <c r="AC56" s="115"/>
      <c r="AD56" s="126"/>
      <c r="AE56" s="126"/>
      <c r="AF56" s="126"/>
      <c r="AG56" s="115"/>
      <c r="AH56" s="128"/>
      <c r="AI56" s="128"/>
      <c r="AJ56" s="128"/>
      <c r="AK56" s="126"/>
      <c r="AL56" s="126"/>
      <c r="AM56" s="126"/>
      <c r="AN56" s="115"/>
      <c r="AO56" s="131"/>
      <c r="AP56" s="131"/>
      <c r="AQ56" s="131"/>
      <c r="AR56" s="115"/>
      <c r="AS56" s="131"/>
      <c r="AT56" s="131"/>
      <c r="AU56" s="131"/>
      <c r="AV56" s="115"/>
      <c r="AW56" s="126"/>
      <c r="AX56" s="126"/>
      <c r="AY56" s="126"/>
      <c r="AZ56" s="115"/>
      <c r="BA56" s="126"/>
      <c r="BB56" s="126"/>
      <c r="BC56" s="126"/>
      <c r="BD56" s="115"/>
    </row>
    <row r="57" spans="1:56" x14ac:dyDescent="0.25">
      <c r="A57" s="94">
        <v>2002</v>
      </c>
      <c r="B57" s="139" cm="1">
        <f t="array" ref="B57">SUMPRODUCT((PARIS!$AA$4:'PARIS'!$AA$103=A57)*PARIS!$AD$4:$AD$103)+SUMPRODUCT((PARIS!$AB$4:'PARIS'!$AB$103=A57)*PARIS!$AD$4:$AD$103)+SUMPRODUCT((PARIS!$AU$4:'PARIS'!$AU$103=A57)*PARIS!$AX$4:$AX$103)</f>
        <v>16034.24</v>
      </c>
      <c r="C57" s="139" cm="1">
        <f t="array" ref="C57">SUMPRODUCT((PARIS!$AA$4:'PARIS'!$AA$103=A57)*PARIS!$AE$4:$AE$103)+SUMPRODUCT((PARIS!$AB$4:'PARIS'!$AB$103=A57)*PARIS!$AE$4:$AE$103)+SUMPRODUCT((PARIS!$AU$4:'PARIS'!$AU$103=A57)*PARIS!$AY$4:$AY$103)</f>
        <v>293.053</v>
      </c>
      <c r="D57" s="136" cm="1">
        <f t="array" ref="D57">SUMPRODUCT((PARIS!$AA$4:'PARIS'!$AA$103=A57)*PARIS!$AF$4:$AF$103)+SUMPRODUCT((PARIS!$AB$4:'PARIS'!$AB$103=A57)*PARIS!$AF$4:$AF$103)+SUMPRODUCT((PARIS!$AU$4:'PARIS'!$AU$103=A57)*PARIS!$AV$4:$AV$103)</f>
        <v>0</v>
      </c>
      <c r="E57" s="136" cm="1">
        <f t="array" ref="E57">SUMPRODUCT((PARIS!$AA$4:'PARIS'!$AA$103=A57)*PARIS!$AG$4:$AG$103)+SUMPRODUCT((PARIS!$AB$4:'PARIS'!$AB$103=A57)*PARIS!$AG$4:$AG$103)+SUMPRODUCT((PARIS!$AU$4:'PARIS'!$AU$103=A57)*PARIS!$AW$4:$AW$103)</f>
        <v>293.053</v>
      </c>
      <c r="F57" s="136" cm="1">
        <f t="array" ref="F57">SUMPRODUCT((PARIS!$AA$4:'PARIS'!$AA$103=A57)*PARIS!$AH$4:$AH$103)+SUMPRODUCT((PARIS!$AB$4:'PARIS'!$AB$103=A57)*PARIS!$AH$4:$AH$103)+SUMPRODUCT((PARIS!$AU$4:'PARIS'!$AU$103=A57)*PARIS!$AZ$4:$AZ$103)</f>
        <v>24.140799999999999</v>
      </c>
      <c r="G57" s="136" cm="1">
        <f t="array" ref="G57">SUMPRODUCT((PARIS!$AA$4:'PARIS'!$AA$103=A57)*PARIS!$AI$4:$AI$103)+SUMPRODUCT((PARIS!$AB$4:'PARIS'!$AB$103=A57)*PARIS!$AI$4:$AI$103)+SUMPRODUCT((PARIS!$AU$4:'PARIS'!$AU$103=A57)*PARIS!$BA$4:$BA$103)</f>
        <v>24.140799999999999</v>
      </c>
      <c r="H57" s="115"/>
      <c r="I57" s="139">
        <f t="shared" si="3"/>
        <v>2937.4605999999999</v>
      </c>
      <c r="J57" s="136">
        <f t="shared" si="2"/>
        <v>1356.1841999999999</v>
      </c>
      <c r="K57" s="136">
        <f t="shared" si="2"/>
        <v>1581.2763999999997</v>
      </c>
      <c r="L57" s="136">
        <f t="shared" si="2"/>
        <v>232.7296</v>
      </c>
      <c r="M57" s="136">
        <f t="shared" si="2"/>
        <v>121.94073333333333</v>
      </c>
      <c r="N57" s="115"/>
      <c r="O57" s="131"/>
      <c r="P57" s="131"/>
      <c r="Q57" s="131"/>
      <c r="R57" s="115"/>
      <c r="S57" s="131"/>
      <c r="T57" s="131"/>
      <c r="U57" s="131"/>
      <c r="V57" s="115"/>
      <c r="W57" s="128"/>
      <c r="X57" s="128"/>
      <c r="Y57" s="128"/>
      <c r="Z57" s="126"/>
      <c r="AA57" s="126"/>
      <c r="AB57" s="126"/>
      <c r="AC57" s="115"/>
      <c r="AD57" s="126"/>
      <c r="AE57" s="126"/>
      <c r="AF57" s="126"/>
      <c r="AG57" s="115"/>
      <c r="AH57" s="128"/>
      <c r="AI57" s="128"/>
      <c r="AJ57" s="128"/>
      <c r="AK57" s="126"/>
      <c r="AL57" s="126"/>
      <c r="AM57" s="126"/>
      <c r="AN57" s="115"/>
      <c r="AO57" s="131"/>
      <c r="AP57" s="131"/>
      <c r="AQ57" s="131"/>
      <c r="AR57" s="115"/>
      <c r="AS57" s="131"/>
      <c r="AT57" s="131"/>
      <c r="AU57" s="131"/>
      <c r="AV57" s="115"/>
      <c r="AW57" s="126"/>
      <c r="AX57" s="126"/>
      <c r="AY57" s="126"/>
      <c r="AZ57" s="115"/>
      <c r="BA57" s="126"/>
      <c r="BB57" s="126"/>
      <c r="BC57" s="126"/>
      <c r="BD57" s="115"/>
    </row>
    <row r="58" spans="1:56" x14ac:dyDescent="0.25">
      <c r="A58" s="94">
        <v>2003</v>
      </c>
      <c r="B58" s="139" cm="1">
        <f t="array" ref="B58">SUMPRODUCT((PARIS!$AA$4:'PARIS'!$AA$103=A58)*PARIS!$AD$4:$AD$103)+SUMPRODUCT((PARIS!$AB$4:'PARIS'!$AB$103=A58)*PARIS!$AD$4:$AD$103)+SUMPRODUCT((PARIS!$AU$4:'PARIS'!$AU$103=A58)*PARIS!$AX$4:$AX$103)</f>
        <v>34921.360000000001</v>
      </c>
      <c r="C58" s="139" cm="1">
        <f t="array" ref="C58">SUMPRODUCT((PARIS!$AA$4:'PARIS'!$AA$103=A58)*PARIS!$AE$4:$AE$103)+SUMPRODUCT((PARIS!$AB$4:'PARIS'!$AB$103=A58)*PARIS!$AE$4:$AE$103)+SUMPRODUCT((PARIS!$AU$4:'PARIS'!$AU$103=A58)*PARIS!$AY$4:$AY$103)</f>
        <v>678.06319999999994</v>
      </c>
      <c r="D58" s="136" cm="1">
        <f t="array" ref="D58">SUMPRODUCT((PARIS!$AA$4:'PARIS'!$AA$103=A58)*PARIS!$AF$4:$AF$103)+SUMPRODUCT((PARIS!$AB$4:'PARIS'!$AB$103=A58)*PARIS!$AF$4:$AF$103)+SUMPRODUCT((PARIS!$AU$4:'PARIS'!$AU$103=A58)*PARIS!$AV$4:$AV$103)</f>
        <v>118.2456</v>
      </c>
      <c r="E58" s="136" cm="1">
        <f t="array" ref="E58">SUMPRODUCT((PARIS!$AA$4:'PARIS'!$AA$103=A58)*PARIS!$AG$4:$AG$103)+SUMPRODUCT((PARIS!$AB$4:'PARIS'!$AB$103=A58)*PARIS!$AG$4:$AG$103)+SUMPRODUCT((PARIS!$AU$4:'PARIS'!$AU$103=A58)*PARIS!$AW$4:$AW$103)</f>
        <v>559.81759999999997</v>
      </c>
      <c r="F58" s="136" cm="1">
        <f t="array" ref="F58">SUMPRODUCT((PARIS!$AA$4:'PARIS'!$AA$103=A58)*PARIS!$AH$4:$AH$103)+SUMPRODUCT((PARIS!$AB$4:'PARIS'!$AB$103=A58)*PARIS!$AH$4:$AH$103)+SUMPRODUCT((PARIS!$AU$4:'PARIS'!$AU$103=A58)*PARIS!$AZ$4:$AZ$103)</f>
        <v>47.788000000000004</v>
      </c>
      <c r="G58" s="136" cm="1">
        <f t="array" ref="G58">SUMPRODUCT((PARIS!$AA$4:'PARIS'!$AA$103=A58)*PARIS!$AI$4:$AI$103)+SUMPRODUCT((PARIS!$AB$4:'PARIS'!$AB$103=A58)*PARIS!$AI$4:$AI$103)+SUMPRODUCT((PARIS!$AU$4:'PARIS'!$AU$103=A58)*PARIS!$BA$4:$BA$103)</f>
        <v>34.619733333333336</v>
      </c>
      <c r="H58" s="115"/>
      <c r="I58" s="139">
        <f t="shared" si="3"/>
        <v>3615.5237999999999</v>
      </c>
      <c r="J58" s="136">
        <f t="shared" ref="J58:M108" si="4">D58+J57</f>
        <v>1474.4297999999999</v>
      </c>
      <c r="K58" s="136">
        <f t="shared" si="4"/>
        <v>2141.0939999999996</v>
      </c>
      <c r="L58" s="136">
        <f t="shared" si="4"/>
        <v>280.51760000000002</v>
      </c>
      <c r="M58" s="136">
        <f t="shared" si="4"/>
        <v>156.56046666666666</v>
      </c>
      <c r="N58" s="115"/>
      <c r="O58" s="131"/>
      <c r="P58" s="131"/>
      <c r="Q58" s="131"/>
      <c r="R58" s="115"/>
      <c r="S58" s="131"/>
      <c r="T58" s="131"/>
      <c r="U58" s="131"/>
      <c r="V58" s="115"/>
      <c r="W58" s="128"/>
      <c r="X58" s="128"/>
      <c r="Y58" s="128"/>
      <c r="Z58" s="126"/>
      <c r="AA58" s="126"/>
      <c r="AB58" s="126"/>
      <c r="AC58" s="115"/>
      <c r="AD58" s="126"/>
      <c r="AE58" s="126"/>
      <c r="AF58" s="126"/>
      <c r="AG58" s="115"/>
      <c r="AH58" s="128"/>
      <c r="AI58" s="128"/>
      <c r="AJ58" s="128"/>
      <c r="AK58" s="126"/>
      <c r="AL58" s="126"/>
      <c r="AM58" s="126"/>
      <c r="AN58" s="115"/>
      <c r="AO58" s="131"/>
      <c r="AP58" s="131"/>
      <c r="AQ58" s="131"/>
      <c r="AR58" s="115"/>
      <c r="AS58" s="131"/>
      <c r="AT58" s="131"/>
      <c r="AU58" s="131"/>
      <c r="AV58" s="115"/>
      <c r="AW58" s="126"/>
      <c r="AX58" s="126"/>
      <c r="AY58" s="126"/>
      <c r="AZ58" s="115"/>
      <c r="BA58" s="126"/>
      <c r="BB58" s="126"/>
      <c r="BC58" s="126"/>
      <c r="BD58" s="115"/>
    </row>
    <row r="59" spans="1:56" x14ac:dyDescent="0.25">
      <c r="A59" s="94">
        <v>2004</v>
      </c>
      <c r="B59" s="139" cm="1">
        <f t="array" ref="B59">SUMPRODUCT((PARIS!$AA$4:'PARIS'!$AA$103=A59)*PARIS!$AD$4:$AD$103)+SUMPRODUCT((PARIS!$AB$4:'PARIS'!$AB$103=A59)*PARIS!$AD$4:$AD$103)+SUMPRODUCT((PARIS!$AU$4:'PARIS'!$AU$103=A59)*PARIS!$AX$4:$AX$103)</f>
        <v>13330</v>
      </c>
      <c r="C59" s="139" cm="1">
        <f t="array" ref="C59">SUMPRODUCT((PARIS!$AA$4:'PARIS'!$AA$103=A59)*PARIS!$AE$4:$AE$103)+SUMPRODUCT((PARIS!$AB$4:'PARIS'!$AB$103=A59)*PARIS!$AE$4:$AE$103)+SUMPRODUCT((PARIS!$AU$4:'PARIS'!$AU$103=A59)*PARIS!$AY$4:$AY$103)</f>
        <v>260.15000000000003</v>
      </c>
      <c r="D59" s="136" cm="1">
        <f t="array" ref="D59">SUMPRODUCT((PARIS!$AA$4:'PARIS'!$AA$103=A59)*PARIS!$AF$4:$AF$103)+SUMPRODUCT((PARIS!$AB$4:'PARIS'!$AB$103=A59)*PARIS!$AF$4:$AF$103)+SUMPRODUCT((PARIS!$AU$4:'PARIS'!$AU$103=A59)*PARIS!$AV$4:$AV$103)</f>
        <v>19.350000000000001</v>
      </c>
      <c r="E59" s="136" cm="1">
        <f t="array" ref="E59">SUMPRODUCT((PARIS!$AA$4:'PARIS'!$AA$103=A59)*PARIS!$AG$4:$AG$103)+SUMPRODUCT((PARIS!$AB$4:'PARIS'!$AB$103=A59)*PARIS!$AG$4:$AG$103)+SUMPRODUCT((PARIS!$AU$4:'PARIS'!$AU$103=A59)*PARIS!$AW$4:$AW$103)</f>
        <v>240.8</v>
      </c>
      <c r="F59" s="136" cm="1">
        <f t="array" ref="F59">SUMPRODUCT((PARIS!$AA$4:'PARIS'!$AA$103=A59)*PARIS!$AH$4:$AH$103)+SUMPRODUCT((PARIS!$AB$4:'PARIS'!$AB$103=A59)*PARIS!$AH$4:$AH$103)+SUMPRODUCT((PARIS!$AU$4:'PARIS'!$AU$103=A59)*PARIS!$AZ$4:$AZ$103)</f>
        <v>16.053333333333335</v>
      </c>
      <c r="G59" s="136" cm="1">
        <f t="array" ref="G59">SUMPRODUCT((PARIS!$AA$4:'PARIS'!$AA$103=A59)*PARIS!$AI$4:$AI$103)+SUMPRODUCT((PARIS!$AB$4:'PARIS'!$AB$103=A59)*PARIS!$AI$4:$AI$103)+SUMPRODUCT((PARIS!$AU$4:'PARIS'!$AU$103=A59)*PARIS!$BA$4:$BA$103)</f>
        <v>16.053333333333335</v>
      </c>
      <c r="H59" s="115"/>
      <c r="I59" s="139">
        <f t="shared" si="3"/>
        <v>3875.6738</v>
      </c>
      <c r="J59" s="136">
        <f t="shared" si="4"/>
        <v>1493.7797999999998</v>
      </c>
      <c r="K59" s="136">
        <f t="shared" si="4"/>
        <v>2381.8939999999998</v>
      </c>
      <c r="L59" s="136">
        <f t="shared" si="4"/>
        <v>296.57093333333336</v>
      </c>
      <c r="M59" s="136">
        <f t="shared" si="4"/>
        <v>172.6138</v>
      </c>
      <c r="N59" s="115"/>
      <c r="O59" s="131"/>
      <c r="P59" s="131"/>
      <c r="Q59" s="131"/>
      <c r="R59" s="115"/>
      <c r="S59" s="131"/>
      <c r="T59" s="131"/>
      <c r="U59" s="131"/>
      <c r="V59" s="115"/>
      <c r="W59" s="128"/>
      <c r="X59" s="128"/>
      <c r="Y59" s="128"/>
      <c r="Z59" s="126"/>
      <c r="AA59" s="126"/>
      <c r="AB59" s="126"/>
      <c r="AC59" s="115"/>
      <c r="AD59" s="126"/>
      <c r="AE59" s="126"/>
      <c r="AF59" s="126"/>
      <c r="AG59" s="115"/>
      <c r="AH59" s="128"/>
      <c r="AI59" s="128"/>
      <c r="AJ59" s="128"/>
      <c r="AK59" s="126"/>
      <c r="AL59" s="126"/>
      <c r="AM59" s="126"/>
      <c r="AN59" s="115"/>
      <c r="AO59" s="131"/>
      <c r="AP59" s="131"/>
      <c r="AQ59" s="131"/>
      <c r="AR59" s="115"/>
      <c r="AS59" s="131"/>
      <c r="AT59" s="131"/>
      <c r="AU59" s="131"/>
      <c r="AV59" s="115"/>
      <c r="AW59" s="126"/>
      <c r="AX59" s="126"/>
      <c r="AY59" s="126"/>
      <c r="AZ59" s="115"/>
      <c r="BA59" s="126"/>
      <c r="BB59" s="126"/>
      <c r="BC59" s="126"/>
      <c r="BD59" s="115"/>
    </row>
    <row r="60" spans="1:56" x14ac:dyDescent="0.25">
      <c r="A60" s="94">
        <v>2005</v>
      </c>
      <c r="B60" s="139" cm="1">
        <f t="array" ref="B60">SUMPRODUCT((PARIS!$AA$4:'PARIS'!$AA$103=A60)*PARIS!$AD$4:$AD$103)+SUMPRODUCT((PARIS!$AB$4:'PARIS'!$AB$103=A60)*PARIS!$AD$4:$AD$103)+SUMPRODUCT((PARIS!$AU$4:'PARIS'!$AU$103=A60)*PARIS!$AX$4:$AX$103)</f>
        <v>16191.576000000001</v>
      </c>
      <c r="C60" s="139" cm="1">
        <f t="array" ref="C60">SUMPRODUCT((PARIS!$AA$4:'PARIS'!$AA$103=A60)*PARIS!$AE$4:$AE$103)+SUMPRODUCT((PARIS!$AB$4:'PARIS'!$AB$103=A60)*PARIS!$AE$4:$AE$103)+SUMPRODUCT((PARIS!$AU$4:'PARIS'!$AU$103=A60)*PARIS!$AY$4:$AY$103)</f>
        <v>202.3947</v>
      </c>
      <c r="D60" s="136" cm="1">
        <f t="array" ref="D60">SUMPRODUCT((PARIS!$AA$4:'PARIS'!$AA$103=A60)*PARIS!$AF$4:$AF$103)+SUMPRODUCT((PARIS!$AB$4:'PARIS'!$AB$103=A60)*PARIS!$AF$4:$AF$103)+SUMPRODUCT((PARIS!$AU$4:'PARIS'!$AU$103=A60)*PARIS!$AV$4:$AV$103)</f>
        <v>202.3947</v>
      </c>
      <c r="E60" s="136" cm="1">
        <f t="array" ref="E60">SUMPRODUCT((PARIS!$AA$4:'PARIS'!$AA$103=A60)*PARIS!$AG$4:$AG$103)+SUMPRODUCT((PARIS!$AB$4:'PARIS'!$AB$103=A60)*PARIS!$AG$4:$AG$103)+SUMPRODUCT((PARIS!$AU$4:'PARIS'!$AU$103=A60)*PARIS!$AW$4:$AW$103)</f>
        <v>0</v>
      </c>
      <c r="F60" s="136" cm="1">
        <f t="array" ref="F60">SUMPRODUCT((PARIS!$AA$4:'PARIS'!$AA$103=A60)*PARIS!$AH$4:$AH$103)+SUMPRODUCT((PARIS!$AB$4:'PARIS'!$AB$103=A60)*PARIS!$AH$4:$AH$103)+SUMPRODUCT((PARIS!$AU$4:'PARIS'!$AU$103=A60)*PARIS!$AZ$4:$AZ$103)</f>
        <v>41.810280000000006</v>
      </c>
      <c r="G60" s="136" cm="1">
        <f t="array" ref="G60">SUMPRODUCT((PARIS!$AA$4:'PARIS'!$AA$103=A60)*PARIS!$AI$4:$AI$103)+SUMPRODUCT((PARIS!$AB$4:'PARIS'!$AB$103=A60)*PARIS!$AI$4:$AI$103)+SUMPRODUCT((PARIS!$AU$4:'PARIS'!$AU$103=A60)*PARIS!$BA$4:$BA$103)</f>
        <v>13.2</v>
      </c>
      <c r="H60" s="115"/>
      <c r="I60" s="139">
        <f t="shared" si="3"/>
        <v>4078.0684999999999</v>
      </c>
      <c r="J60" s="136">
        <f t="shared" si="4"/>
        <v>1696.1744999999999</v>
      </c>
      <c r="K60" s="136">
        <f t="shared" si="4"/>
        <v>2381.8939999999998</v>
      </c>
      <c r="L60" s="136">
        <f t="shared" si="4"/>
        <v>338.38121333333333</v>
      </c>
      <c r="M60" s="136">
        <f t="shared" si="4"/>
        <v>185.81379999999999</v>
      </c>
      <c r="N60" s="115"/>
      <c r="O60" s="131"/>
      <c r="P60" s="131"/>
      <c r="Q60" s="131"/>
      <c r="R60" s="115"/>
      <c r="S60" s="131"/>
      <c r="T60" s="131"/>
      <c r="U60" s="131"/>
      <c r="V60" s="115"/>
      <c r="W60" s="128"/>
      <c r="X60" s="128"/>
      <c r="Y60" s="128"/>
      <c r="Z60" s="126"/>
      <c r="AA60" s="126"/>
      <c r="AB60" s="126"/>
      <c r="AC60" s="115"/>
      <c r="AD60" s="126"/>
      <c r="AE60" s="126"/>
      <c r="AF60" s="126"/>
      <c r="AG60" s="115"/>
      <c r="AH60" s="128"/>
      <c r="AI60" s="128"/>
      <c r="AJ60" s="128"/>
      <c r="AK60" s="126"/>
      <c r="AL60" s="126"/>
      <c r="AM60" s="126"/>
      <c r="AN60" s="115"/>
      <c r="AO60" s="131"/>
      <c r="AP60" s="131"/>
      <c r="AQ60" s="131"/>
      <c r="AR60" s="115"/>
      <c r="AS60" s="131"/>
      <c r="AT60" s="131"/>
      <c r="AU60" s="131"/>
      <c r="AV60" s="115"/>
      <c r="AW60" s="126"/>
      <c r="AX60" s="126"/>
      <c r="AY60" s="126"/>
      <c r="AZ60" s="115"/>
      <c r="BA60" s="126"/>
      <c r="BB60" s="126"/>
      <c r="BC60" s="126"/>
      <c r="BD60" s="115"/>
    </row>
    <row r="61" spans="1:56" x14ac:dyDescent="0.25">
      <c r="A61" s="94">
        <v>2006</v>
      </c>
      <c r="B61" s="139" cm="1">
        <f t="array" ref="B61">SUMPRODUCT((PARIS!$AA$4:'PARIS'!$AA$103=A61)*PARIS!$AD$4:$AD$103)+SUMPRODUCT((PARIS!$AB$4:'PARIS'!$AB$103=A61)*PARIS!$AD$4:$AD$103)+SUMPRODUCT((PARIS!$AU$4:'PARIS'!$AU$103=A61)*PARIS!$AX$4:$AX$103)</f>
        <v>4016.2499999999995</v>
      </c>
      <c r="C61" s="139" cm="1">
        <f t="array" ref="C61">SUMPRODUCT((PARIS!$AA$4:'PARIS'!$AA$103=A61)*PARIS!$AE$4:$AE$103)+SUMPRODUCT((PARIS!$AB$4:'PARIS'!$AB$103=A61)*PARIS!$AE$4:$AE$103)+SUMPRODUCT((PARIS!$AU$4:'PARIS'!$AU$103=A61)*PARIS!$AY$4:$AY$103)</f>
        <v>74.418749999999989</v>
      </c>
      <c r="D61" s="136" cm="1">
        <f t="array" ref="D61">SUMPRODUCT((PARIS!$AA$4:'PARIS'!$AA$103=A61)*PARIS!$AF$4:$AF$103)+SUMPRODUCT((PARIS!$AB$4:'PARIS'!$AB$103=A61)*PARIS!$AF$4:$AF$103)+SUMPRODUCT((PARIS!$AU$4:'PARIS'!$AU$103=A61)*PARIS!$AV$4:$AV$103)</f>
        <v>17.71875</v>
      </c>
      <c r="E61" s="136" cm="1">
        <f t="array" ref="E61">SUMPRODUCT((PARIS!$AA$4:'PARIS'!$AA$103=A61)*PARIS!$AG$4:$AG$103)+SUMPRODUCT((PARIS!$AB$4:'PARIS'!$AB$103=A61)*PARIS!$AG$4:$AG$103)+SUMPRODUCT((PARIS!$AU$4:'PARIS'!$AU$103=A61)*PARIS!$AW$4:$AW$103)</f>
        <v>56.699999999999989</v>
      </c>
      <c r="F61" s="136" cm="1">
        <f t="array" ref="F61">SUMPRODUCT((PARIS!$AA$4:'PARIS'!$AA$103=A61)*PARIS!$AH$4:$AH$103)+SUMPRODUCT((PARIS!$AB$4:'PARIS'!$AB$103=A61)*PARIS!$AH$4:$AH$103)+SUMPRODUCT((PARIS!$AU$4:'PARIS'!$AU$103=A61)*PARIS!$AZ$4:$AZ$103)</f>
        <v>8.3249999999999993</v>
      </c>
      <c r="G61" s="136" cm="1">
        <f t="array" ref="G61">SUMPRODUCT((PARIS!$AA$4:'PARIS'!$AA$103=A61)*PARIS!$AI$4:$AI$103)+SUMPRODUCT((PARIS!$AB$4:'PARIS'!$AB$103=A61)*PARIS!$AI$4:$AI$103)+SUMPRODUCT((PARIS!$AU$4:'PARIS'!$AU$103=A61)*PARIS!$BA$4:$BA$103)</f>
        <v>4.3499999999999996</v>
      </c>
      <c r="H61" s="115"/>
      <c r="I61" s="139">
        <f t="shared" si="3"/>
        <v>4152.4872500000001</v>
      </c>
      <c r="J61" s="136">
        <f t="shared" si="4"/>
        <v>1713.8932499999999</v>
      </c>
      <c r="K61" s="136">
        <f t="shared" si="4"/>
        <v>2438.5939999999996</v>
      </c>
      <c r="L61" s="136">
        <f t="shared" si="4"/>
        <v>346.70621333333332</v>
      </c>
      <c r="M61" s="136">
        <f t="shared" si="4"/>
        <v>190.16379999999998</v>
      </c>
      <c r="N61" s="115"/>
      <c r="O61" s="131"/>
      <c r="P61" s="131"/>
      <c r="Q61" s="131"/>
      <c r="R61" s="115"/>
      <c r="S61" s="131"/>
      <c r="T61" s="131"/>
      <c r="U61" s="131"/>
      <c r="V61" s="115"/>
      <c r="W61" s="128"/>
      <c r="X61" s="128"/>
      <c r="Y61" s="128"/>
      <c r="Z61" s="126"/>
      <c r="AA61" s="126"/>
      <c r="AB61" s="126"/>
      <c r="AC61" s="115"/>
      <c r="AD61" s="126"/>
      <c r="AE61" s="126"/>
      <c r="AF61" s="126"/>
      <c r="AG61" s="115"/>
      <c r="AH61" s="128"/>
      <c r="AI61" s="128"/>
      <c r="AJ61" s="128"/>
      <c r="AK61" s="126"/>
      <c r="AL61" s="126"/>
      <c r="AM61" s="126"/>
      <c r="AN61" s="115"/>
      <c r="AO61" s="131"/>
      <c r="AP61" s="131"/>
      <c r="AQ61" s="131"/>
      <c r="AR61" s="115"/>
      <c r="AS61" s="131"/>
      <c r="AT61" s="131"/>
      <c r="AU61" s="131"/>
      <c r="AV61" s="115"/>
      <c r="AW61" s="126"/>
      <c r="AX61" s="126"/>
      <c r="AY61" s="126"/>
      <c r="AZ61" s="115"/>
      <c r="BA61" s="126"/>
      <c r="BB61" s="126"/>
      <c r="BC61" s="126"/>
      <c r="BD61" s="115"/>
    </row>
    <row r="62" spans="1:56" x14ac:dyDescent="0.25">
      <c r="A62" s="94">
        <v>2007</v>
      </c>
      <c r="B62" s="139" cm="1">
        <f t="array" ref="B62">SUMPRODUCT((PARIS!$AA$4:'PARIS'!$AA$103=A62)*PARIS!$AD$4:$AD$103)+SUMPRODUCT((PARIS!$AB$4:'PARIS'!$AB$103=A62)*PARIS!$AD$4:$AD$103)+SUMPRODUCT((PARIS!$AU$4:'PARIS'!$AU$103=A62)*PARIS!$AX$4:$AX$103)</f>
        <v>27356.2</v>
      </c>
      <c r="C62" s="139" cm="1">
        <f t="array" ref="C62">SUMPRODUCT((PARIS!$AA$4:'PARIS'!$AA$103=A62)*PARIS!$AE$4:$AE$103)+SUMPRODUCT((PARIS!$AB$4:'PARIS'!$AB$103=A62)*PARIS!$AE$4:$AE$103)+SUMPRODUCT((PARIS!$AU$4:'PARIS'!$AU$103=A62)*PARIS!$AY$4:$AY$103)</f>
        <v>529.4615</v>
      </c>
      <c r="D62" s="136" cm="1">
        <f t="array" ref="D62">SUMPRODUCT((PARIS!$AA$4:'PARIS'!$AA$103=A62)*PARIS!$AF$4:$AF$103)+SUMPRODUCT((PARIS!$AB$4:'PARIS'!$AB$103=A62)*PARIS!$AF$4:$AF$103)+SUMPRODUCT((PARIS!$AU$4:'PARIS'!$AU$103=A62)*PARIS!$AV$4:$AV$103)</f>
        <v>29.4375</v>
      </c>
      <c r="E62" s="136" cm="1">
        <f t="array" ref="E62">SUMPRODUCT((PARIS!$AA$4:'PARIS'!$AA$103=A62)*PARIS!$AG$4:$AG$103)+SUMPRODUCT((PARIS!$AB$4:'PARIS'!$AB$103=A62)*PARIS!$AG$4:$AG$103)+SUMPRODUCT((PARIS!$AU$4:'PARIS'!$AU$103=A62)*PARIS!$AW$4:$AW$103)</f>
        <v>500.024</v>
      </c>
      <c r="F62" s="136" cm="1">
        <f t="array" ref="F62">SUMPRODUCT((PARIS!$AA$4:'PARIS'!$AA$103=A62)*PARIS!$AH$4:$AH$103)+SUMPRODUCT((PARIS!$AB$4:'PARIS'!$AB$103=A62)*PARIS!$AH$4:$AH$103)+SUMPRODUCT((PARIS!$AU$4:'PARIS'!$AU$103=A62)*PARIS!$AZ$4:$AZ$103)</f>
        <v>33.899487179487174</v>
      </c>
      <c r="G62" s="136" cm="1">
        <f t="array" ref="G62">SUMPRODUCT((PARIS!$AA$4:'PARIS'!$AA$103=A62)*PARIS!$AI$4:$AI$103)+SUMPRODUCT((PARIS!$AB$4:'PARIS'!$AB$103=A62)*PARIS!$AI$4:$AI$103)+SUMPRODUCT((PARIS!$AU$4:'PARIS'!$AU$103=A62)*PARIS!$BA$4:$BA$103)</f>
        <v>26.653333333333332</v>
      </c>
      <c r="H62" s="115"/>
      <c r="I62" s="139">
        <f t="shared" si="3"/>
        <v>4681.9487500000005</v>
      </c>
      <c r="J62" s="136">
        <f t="shared" si="4"/>
        <v>1743.3307499999999</v>
      </c>
      <c r="K62" s="136">
        <f t="shared" si="4"/>
        <v>2938.6179999999995</v>
      </c>
      <c r="L62" s="136">
        <f t="shared" si="4"/>
        <v>380.60570051282048</v>
      </c>
      <c r="M62" s="136">
        <f t="shared" si="4"/>
        <v>216.81713333333332</v>
      </c>
      <c r="N62" s="115"/>
      <c r="O62" s="131"/>
      <c r="P62" s="131"/>
      <c r="Q62" s="131"/>
      <c r="R62" s="115"/>
      <c r="S62" s="131"/>
      <c r="T62" s="131"/>
      <c r="U62" s="131"/>
      <c r="V62" s="115"/>
      <c r="W62" s="128"/>
      <c r="X62" s="128"/>
      <c r="Y62" s="128"/>
      <c r="Z62" s="126"/>
      <c r="AA62" s="126"/>
      <c r="AB62" s="126"/>
      <c r="AC62" s="115"/>
      <c r="AD62" s="126"/>
      <c r="AE62" s="126"/>
      <c r="AF62" s="126"/>
      <c r="AG62" s="115"/>
      <c r="AH62" s="128"/>
      <c r="AI62" s="128"/>
      <c r="AJ62" s="128"/>
      <c r="AK62" s="126"/>
      <c r="AL62" s="126"/>
      <c r="AM62" s="126"/>
      <c r="AN62" s="115"/>
      <c r="AO62" s="131"/>
      <c r="AP62" s="131"/>
      <c r="AQ62" s="131"/>
      <c r="AR62" s="115"/>
      <c r="AS62" s="131"/>
      <c r="AT62" s="131"/>
      <c r="AU62" s="131"/>
      <c r="AV62" s="115"/>
      <c r="AW62" s="126"/>
      <c r="AX62" s="126"/>
      <c r="AY62" s="126"/>
      <c r="AZ62" s="115"/>
      <c r="BA62" s="126"/>
      <c r="BB62" s="126"/>
      <c r="BC62" s="126"/>
      <c r="BD62" s="115"/>
    </row>
    <row r="63" spans="1:56" x14ac:dyDescent="0.25">
      <c r="A63" s="94">
        <v>2008</v>
      </c>
      <c r="B63" s="139" cm="1">
        <f t="array" ref="B63">SUMPRODUCT((PARIS!$AA$4:'PARIS'!$AA$103=A63)*PARIS!$AD$4:$AD$103)+SUMPRODUCT((PARIS!$AB$4:'PARIS'!$AB$103=A63)*PARIS!$AD$4:$AD$103)+SUMPRODUCT((PARIS!$AU$4:'PARIS'!$AU$103=A63)*PARIS!$AX$4:$AX$103)</f>
        <v>36960.300000000003</v>
      </c>
      <c r="C63" s="139" cm="1">
        <f t="array" ref="C63">SUMPRODUCT((PARIS!$AA$4:'PARIS'!$AA$103=A63)*PARIS!$AE$4:$AE$103)+SUMPRODUCT((PARIS!$AB$4:'PARIS'!$AB$103=A63)*PARIS!$AE$4:$AE$103)+SUMPRODUCT((PARIS!$AU$4:'PARIS'!$AU$103=A63)*PARIS!$AY$4:$AY$103)</f>
        <v>767.63700000000006</v>
      </c>
      <c r="D63" s="136" cm="1">
        <f t="array" ref="D63">SUMPRODUCT((PARIS!$AA$4:'PARIS'!$AA$103=A63)*PARIS!$AF$4:$AF$103)+SUMPRODUCT((PARIS!$AB$4:'PARIS'!$AB$103=A63)*PARIS!$AF$4:$AF$103)+SUMPRODUCT((PARIS!$AU$4:'PARIS'!$AU$103=A63)*PARIS!$AV$4:$AV$103)</f>
        <v>127.93950000000002</v>
      </c>
      <c r="E63" s="136" cm="1">
        <f t="array" ref="E63">SUMPRODUCT((PARIS!$AA$4:'PARIS'!$AA$103=A63)*PARIS!$AG$4:$AG$103)+SUMPRODUCT((PARIS!$AB$4:'PARIS'!$AB$103=A63)*PARIS!$AG$4:$AG$103)+SUMPRODUCT((PARIS!$AU$4:'PARIS'!$AU$103=A63)*PARIS!$AW$4:$AW$103)</f>
        <v>639.69749999999999</v>
      </c>
      <c r="F63" s="136" cm="1">
        <f t="array" ref="F63">SUMPRODUCT((PARIS!$AA$4:'PARIS'!$AA$103=A63)*PARIS!$AH$4:$AH$103)+SUMPRODUCT((PARIS!$AB$4:'PARIS'!$AB$103=A63)*PARIS!$AH$4:$AH$103)+SUMPRODUCT((PARIS!$AU$4:'PARIS'!$AU$103=A63)*PARIS!$AZ$4:$AZ$103)</f>
        <v>81.432000000000002</v>
      </c>
      <c r="G63" s="136" cm="1">
        <f t="array" ref="G63">SUMPRODUCT((PARIS!$AA$4:'PARIS'!$AA$103=A63)*PARIS!$AI$4:$AI$103)+SUMPRODUCT((PARIS!$AB$4:'PARIS'!$AB$103=A63)*PARIS!$AI$4:$AI$103)+SUMPRODUCT((PARIS!$AU$4:'PARIS'!$AU$103=A63)*PARIS!$BA$4:$BA$103)</f>
        <v>47.735999999999997</v>
      </c>
      <c r="H63" s="115"/>
      <c r="I63" s="139">
        <f t="shared" si="3"/>
        <v>5449.5857500000002</v>
      </c>
      <c r="J63" s="136">
        <f t="shared" si="4"/>
        <v>1871.2702499999998</v>
      </c>
      <c r="K63" s="136">
        <f t="shared" si="4"/>
        <v>3578.3154999999997</v>
      </c>
      <c r="L63" s="136">
        <f t="shared" si="4"/>
        <v>462.03770051282049</v>
      </c>
      <c r="M63" s="136">
        <f t="shared" si="4"/>
        <v>264.55313333333334</v>
      </c>
      <c r="N63" s="115"/>
      <c r="O63" s="131"/>
      <c r="P63" s="131"/>
      <c r="Q63" s="131"/>
      <c r="R63" s="115"/>
      <c r="S63" s="131"/>
      <c r="T63" s="131"/>
      <c r="U63" s="131"/>
      <c r="V63" s="115"/>
      <c r="W63" s="128"/>
      <c r="X63" s="128"/>
      <c r="Y63" s="128"/>
      <c r="Z63" s="126"/>
      <c r="AA63" s="126"/>
      <c r="AB63" s="126"/>
      <c r="AC63" s="115"/>
      <c r="AD63" s="126"/>
      <c r="AE63" s="126"/>
      <c r="AF63" s="126"/>
      <c r="AG63" s="115"/>
      <c r="AH63" s="128"/>
      <c r="AI63" s="128"/>
      <c r="AJ63" s="128"/>
      <c r="AK63" s="126"/>
      <c r="AL63" s="126"/>
      <c r="AM63" s="126"/>
      <c r="AN63" s="115"/>
      <c r="AO63" s="131"/>
      <c r="AP63" s="131"/>
      <c r="AQ63" s="131"/>
      <c r="AR63" s="115"/>
      <c r="AS63" s="131"/>
      <c r="AT63" s="131"/>
      <c r="AU63" s="131"/>
      <c r="AV63" s="115"/>
      <c r="AW63" s="126"/>
      <c r="AX63" s="126"/>
      <c r="AY63" s="126"/>
      <c r="AZ63" s="115"/>
      <c r="BA63" s="126"/>
      <c r="BB63" s="126"/>
      <c r="BC63" s="126"/>
      <c r="BD63" s="115"/>
    </row>
    <row r="64" spans="1:56" x14ac:dyDescent="0.25">
      <c r="A64" s="94">
        <v>2009</v>
      </c>
      <c r="B64" s="139" cm="1">
        <f t="array" ref="B64">SUMPRODUCT((PARIS!$AA$4:'PARIS'!$AA$103=A64)*PARIS!$AD$4:$AD$103)+SUMPRODUCT((PARIS!$AB$4:'PARIS'!$AB$103=A64)*PARIS!$AD$4:$AD$103)+SUMPRODUCT((PARIS!$AU$4:'PARIS'!$AU$103=A64)*PARIS!$AX$4:$AX$103)</f>
        <v>3659.04</v>
      </c>
      <c r="C64" s="139" cm="1">
        <f t="array" ref="C64">SUMPRODUCT((PARIS!$AA$4:'PARIS'!$AA$103=A64)*PARIS!$AE$4:$AE$103)+SUMPRODUCT((PARIS!$AB$4:'PARIS'!$AB$103=A64)*PARIS!$AE$4:$AE$103)+SUMPRODUCT((PARIS!$AU$4:'PARIS'!$AU$103=A64)*PARIS!$AY$4:$AY$103)</f>
        <v>73.180800000000005</v>
      </c>
      <c r="D64" s="136" cm="1">
        <f t="array" ref="D64">SUMPRODUCT((PARIS!$AA$4:'PARIS'!$AA$103=A64)*PARIS!$AF$4:$AF$103)+SUMPRODUCT((PARIS!$AB$4:'PARIS'!$AB$103=A64)*PARIS!$AF$4:$AF$103)+SUMPRODUCT((PARIS!$AU$4:'PARIS'!$AU$103=A64)*PARIS!$AV$4:$AV$103)</f>
        <v>0</v>
      </c>
      <c r="E64" s="136" cm="1">
        <f t="array" ref="E64">SUMPRODUCT((PARIS!$AA$4:'PARIS'!$AA$103=A64)*PARIS!$AG$4:$AG$103)+SUMPRODUCT((PARIS!$AB$4:'PARIS'!$AB$103=A64)*PARIS!$AG$4:$AG$103)+SUMPRODUCT((PARIS!$AU$4:'PARIS'!$AU$103=A64)*PARIS!$AW$4:$AW$103)</f>
        <v>73.180800000000005</v>
      </c>
      <c r="F64" s="136" cm="1">
        <f t="array" ref="F64">SUMPRODUCT((PARIS!$AA$4:'PARIS'!$AA$103=A64)*PARIS!$AH$4:$AH$103)+SUMPRODUCT((PARIS!$AB$4:'PARIS'!$AB$103=A64)*PARIS!$AH$4:$AH$103)+SUMPRODUCT((PARIS!$AU$4:'PARIS'!$AU$103=A64)*PARIS!$AZ$4:$AZ$103)</f>
        <v>5.7833999999999994</v>
      </c>
      <c r="G64" s="136" cm="1">
        <f t="array" ref="G64">SUMPRODUCT((PARIS!$AA$4:'PARIS'!$AA$103=A64)*PARIS!$AI$4:$AI$103)+SUMPRODUCT((PARIS!$AB$4:'PARIS'!$AB$103=A64)*PARIS!$AI$4:$AI$103)+SUMPRODUCT((PARIS!$AU$4:'PARIS'!$AU$103=A64)*PARIS!$BA$4:$BA$103)</f>
        <v>5.7833999999999994</v>
      </c>
      <c r="H64" s="115"/>
      <c r="I64" s="139">
        <f t="shared" si="3"/>
        <v>5522.7665500000003</v>
      </c>
      <c r="J64" s="136">
        <f t="shared" si="4"/>
        <v>1871.2702499999998</v>
      </c>
      <c r="K64" s="136">
        <f t="shared" si="4"/>
        <v>3651.4962999999998</v>
      </c>
      <c r="L64" s="136">
        <f t="shared" si="4"/>
        <v>467.82110051282046</v>
      </c>
      <c r="M64" s="136">
        <f t="shared" si="4"/>
        <v>270.33653333333331</v>
      </c>
      <c r="N64" s="115"/>
      <c r="O64" s="131"/>
      <c r="P64" s="131"/>
      <c r="Q64" s="131"/>
      <c r="R64" s="115"/>
      <c r="S64" s="131"/>
      <c r="T64" s="131"/>
      <c r="U64" s="131"/>
      <c r="V64" s="115"/>
      <c r="W64" s="128"/>
      <c r="X64" s="128"/>
      <c r="Y64" s="128"/>
      <c r="Z64" s="126"/>
      <c r="AA64" s="126"/>
      <c r="AB64" s="126"/>
      <c r="AC64" s="115"/>
      <c r="AD64" s="126"/>
      <c r="AE64" s="126"/>
      <c r="AF64" s="126"/>
      <c r="AG64" s="115"/>
      <c r="AH64" s="128"/>
      <c r="AI64" s="128"/>
      <c r="AJ64" s="128"/>
      <c r="AK64" s="126"/>
      <c r="AL64" s="126"/>
      <c r="AM64" s="126"/>
      <c r="AN64" s="115"/>
      <c r="AO64" s="131"/>
      <c r="AP64" s="131"/>
      <c r="AQ64" s="131"/>
      <c r="AR64" s="115"/>
      <c r="AS64" s="131"/>
      <c r="AT64" s="131"/>
      <c r="AU64" s="131"/>
      <c r="AV64" s="115"/>
      <c r="AW64" s="126"/>
      <c r="AX64" s="126"/>
      <c r="AY64" s="126"/>
      <c r="AZ64" s="115"/>
      <c r="BA64" s="126"/>
      <c r="BB64" s="126"/>
      <c r="BC64" s="126"/>
      <c r="BD64" s="115"/>
    </row>
    <row r="65" spans="1:56" x14ac:dyDescent="0.25">
      <c r="A65" s="94">
        <v>2010</v>
      </c>
      <c r="B65" s="139" cm="1">
        <f t="array" ref="B65">SUMPRODUCT((PARIS!$AA$4:'PARIS'!$AA$103=A65)*PARIS!$AD$4:$AD$103)+SUMPRODUCT((PARIS!$AB$4:'PARIS'!$AB$103=A65)*PARIS!$AD$4:$AD$103)+SUMPRODUCT((PARIS!$AU$4:'PARIS'!$AU$103=A65)*PARIS!$AX$4:$AX$103)</f>
        <v>41765.22</v>
      </c>
      <c r="C65" s="139" cm="1">
        <f t="array" ref="C65">SUMPRODUCT((PARIS!$AA$4:'PARIS'!$AA$103=A65)*PARIS!$AE$4:$AE$103)+SUMPRODUCT((PARIS!$AB$4:'PARIS'!$AB$103=A65)*PARIS!$AE$4:$AE$103)+SUMPRODUCT((PARIS!$AU$4:'PARIS'!$AU$103=A65)*PARIS!$AY$4:$AY$103)</f>
        <v>874.9093499999999</v>
      </c>
      <c r="D65" s="136" cm="1">
        <f t="array" ref="D65">SUMPRODUCT((PARIS!$AA$4:'PARIS'!$AA$103=A65)*PARIS!$AF$4:$AF$103)+SUMPRODUCT((PARIS!$AB$4:'PARIS'!$AB$103=A65)*PARIS!$AF$4:$AF$103)+SUMPRODUCT((PARIS!$AU$4:'PARIS'!$AU$103=A65)*PARIS!$AV$4:$AV$103)</f>
        <v>129.61619999999999</v>
      </c>
      <c r="E65" s="136" cm="1">
        <f t="array" ref="E65">SUMPRODUCT((PARIS!$AA$4:'PARIS'!$AA$103=A65)*PARIS!$AG$4:$AG$103)+SUMPRODUCT((PARIS!$AB$4:'PARIS'!$AB$103=A65)*PARIS!$AG$4:$AG$103)+SUMPRODUCT((PARIS!$AU$4:'PARIS'!$AU$103=A65)*PARIS!$AW$4:$AW$103)</f>
        <v>745.29314999999997</v>
      </c>
      <c r="F65" s="136" cm="1">
        <f t="array" ref="F65">SUMPRODUCT((PARIS!$AA$4:'PARIS'!$AA$103=A65)*PARIS!$AH$4:$AH$103)+SUMPRODUCT((PARIS!$AB$4:'PARIS'!$AB$103=A65)*PARIS!$AH$4:$AH$103)+SUMPRODUCT((PARIS!$AU$4:'PARIS'!$AU$103=A65)*PARIS!$AZ$4:$AZ$103)</f>
        <v>72.542400000000001</v>
      </c>
      <c r="G65" s="136" cm="1">
        <f t="array" ref="G65">SUMPRODUCT((PARIS!$AA$4:'PARIS'!$AA$103=A65)*PARIS!$AI$4:$AI$103)+SUMPRODUCT((PARIS!$AB$4:'PARIS'!$AB$103=A65)*PARIS!$AI$4:$AI$103)+SUMPRODUCT((PARIS!$AU$4:'PARIS'!$AU$103=A65)*PARIS!$BA$4:$BA$103)</f>
        <v>40.538400000000003</v>
      </c>
      <c r="H65" s="115"/>
      <c r="I65" s="139">
        <f t="shared" si="3"/>
        <v>6397.6759000000002</v>
      </c>
      <c r="J65" s="136">
        <f t="shared" si="4"/>
        <v>2000.8864499999997</v>
      </c>
      <c r="K65" s="136">
        <f t="shared" si="4"/>
        <v>4396.7894500000002</v>
      </c>
      <c r="L65" s="136">
        <f t="shared" si="4"/>
        <v>540.36350051282045</v>
      </c>
      <c r="M65" s="136">
        <f t="shared" si="4"/>
        <v>310.87493333333333</v>
      </c>
      <c r="N65" s="115"/>
      <c r="O65" s="131"/>
      <c r="P65" s="131"/>
      <c r="Q65" s="131"/>
      <c r="R65" s="115"/>
      <c r="S65" s="131"/>
      <c r="T65" s="131"/>
      <c r="U65" s="131"/>
      <c r="V65" s="115"/>
      <c r="W65" s="128"/>
      <c r="X65" s="128"/>
      <c r="Y65" s="128"/>
      <c r="Z65" s="126"/>
      <c r="AA65" s="126"/>
      <c r="AB65" s="126"/>
      <c r="AC65" s="115"/>
      <c r="AD65" s="126"/>
      <c r="AE65" s="126"/>
      <c r="AF65" s="126"/>
      <c r="AG65" s="115"/>
      <c r="AH65" s="128"/>
      <c r="AI65" s="128"/>
      <c r="AJ65" s="128"/>
      <c r="AK65" s="126"/>
      <c r="AL65" s="126"/>
      <c r="AM65" s="126"/>
      <c r="AN65" s="115"/>
      <c r="AO65" s="131"/>
      <c r="AP65" s="131"/>
      <c r="AQ65" s="131"/>
      <c r="AR65" s="115"/>
      <c r="AS65" s="131"/>
      <c r="AT65" s="131"/>
      <c r="AU65" s="131"/>
      <c r="AV65" s="115"/>
      <c r="AW65" s="126"/>
      <c r="AX65" s="126"/>
      <c r="AY65" s="126"/>
      <c r="AZ65" s="115"/>
      <c r="BA65" s="126"/>
      <c r="BB65" s="126"/>
      <c r="BC65" s="126"/>
      <c r="BD65" s="115"/>
    </row>
    <row r="66" spans="1:56" x14ac:dyDescent="0.25">
      <c r="A66" s="94">
        <v>2011</v>
      </c>
      <c r="B66" s="139" cm="1">
        <f t="array" ref="B66">SUMPRODUCT((PARIS!$AA$4:'PARIS'!$AA$103=A66)*PARIS!$AD$4:$AD$103)+SUMPRODUCT((PARIS!$AB$4:'PARIS'!$AB$103=A66)*PARIS!$AD$4:$AD$103)+SUMPRODUCT((PARIS!$AU$4:'PARIS'!$AU$103=A66)*PARIS!$AX$4:$AX$103)</f>
        <v>4000</v>
      </c>
      <c r="C66" s="139" cm="1">
        <f t="array" ref="C66">SUMPRODUCT((PARIS!$AA$4:'PARIS'!$AA$103=A66)*PARIS!$AE$4:$AE$103)+SUMPRODUCT((PARIS!$AB$4:'PARIS'!$AB$103=A66)*PARIS!$AE$4:$AE$103)+SUMPRODUCT((PARIS!$AU$4:'PARIS'!$AU$103=A66)*PARIS!$AY$4:$AY$103)</f>
        <v>80</v>
      </c>
      <c r="D66" s="136" cm="1">
        <f t="array" ref="D66">SUMPRODUCT((PARIS!$AA$4:'PARIS'!$AA$103=A66)*PARIS!$AF$4:$AF$103)+SUMPRODUCT((PARIS!$AB$4:'PARIS'!$AB$103=A66)*PARIS!$AF$4:$AF$103)+SUMPRODUCT((PARIS!$AU$4:'PARIS'!$AU$103=A66)*PARIS!$AV$4:$AV$103)</f>
        <v>0</v>
      </c>
      <c r="E66" s="136" cm="1">
        <f t="array" ref="E66">SUMPRODUCT((PARIS!$AA$4:'PARIS'!$AA$103=A66)*PARIS!$AG$4:$AG$103)+SUMPRODUCT((PARIS!$AB$4:'PARIS'!$AB$103=A66)*PARIS!$AG$4:$AG$103)+SUMPRODUCT((PARIS!$AU$4:'PARIS'!$AU$103=A66)*PARIS!$AW$4:$AW$103)</f>
        <v>80</v>
      </c>
      <c r="F66" s="136" cm="1">
        <f t="array" ref="F66">SUMPRODUCT((PARIS!$AA$4:'PARIS'!$AA$103=A66)*PARIS!$AH$4:$AH$103)+SUMPRODUCT((PARIS!$AB$4:'PARIS'!$AB$103=A66)*PARIS!$AH$4:$AH$103)+SUMPRODUCT((PARIS!$AU$4:'PARIS'!$AU$103=A66)*PARIS!$AZ$4:$AZ$103)</f>
        <v>5.7142857142857144</v>
      </c>
      <c r="G66" s="136" cm="1">
        <f t="array" ref="G66">SUMPRODUCT((PARIS!$AA$4:'PARIS'!$AA$103=A66)*PARIS!$AI$4:$AI$103)+SUMPRODUCT((PARIS!$AB$4:'PARIS'!$AB$103=A66)*PARIS!$AI$4:$AI$103)+SUMPRODUCT((PARIS!$AU$4:'PARIS'!$AU$103=A66)*PARIS!$BA$4:$BA$103)</f>
        <v>5.7142857142857144</v>
      </c>
      <c r="H66" s="115"/>
      <c r="I66" s="139">
        <f t="shared" si="3"/>
        <v>6477.6759000000002</v>
      </c>
      <c r="J66" s="136">
        <f t="shared" si="4"/>
        <v>2000.8864499999997</v>
      </c>
      <c r="K66" s="136">
        <f t="shared" si="4"/>
        <v>4476.7894500000002</v>
      </c>
      <c r="L66" s="136">
        <f t="shared" si="4"/>
        <v>546.07778622710612</v>
      </c>
      <c r="M66" s="136">
        <f t="shared" si="4"/>
        <v>316.58921904761905</v>
      </c>
      <c r="N66" s="115"/>
      <c r="O66" s="131"/>
      <c r="P66" s="131"/>
      <c r="Q66" s="131"/>
      <c r="R66" s="115"/>
      <c r="S66" s="131"/>
      <c r="T66" s="131"/>
      <c r="U66" s="131"/>
      <c r="V66" s="115"/>
      <c r="W66" s="128"/>
      <c r="X66" s="128"/>
      <c r="Y66" s="128"/>
      <c r="Z66" s="126"/>
      <c r="AA66" s="126"/>
      <c r="AB66" s="126"/>
      <c r="AC66" s="115"/>
      <c r="AD66" s="126"/>
      <c r="AE66" s="126"/>
      <c r="AF66" s="126"/>
      <c r="AG66" s="115"/>
      <c r="AH66" s="128"/>
      <c r="AI66" s="128"/>
      <c r="AJ66" s="128"/>
      <c r="AK66" s="126"/>
      <c r="AL66" s="126"/>
      <c r="AM66" s="126"/>
      <c r="AN66" s="115"/>
      <c r="AO66" s="131"/>
      <c r="AP66" s="131"/>
      <c r="AQ66" s="131"/>
      <c r="AR66" s="115"/>
      <c r="AS66" s="131"/>
      <c r="AT66" s="131"/>
      <c r="AU66" s="131"/>
      <c r="AV66" s="115"/>
      <c r="AW66" s="126"/>
      <c r="AX66" s="126"/>
      <c r="AY66" s="126"/>
      <c r="AZ66" s="115"/>
      <c r="BA66" s="126"/>
      <c r="BB66" s="126"/>
      <c r="BC66" s="126"/>
      <c r="BD66" s="115"/>
    </row>
    <row r="67" spans="1:56" x14ac:dyDescent="0.25">
      <c r="A67" s="94">
        <v>2012</v>
      </c>
      <c r="B67" s="139" cm="1">
        <f t="array" ref="B67">SUMPRODUCT((PARIS!$AA$4:'PARIS'!$AA$103=A67)*PARIS!$AD$4:$AD$103)+SUMPRODUCT((PARIS!$AB$4:'PARIS'!$AB$103=A67)*PARIS!$AD$4:$AD$103)+SUMPRODUCT((PARIS!$AU$4:'PARIS'!$AU$103=A67)*PARIS!$AX$4:$AX$103)</f>
        <v>34870.5</v>
      </c>
      <c r="C67" s="139" cm="1">
        <f t="array" ref="C67">SUMPRODUCT((PARIS!$AA$4:'PARIS'!$AA$103=A67)*PARIS!$AE$4:$AE$103)+SUMPRODUCT((PARIS!$AB$4:'PARIS'!$AB$103=A67)*PARIS!$AE$4:$AE$103)+SUMPRODUCT((PARIS!$AU$4:'PARIS'!$AU$103=A67)*PARIS!$AY$4:$AY$103)</f>
        <v>755.52749999999992</v>
      </c>
      <c r="D67" s="136" cm="1">
        <f t="array" ref="D67">SUMPRODUCT((PARIS!$AA$4:'PARIS'!$AA$103=A67)*PARIS!$AF$4:$AF$103)+SUMPRODUCT((PARIS!$AB$4:'PARIS'!$AB$103=A67)*PARIS!$AF$4:$AF$103)+SUMPRODUCT((PARIS!$AU$4:'PARIS'!$AU$103=A67)*PARIS!$AV$4:$AV$103)</f>
        <v>290.58749999999998</v>
      </c>
      <c r="E67" s="136" cm="1">
        <f t="array" ref="E67">SUMPRODUCT((PARIS!$AA$4:'PARIS'!$AA$103=A67)*PARIS!$AG$4:$AG$103)+SUMPRODUCT((PARIS!$AB$4:'PARIS'!$AB$103=A67)*PARIS!$AG$4:$AG$103)+SUMPRODUCT((PARIS!$AU$4:'PARIS'!$AU$103=A67)*PARIS!$AW$4:$AW$103)</f>
        <v>464.94</v>
      </c>
      <c r="F67" s="136" cm="1">
        <f t="array" ref="F67">SUMPRODUCT((PARIS!$AA$4:'PARIS'!$AA$103=A67)*PARIS!$AH$4:$AH$103)+SUMPRODUCT((PARIS!$AB$4:'PARIS'!$AB$103=A67)*PARIS!$AH$4:$AH$103)+SUMPRODUCT((PARIS!$AU$4:'PARIS'!$AU$103=A67)*PARIS!$AZ$4:$AZ$103)</f>
        <v>66.42</v>
      </c>
      <c r="G67" s="136" cm="1">
        <f t="array" ref="G67">SUMPRODUCT((PARIS!$AA$4:'PARIS'!$AA$103=A67)*PARIS!$AI$4:$AI$103)+SUMPRODUCT((PARIS!$AB$4:'PARIS'!$AB$103=A67)*PARIS!$AI$4:$AI$103)+SUMPRODUCT((PARIS!$AU$4:'PARIS'!$AU$103=A67)*PARIS!$BA$4:$BA$103)</f>
        <v>33.21</v>
      </c>
      <c r="H67" s="115"/>
      <c r="I67" s="139">
        <f t="shared" si="3"/>
        <v>7233.2034000000003</v>
      </c>
      <c r="J67" s="136">
        <f t="shared" si="4"/>
        <v>2291.4739499999996</v>
      </c>
      <c r="K67" s="136">
        <f t="shared" si="4"/>
        <v>4941.7294499999998</v>
      </c>
      <c r="L67" s="136">
        <f t="shared" si="4"/>
        <v>612.49778622710608</v>
      </c>
      <c r="M67" s="136">
        <f t="shared" si="4"/>
        <v>349.79921904761903</v>
      </c>
      <c r="N67" s="115"/>
      <c r="O67" s="131"/>
      <c r="P67" s="131"/>
      <c r="Q67" s="131"/>
      <c r="R67" s="115"/>
      <c r="S67" s="131"/>
      <c r="T67" s="131"/>
      <c r="U67" s="131"/>
      <c r="V67" s="115"/>
      <c r="W67" s="128"/>
      <c r="X67" s="128"/>
      <c r="Y67" s="128"/>
      <c r="Z67" s="126"/>
      <c r="AA67" s="126"/>
      <c r="AB67" s="126"/>
      <c r="AC67" s="115"/>
      <c r="AD67" s="126"/>
      <c r="AE67" s="126"/>
      <c r="AF67" s="126"/>
      <c r="AG67" s="115"/>
      <c r="AH67" s="128"/>
      <c r="AI67" s="128"/>
      <c r="AJ67" s="128"/>
      <c r="AK67" s="126"/>
      <c r="AL67" s="126"/>
      <c r="AM67" s="126"/>
      <c r="AN67" s="115"/>
      <c r="AO67" s="131"/>
      <c r="AP67" s="131"/>
      <c r="AQ67" s="131"/>
      <c r="AR67" s="115"/>
      <c r="AS67" s="131"/>
      <c r="AT67" s="131"/>
      <c r="AU67" s="131"/>
      <c r="AV67" s="115"/>
      <c r="AW67" s="126"/>
      <c r="AX67" s="126"/>
      <c r="AY67" s="126"/>
      <c r="AZ67" s="115"/>
      <c r="BA67" s="126"/>
      <c r="BB67" s="126"/>
      <c r="BC67" s="126"/>
      <c r="BD67" s="115"/>
    </row>
    <row r="68" spans="1:56" x14ac:dyDescent="0.25">
      <c r="A68" s="94">
        <v>2013</v>
      </c>
      <c r="B68" s="139" cm="1">
        <f t="array" ref="B68">SUMPRODUCT((PARIS!$AA$4:'PARIS'!$AA$103=A68)*PARIS!$AD$4:$AD$103)+SUMPRODUCT((PARIS!$AB$4:'PARIS'!$AB$103=A68)*PARIS!$AD$4:$AD$103)+SUMPRODUCT((PARIS!$AU$4:'PARIS'!$AU$103=A68)*PARIS!$AX$4:$AX$103)</f>
        <v>0</v>
      </c>
      <c r="C68" s="139" cm="1">
        <f t="array" ref="C68">SUMPRODUCT((PARIS!$AA$4:'PARIS'!$AA$103=A68)*PARIS!$AE$4:$AE$103)+SUMPRODUCT((PARIS!$AB$4:'PARIS'!$AB$103=A68)*PARIS!$AE$4:$AE$103)+SUMPRODUCT((PARIS!$AU$4:'PARIS'!$AU$103=A68)*PARIS!$AY$4:$AY$103)</f>
        <v>0</v>
      </c>
      <c r="D68" s="136" cm="1">
        <f t="array" ref="D68">SUMPRODUCT((PARIS!$AA$4:'PARIS'!$AA$103=A68)*PARIS!$AF$4:$AF$103)+SUMPRODUCT((PARIS!$AB$4:'PARIS'!$AB$103=A68)*PARIS!$AF$4:$AF$103)+SUMPRODUCT((PARIS!$AU$4:'PARIS'!$AU$103=A68)*PARIS!$AV$4:$AV$103)</f>
        <v>0</v>
      </c>
      <c r="E68" s="136" cm="1">
        <f t="array" ref="E68">SUMPRODUCT((PARIS!$AA$4:'PARIS'!$AA$103=A68)*PARIS!$AG$4:$AG$103)+SUMPRODUCT((PARIS!$AB$4:'PARIS'!$AB$103=A68)*PARIS!$AG$4:$AG$103)+SUMPRODUCT((PARIS!$AU$4:'PARIS'!$AU$103=A68)*PARIS!$AW$4:$AW$103)</f>
        <v>0</v>
      </c>
      <c r="F68" s="136" cm="1">
        <f t="array" ref="F68">SUMPRODUCT((PARIS!$AA$4:'PARIS'!$AA$103=A68)*PARIS!$AH$4:$AH$103)+SUMPRODUCT((PARIS!$AB$4:'PARIS'!$AB$103=A68)*PARIS!$AH$4:$AH$103)+SUMPRODUCT((PARIS!$AU$4:'PARIS'!$AU$103=A68)*PARIS!$AZ$4:$AZ$103)</f>
        <v>0</v>
      </c>
      <c r="G68" s="136" cm="1">
        <f t="array" ref="G68">SUMPRODUCT((PARIS!$AA$4:'PARIS'!$AA$103=A68)*PARIS!$AI$4:$AI$103)+SUMPRODUCT((PARIS!$AB$4:'PARIS'!$AB$103=A68)*PARIS!$AI$4:$AI$103)+SUMPRODUCT((PARIS!$AU$4:'PARIS'!$AU$103=A68)*PARIS!$BA$4:$BA$103)</f>
        <v>0</v>
      </c>
      <c r="H68" s="115"/>
      <c r="I68" s="139">
        <f t="shared" si="3"/>
        <v>7233.2034000000003</v>
      </c>
      <c r="J68" s="136">
        <f t="shared" si="4"/>
        <v>2291.4739499999996</v>
      </c>
      <c r="K68" s="136">
        <f t="shared" si="4"/>
        <v>4941.7294499999998</v>
      </c>
      <c r="L68" s="136">
        <f t="shared" si="4"/>
        <v>612.49778622710608</v>
      </c>
      <c r="M68" s="136">
        <f t="shared" si="4"/>
        <v>349.79921904761903</v>
      </c>
      <c r="N68" s="115"/>
      <c r="O68" s="131"/>
      <c r="P68" s="131"/>
      <c r="Q68" s="131"/>
      <c r="R68" s="115"/>
      <c r="S68" s="131"/>
      <c r="T68" s="131"/>
      <c r="U68" s="131"/>
      <c r="V68" s="115"/>
      <c r="W68" s="128"/>
      <c r="X68" s="128"/>
      <c r="Y68" s="128"/>
      <c r="Z68" s="126"/>
      <c r="AA68" s="126"/>
      <c r="AB68" s="126" t="s">
        <v>303</v>
      </c>
      <c r="AC68" s="115"/>
      <c r="AD68" s="126"/>
      <c r="AE68" s="126"/>
      <c r="AF68" s="126" t="s">
        <v>303</v>
      </c>
      <c r="AG68" s="115"/>
      <c r="AH68" s="128"/>
      <c r="AI68" s="128"/>
      <c r="AJ68" s="128"/>
      <c r="AK68" s="126"/>
      <c r="AL68" s="126"/>
      <c r="AM68" s="126"/>
      <c r="AN68" s="115"/>
      <c r="AO68" s="131"/>
      <c r="AP68" s="131"/>
      <c r="AQ68" s="131"/>
      <c r="AR68" s="115"/>
      <c r="AS68" s="131"/>
      <c r="AT68" s="131"/>
      <c r="AU68" s="131"/>
      <c r="AV68" s="115"/>
      <c r="AW68" s="126"/>
      <c r="AX68" s="126"/>
      <c r="AY68" s="126"/>
      <c r="AZ68" s="115"/>
      <c r="BA68" s="126"/>
      <c r="BB68" s="126"/>
      <c r="BC68" s="126"/>
      <c r="BD68" s="115"/>
    </row>
    <row r="69" spans="1:56" x14ac:dyDescent="0.25">
      <c r="A69" s="94">
        <v>2014</v>
      </c>
      <c r="B69" s="139" cm="1">
        <f t="array" ref="B69">SUMPRODUCT((PARIS!$AA$4:'PARIS'!$AA$103=A69)*PARIS!$AD$4:$AD$103)+SUMPRODUCT((PARIS!$AB$4:'PARIS'!$AB$103=A69)*PARIS!$AD$4:$AD$103)+SUMPRODUCT((PARIS!$AU$4:'PARIS'!$AU$103=A69)*PARIS!$AX$4:$AX$103)</f>
        <v>9484.7999999999993</v>
      </c>
      <c r="C69" s="139" cm="1">
        <f t="array" ref="C69">SUMPRODUCT((PARIS!$AA$4:'PARIS'!$AA$103=A69)*PARIS!$AE$4:$AE$103)+SUMPRODUCT((PARIS!$AB$4:'PARIS'!$AB$103=A69)*PARIS!$AE$4:$AE$103)+SUMPRODUCT((PARIS!$AU$4:'PARIS'!$AU$103=A69)*PARIS!$AY$4:$AY$103)</f>
        <v>189.69599999999997</v>
      </c>
      <c r="D69" s="136" cm="1">
        <f t="array" ref="D69">SUMPRODUCT((PARIS!$AA$4:'PARIS'!$AA$103=A69)*PARIS!$AF$4:$AF$103)+SUMPRODUCT((PARIS!$AB$4:'PARIS'!$AB$103=A69)*PARIS!$AF$4:$AF$103)+SUMPRODUCT((PARIS!$AU$4:'PARIS'!$AU$103=A69)*PARIS!$AV$4:$AV$103)</f>
        <v>39.519999999999996</v>
      </c>
      <c r="E69" s="136" cm="1">
        <f t="array" ref="E69">SUMPRODUCT((PARIS!$AA$4:'PARIS'!$AA$103=A69)*PARIS!$AG$4:$AG$103)+SUMPRODUCT((PARIS!$AB$4:'PARIS'!$AB$103=A69)*PARIS!$AG$4:$AG$103)+SUMPRODUCT((PARIS!$AU$4:'PARIS'!$AU$103=A69)*PARIS!$AW$4:$AW$103)</f>
        <v>150.17599999999999</v>
      </c>
      <c r="F69" s="136" cm="1">
        <f t="array" ref="F69">SUMPRODUCT((PARIS!$AA$4:'PARIS'!$AA$103=A69)*PARIS!$AH$4:$AH$103)+SUMPRODUCT((PARIS!$AB$4:'PARIS'!$AB$103=A69)*PARIS!$AH$4:$AH$103)+SUMPRODUCT((PARIS!$AU$4:'PARIS'!$AU$103=A69)*PARIS!$AZ$4:$AZ$103)</f>
        <v>19.364800000000002</v>
      </c>
      <c r="G69" s="136" cm="1">
        <f t="array" ref="G69">SUMPRODUCT((PARIS!$AA$4:'PARIS'!$AA$103=A69)*PARIS!$AI$4:$AI$103)+SUMPRODUCT((PARIS!$AB$4:'PARIS'!$AB$103=A69)*PARIS!$AI$4:$AI$103)+SUMPRODUCT((PARIS!$AU$4:'PARIS'!$AU$103=A69)*PARIS!$BA$4:$BA$103)</f>
        <v>11.460799999999999</v>
      </c>
      <c r="H69" s="115"/>
      <c r="I69" s="139">
        <f t="shared" si="3"/>
        <v>7422.8994000000002</v>
      </c>
      <c r="J69" s="136">
        <f t="shared" si="4"/>
        <v>2330.9939499999996</v>
      </c>
      <c r="K69" s="136">
        <f t="shared" si="4"/>
        <v>5091.9054500000002</v>
      </c>
      <c r="L69" s="136">
        <f t="shared" si="4"/>
        <v>631.86258622710602</v>
      </c>
      <c r="M69" s="136">
        <f t="shared" si="4"/>
        <v>361.26001904761904</v>
      </c>
      <c r="N69" s="115"/>
      <c r="O69" s="131"/>
      <c r="P69" s="131"/>
      <c r="Q69" s="131"/>
      <c r="R69" s="115"/>
      <c r="S69" s="131"/>
      <c r="T69" s="131"/>
      <c r="U69" s="131"/>
      <c r="V69" s="115"/>
      <c r="W69" s="128"/>
      <c r="X69" s="128"/>
      <c r="Y69" s="128"/>
      <c r="Z69" s="126"/>
      <c r="AA69" s="126"/>
      <c r="AB69" s="126"/>
      <c r="AC69" s="115"/>
      <c r="AD69" s="126"/>
      <c r="AE69" s="126"/>
      <c r="AF69" s="126"/>
      <c r="AG69" s="115"/>
      <c r="AH69" s="128"/>
      <c r="AI69" s="128"/>
      <c r="AJ69" s="128"/>
      <c r="AK69" s="126"/>
      <c r="AL69" s="126"/>
      <c r="AM69" s="126"/>
      <c r="AN69" s="115"/>
      <c r="AO69" s="131"/>
      <c r="AP69" s="131"/>
      <c r="AQ69" s="131"/>
      <c r="AR69" s="115"/>
      <c r="AS69" s="131"/>
      <c r="AT69" s="131"/>
      <c r="AU69" s="131"/>
      <c r="AV69" s="115"/>
      <c r="AW69" s="126"/>
      <c r="AX69" s="126"/>
      <c r="AY69" s="126"/>
      <c r="AZ69" s="115"/>
      <c r="BA69" s="126"/>
      <c r="BB69" s="126"/>
      <c r="BC69" s="126"/>
      <c r="BD69" s="115"/>
    </row>
    <row r="70" spans="1:56" x14ac:dyDescent="0.25">
      <c r="A70" s="94">
        <v>2015</v>
      </c>
      <c r="B70" s="139" cm="1">
        <f t="array" ref="B70">SUMPRODUCT((PARIS!$AA$4:'PARIS'!$AA$103=A70)*PARIS!$AD$4:$AD$103)+SUMPRODUCT((PARIS!$AB$4:'PARIS'!$AB$103=A70)*PARIS!$AD$4:$AD$103)+SUMPRODUCT((PARIS!$AU$4:'PARIS'!$AU$103=A70)*PARIS!$AX$4:$AX$103)</f>
        <v>29528</v>
      </c>
      <c r="C70" s="139" cm="1">
        <f t="array" ref="C70">SUMPRODUCT((PARIS!$AA$4:'PARIS'!$AA$103=A70)*PARIS!$AE$4:$AE$103)+SUMPRODUCT((PARIS!$AB$4:'PARIS'!$AB$103=A70)*PARIS!$AE$4:$AE$103)+SUMPRODUCT((PARIS!$AU$4:'PARIS'!$AU$103=A70)*PARIS!$AY$4:$AY$103)</f>
        <v>558.55999999999995</v>
      </c>
      <c r="D70" s="136" cm="1">
        <f t="array" ref="D70">SUMPRODUCT((PARIS!$AA$4:'PARIS'!$AA$103=A70)*PARIS!$AF$4:$AF$103)+SUMPRODUCT((PARIS!$AB$4:'PARIS'!$AB$103=A70)*PARIS!$AF$4:$AF$103)+SUMPRODUCT((PARIS!$AU$4:'PARIS'!$AU$103=A70)*PARIS!$AV$4:$AV$103)</f>
        <v>96</v>
      </c>
      <c r="E70" s="136" cm="1">
        <f t="array" ref="E70">SUMPRODUCT((PARIS!$AA$4:'PARIS'!$AA$103=A70)*PARIS!$AG$4:$AG$103)+SUMPRODUCT((PARIS!$AB$4:'PARIS'!$AB$103=A70)*PARIS!$AG$4:$AG$103)+SUMPRODUCT((PARIS!$AU$4:'PARIS'!$AU$103=A70)*PARIS!$AW$4:$AW$103)</f>
        <v>462.56</v>
      </c>
      <c r="F70" s="136" cm="1">
        <f t="array" ref="F70">SUMPRODUCT((PARIS!$AA$4:'PARIS'!$AA$103=A70)*PARIS!$AH$4:$AH$103)+SUMPRODUCT((PARIS!$AB$4:'PARIS'!$AB$103=A70)*PARIS!$AH$4:$AH$103)+SUMPRODUCT((PARIS!$AU$4:'PARIS'!$AU$103=A70)*PARIS!$AZ$4:$AZ$103)</f>
        <v>26.815999999999999</v>
      </c>
      <c r="G70" s="136" cm="1">
        <f t="array" ref="G70">SUMPRODUCT((PARIS!$AA$4:'PARIS'!$AA$103=A70)*PARIS!$AI$4:$AI$103)+SUMPRODUCT((PARIS!$AB$4:'PARIS'!$AB$103=A70)*PARIS!$AI$4:$AI$103)+SUMPRODUCT((PARIS!$AU$4:'PARIS'!$AU$103=A70)*PARIS!$BA$4:$BA$103)</f>
        <v>26.815999999999999</v>
      </c>
      <c r="H70" s="115"/>
      <c r="I70" s="139">
        <f t="shared" si="3"/>
        <v>7981.4593999999997</v>
      </c>
      <c r="J70" s="136">
        <f t="shared" si="4"/>
        <v>2426.9939499999996</v>
      </c>
      <c r="K70" s="136">
        <f t="shared" si="4"/>
        <v>5554.4654500000006</v>
      </c>
      <c r="L70" s="136">
        <f t="shared" si="4"/>
        <v>658.67858622710605</v>
      </c>
      <c r="M70" s="136">
        <f t="shared" si="4"/>
        <v>388.07601904761901</v>
      </c>
      <c r="N70" s="115"/>
      <c r="O70" s="131"/>
      <c r="P70" s="131"/>
      <c r="Q70" s="131"/>
      <c r="R70" s="115"/>
      <c r="S70" s="131"/>
      <c r="T70" s="131"/>
      <c r="U70" s="131"/>
      <c r="V70" s="115"/>
      <c r="W70" s="128"/>
      <c r="X70" s="128"/>
      <c r="Y70" s="128"/>
      <c r="Z70" s="126"/>
      <c r="AA70" s="126"/>
      <c r="AB70" s="126"/>
      <c r="AC70" s="115"/>
      <c r="AD70" s="126"/>
      <c r="AE70" s="126"/>
      <c r="AF70" s="126"/>
      <c r="AG70" s="115"/>
      <c r="AH70" s="128"/>
      <c r="AI70" s="128"/>
      <c r="AJ70" s="128"/>
      <c r="AK70" s="126"/>
      <c r="AL70" s="126"/>
      <c r="AM70" s="126"/>
      <c r="AN70" s="115"/>
      <c r="AO70" s="131"/>
      <c r="AP70" s="131"/>
      <c r="AQ70" s="131"/>
      <c r="AR70" s="115"/>
      <c r="AS70" s="131"/>
      <c r="AT70" s="131"/>
      <c r="AU70" s="131"/>
      <c r="AV70" s="115"/>
      <c r="AW70" s="126"/>
      <c r="AX70" s="126"/>
      <c r="AY70" s="126"/>
      <c r="AZ70" s="115"/>
      <c r="BA70" s="126"/>
      <c r="BB70" s="126"/>
      <c r="BC70" s="126"/>
      <c r="BD70" s="115"/>
    </row>
    <row r="71" spans="1:56" x14ac:dyDescent="0.25">
      <c r="A71" s="94">
        <v>2016</v>
      </c>
      <c r="B71" s="139" cm="1">
        <f t="array" ref="B71">SUMPRODUCT((PARIS!$AA$4:'PARIS'!$AA$103=A71)*PARIS!$AD$4:$AD$103)+SUMPRODUCT((PARIS!$AB$4:'PARIS'!$AB$103=A71)*PARIS!$AD$4:$AD$103)+SUMPRODUCT((PARIS!$AU$4:'PARIS'!$AU$103=A71)*PARIS!$AX$4:$AX$103)</f>
        <v>8830</v>
      </c>
      <c r="C71" s="139" cm="1">
        <f t="array" ref="C71">SUMPRODUCT((PARIS!$AA$4:'PARIS'!$AA$103=A71)*PARIS!$AE$4:$AE$103)+SUMPRODUCT((PARIS!$AB$4:'PARIS'!$AB$103=A71)*PARIS!$AE$4:$AE$103)+SUMPRODUCT((PARIS!$AU$4:'PARIS'!$AU$103=A71)*PARIS!$AY$4:$AY$103)</f>
        <v>200.09999999999997</v>
      </c>
      <c r="D71" s="136" cm="1">
        <f t="array" ref="D71">SUMPRODUCT((PARIS!$AA$4:'PARIS'!$AA$103=A71)*PARIS!$AF$4:$AF$103)+SUMPRODUCT((PARIS!$AB$4:'PARIS'!$AB$103=A71)*PARIS!$AF$4:$AF$103)+SUMPRODUCT((PARIS!$AU$4:'PARIS'!$AU$103=A71)*PARIS!$AV$4:$AV$103)</f>
        <v>14.25</v>
      </c>
      <c r="E71" s="136" cm="1">
        <f t="array" ref="E71">SUMPRODUCT((PARIS!$AA$4:'PARIS'!$AA$103=A71)*PARIS!$AG$4:$AG$103)+SUMPRODUCT((PARIS!$AB$4:'PARIS'!$AB$103=A71)*PARIS!$AG$4:$AG$103)+SUMPRODUCT((PARIS!$AU$4:'PARIS'!$AU$103=A71)*PARIS!$AW$4:$AW$103)</f>
        <v>185.84999999999997</v>
      </c>
      <c r="F71" s="136" cm="1">
        <f t="array" ref="F71">SUMPRODUCT((PARIS!$AA$4:'PARIS'!$AA$103=A71)*PARIS!$AH$4:$AH$103)+SUMPRODUCT((PARIS!$AB$4:'PARIS'!$AB$103=A71)*PARIS!$AH$4:$AH$103)+SUMPRODUCT((PARIS!$AU$4:'PARIS'!$AU$103=A71)*PARIS!$AZ$4:$AZ$103)</f>
        <v>15.433333333333334</v>
      </c>
      <c r="G71" s="136" cm="1">
        <f t="array" ref="G71">SUMPRODUCT((PARIS!$AA$4:'PARIS'!$AA$103=A71)*PARIS!$AI$4:$AI$103)+SUMPRODUCT((PARIS!$AB$4:'PARIS'!$AB$103=A71)*PARIS!$AI$4:$AI$103)+SUMPRODUCT((PARIS!$AU$4:'PARIS'!$AU$103=A71)*PARIS!$BA$4:$BA$103)</f>
        <v>12.936666666666667</v>
      </c>
      <c r="H71" s="115"/>
      <c r="I71" s="139">
        <f t="shared" ref="I71:I102" si="5">C71+I70</f>
        <v>8181.5594000000001</v>
      </c>
      <c r="J71" s="136">
        <f t="shared" si="4"/>
        <v>2441.2439499999996</v>
      </c>
      <c r="K71" s="136">
        <f t="shared" si="4"/>
        <v>5740.315450000001</v>
      </c>
      <c r="L71" s="136">
        <f t="shared" si="4"/>
        <v>674.11191956043933</v>
      </c>
      <c r="M71" s="136">
        <f t="shared" si="4"/>
        <v>401.01268571428568</v>
      </c>
      <c r="N71" s="115"/>
      <c r="O71" s="131"/>
      <c r="P71" s="131"/>
      <c r="Q71" s="131"/>
      <c r="R71" s="115"/>
      <c r="S71" s="131"/>
      <c r="T71" s="131"/>
      <c r="U71" s="131"/>
      <c r="V71" s="115"/>
      <c r="W71" s="128"/>
      <c r="X71" s="128"/>
      <c r="Y71" s="128"/>
      <c r="Z71" s="126"/>
      <c r="AA71" s="126"/>
      <c r="AB71" s="126"/>
      <c r="AC71" s="115"/>
      <c r="AD71" s="126"/>
      <c r="AE71" s="126"/>
      <c r="AF71" s="126"/>
      <c r="AG71" s="115"/>
      <c r="AH71" s="128"/>
      <c r="AI71" s="128"/>
      <c r="AJ71" s="128"/>
      <c r="AK71" s="126"/>
      <c r="AL71" s="126"/>
      <c r="AM71" s="126"/>
      <c r="AN71" s="115"/>
      <c r="AO71" s="131"/>
      <c r="AP71" s="131"/>
      <c r="AQ71" s="131"/>
      <c r="AR71" s="115"/>
      <c r="AS71" s="131"/>
      <c r="AT71" s="131"/>
      <c r="AU71" s="131"/>
      <c r="AV71" s="115"/>
      <c r="AW71" s="126"/>
      <c r="AX71" s="126"/>
      <c r="AY71" s="126"/>
      <c r="AZ71" s="115"/>
      <c r="BA71" s="126"/>
      <c r="BB71" s="126"/>
      <c r="BC71" s="126"/>
      <c r="BD71" s="115"/>
    </row>
    <row r="72" spans="1:56" x14ac:dyDescent="0.25">
      <c r="A72" s="94">
        <v>2017</v>
      </c>
      <c r="B72" s="139" cm="1">
        <f t="array" ref="B72">SUMPRODUCT((PARIS!$AA$4:'PARIS'!$AA$103=A72)*PARIS!$AD$4:$AD$103)+SUMPRODUCT((PARIS!$AB$4:'PARIS'!$AB$103=A72)*PARIS!$AD$4:$AD$103)+SUMPRODUCT((PARIS!$AU$4:'PARIS'!$AU$103=A72)*PARIS!$AX$4:$AX$103)</f>
        <v>42659.360000000001</v>
      </c>
      <c r="C72" s="139" cm="1">
        <f t="array" ref="C72">SUMPRODUCT((PARIS!$AA$4:'PARIS'!$AA$103=A72)*PARIS!$AE$4:$AE$103)+SUMPRODUCT((PARIS!$AB$4:'PARIS'!$AB$103=A72)*PARIS!$AE$4:$AE$103)+SUMPRODUCT((PARIS!$AU$4:'PARIS'!$AU$103=A72)*PARIS!$AY$4:$AY$103)</f>
        <v>1235.6471999999999</v>
      </c>
      <c r="D72" s="136" cm="1">
        <f t="array" ref="D72">SUMPRODUCT((PARIS!$AA$4:'PARIS'!$AA$103=A72)*PARIS!$AF$4:$AF$103)+SUMPRODUCT((PARIS!$AB$4:'PARIS'!$AB$103=A72)*PARIS!$AF$4:$AF$103)+SUMPRODUCT((PARIS!$AU$4:'PARIS'!$AU$103=A72)*PARIS!$AV$4:$AV$103)</f>
        <v>827.17200000000003</v>
      </c>
      <c r="E72" s="136" cm="1">
        <f t="array" ref="E72">SUMPRODUCT((PARIS!$AA$4:'PARIS'!$AA$103=A72)*PARIS!$AG$4:$AG$103)+SUMPRODUCT((PARIS!$AB$4:'PARIS'!$AB$103=A72)*PARIS!$AG$4:$AG$103)+SUMPRODUCT((PARIS!$AU$4:'PARIS'!$AU$103=A72)*PARIS!$AW$4:$AW$103)</f>
        <v>408.47519999999997</v>
      </c>
      <c r="F72" s="136" cm="1">
        <f t="array" ref="F72">SUMPRODUCT((PARIS!$AA$4:'PARIS'!$AA$103=A72)*PARIS!$AH$4:$AH$103)+SUMPRODUCT((PARIS!$AB$4:'PARIS'!$AB$103=A72)*PARIS!$AH$4:$AH$103)+SUMPRODUCT((PARIS!$AU$4:'PARIS'!$AU$103=A72)*PARIS!$AZ$4:$AZ$103)</f>
        <v>99.44256</v>
      </c>
      <c r="G72" s="136" cm="1">
        <f t="array" ref="G72">SUMPRODUCT((PARIS!$AA$4:'PARIS'!$AA$103=A72)*PARIS!$AI$4:$AI$103)+SUMPRODUCT((PARIS!$AB$4:'PARIS'!$AB$103=A72)*PARIS!$AI$4:$AI$103)+SUMPRODUCT((PARIS!$AU$4:'PARIS'!$AU$103=A72)*PARIS!$BA$4:$BA$103)</f>
        <v>46.35568</v>
      </c>
      <c r="H72" s="115"/>
      <c r="I72" s="139">
        <f t="shared" si="5"/>
        <v>9417.2065999999995</v>
      </c>
      <c r="J72" s="136">
        <f t="shared" si="4"/>
        <v>3268.4159499999996</v>
      </c>
      <c r="K72" s="136">
        <f t="shared" si="4"/>
        <v>6148.7906500000008</v>
      </c>
      <c r="L72" s="136">
        <f t="shared" si="4"/>
        <v>773.55447956043929</v>
      </c>
      <c r="M72" s="136">
        <f t="shared" si="4"/>
        <v>447.36836571428569</v>
      </c>
      <c r="N72" s="115"/>
      <c r="O72" s="131"/>
      <c r="P72" s="131"/>
      <c r="Q72" s="131"/>
      <c r="R72" s="115"/>
      <c r="S72" s="131"/>
      <c r="T72" s="131"/>
      <c r="U72" s="131"/>
      <c r="V72" s="115"/>
      <c r="W72" s="128"/>
      <c r="X72" s="128"/>
      <c r="Y72" s="128"/>
      <c r="Z72" s="126"/>
      <c r="AA72" s="126"/>
      <c r="AB72" s="126"/>
      <c r="AC72" s="115"/>
      <c r="AD72" s="126"/>
      <c r="AE72" s="126"/>
      <c r="AF72" s="126"/>
      <c r="AG72" s="115"/>
      <c r="AH72" s="128"/>
      <c r="AI72" s="128"/>
      <c r="AJ72" s="128"/>
      <c r="AK72" s="126"/>
      <c r="AL72" s="126"/>
      <c r="AM72" s="126"/>
      <c r="AN72" s="115"/>
      <c r="AO72" s="131"/>
      <c r="AP72" s="131"/>
      <c r="AQ72" s="131"/>
      <c r="AR72" s="115"/>
      <c r="AS72" s="131"/>
      <c r="AT72" s="131"/>
      <c r="AU72" s="131"/>
      <c r="AV72" s="115"/>
      <c r="AW72" s="126"/>
      <c r="AX72" s="126"/>
      <c r="AY72" s="126"/>
      <c r="AZ72" s="115"/>
      <c r="BA72" s="126"/>
      <c r="BB72" s="126"/>
      <c r="BC72" s="126"/>
      <c r="BD72" s="115"/>
    </row>
    <row r="73" spans="1:56" x14ac:dyDescent="0.25">
      <c r="A73" s="94">
        <v>2018</v>
      </c>
      <c r="B73" s="139" cm="1">
        <f t="array" ref="B73">SUMPRODUCT((PARIS!$AA$4:'PARIS'!$AA$103=A73)*PARIS!$AD$4:$AD$103)+SUMPRODUCT((PARIS!$AB$4:'PARIS'!$AB$103=A73)*PARIS!$AD$4:$AD$103)+SUMPRODUCT((PARIS!$AU$4:'PARIS'!$AU$103=A73)*PARIS!$AX$4:$AX$103)</f>
        <v>0</v>
      </c>
      <c r="C73" s="139" cm="1">
        <f t="array" ref="C73">SUMPRODUCT((PARIS!$AA$4:'PARIS'!$AA$103=A73)*PARIS!$AE$4:$AE$103)+SUMPRODUCT((PARIS!$AB$4:'PARIS'!$AB$103=A73)*PARIS!$AE$4:$AE$103)+SUMPRODUCT((PARIS!$AU$4:'PARIS'!$AU$103=A73)*PARIS!$AY$4:$AY$103)</f>
        <v>0</v>
      </c>
      <c r="D73" s="136" cm="1">
        <f t="array" ref="D73">SUMPRODUCT((PARIS!$AA$4:'PARIS'!$AA$103=A73)*PARIS!$AF$4:$AF$103)+SUMPRODUCT((PARIS!$AB$4:'PARIS'!$AB$103=A73)*PARIS!$AF$4:$AF$103)+SUMPRODUCT((PARIS!$AU$4:'PARIS'!$AU$103=A73)*PARIS!$AV$4:$AV$103)</f>
        <v>0</v>
      </c>
      <c r="E73" s="136" cm="1">
        <f t="array" ref="E73">SUMPRODUCT((PARIS!$AA$4:'PARIS'!$AA$103=A73)*PARIS!$AG$4:$AG$103)+SUMPRODUCT((PARIS!$AB$4:'PARIS'!$AB$103=A73)*PARIS!$AG$4:$AG$103)+SUMPRODUCT((PARIS!$AU$4:'PARIS'!$AU$103=A73)*PARIS!$AW$4:$AW$103)</f>
        <v>0</v>
      </c>
      <c r="F73" s="136" cm="1">
        <f t="array" ref="F73">SUMPRODUCT((PARIS!$AA$4:'PARIS'!$AA$103=A73)*PARIS!$AH$4:$AH$103)+SUMPRODUCT((PARIS!$AB$4:'PARIS'!$AB$103=A73)*PARIS!$AH$4:$AH$103)+SUMPRODUCT((PARIS!$AU$4:'PARIS'!$AU$103=A73)*PARIS!$AZ$4:$AZ$103)</f>
        <v>0</v>
      </c>
      <c r="G73" s="136" cm="1">
        <f t="array" ref="G73">SUMPRODUCT((PARIS!$AA$4:'PARIS'!$AA$103=A73)*PARIS!$AI$4:$AI$103)+SUMPRODUCT((PARIS!$AB$4:'PARIS'!$AB$103=A73)*PARIS!$AI$4:$AI$103)+SUMPRODUCT((PARIS!$AU$4:'PARIS'!$AU$103=A73)*PARIS!$BA$4:$BA$103)</f>
        <v>0</v>
      </c>
      <c r="H73" s="115"/>
      <c r="I73" s="139">
        <f t="shared" si="5"/>
        <v>9417.2065999999995</v>
      </c>
      <c r="J73" s="136">
        <f t="shared" si="4"/>
        <v>3268.4159499999996</v>
      </c>
      <c r="K73" s="136">
        <f t="shared" si="4"/>
        <v>6148.7906500000008</v>
      </c>
      <c r="L73" s="136">
        <f t="shared" si="4"/>
        <v>773.55447956043929</v>
      </c>
      <c r="M73" s="136">
        <f t="shared" si="4"/>
        <v>447.36836571428569</v>
      </c>
      <c r="N73" s="115"/>
      <c r="O73" s="131"/>
      <c r="P73" s="131"/>
      <c r="Q73" s="131"/>
      <c r="R73" s="115"/>
      <c r="S73" s="131"/>
      <c r="T73" s="131"/>
      <c r="U73" s="131"/>
      <c r="V73" s="115"/>
      <c r="W73" s="128"/>
      <c r="X73" s="128"/>
      <c r="Y73" s="128"/>
      <c r="Z73" s="126"/>
      <c r="AA73" s="126"/>
      <c r="AB73" s="126"/>
      <c r="AC73" s="115"/>
      <c r="AD73" s="126"/>
      <c r="AE73" s="126"/>
      <c r="AF73" s="126"/>
      <c r="AG73" s="115"/>
      <c r="AH73" s="128"/>
      <c r="AI73" s="128"/>
      <c r="AJ73" s="128"/>
      <c r="AK73" s="126"/>
      <c r="AL73" s="126"/>
      <c r="AM73" s="126"/>
      <c r="AN73" s="115"/>
      <c r="AO73" s="131"/>
      <c r="AP73" s="131"/>
      <c r="AQ73" s="131"/>
      <c r="AR73" s="115"/>
      <c r="AS73" s="131"/>
      <c r="AT73" s="131"/>
      <c r="AU73" s="131"/>
      <c r="AV73" s="115"/>
      <c r="AW73" s="126"/>
      <c r="AX73" s="126"/>
      <c r="AY73" s="126"/>
      <c r="AZ73" s="115"/>
      <c r="BA73" s="126"/>
      <c r="BB73" s="126"/>
      <c r="BC73" s="126"/>
      <c r="BD73" s="115"/>
    </row>
    <row r="74" spans="1:56" x14ac:dyDescent="0.25">
      <c r="A74" s="94">
        <v>2019</v>
      </c>
      <c r="B74" s="139" cm="1">
        <f t="array" ref="B74">SUMPRODUCT((PARIS!$AA$4:'PARIS'!$AA$103=A74)*PARIS!$AD$4:$AD$103)+SUMPRODUCT((PARIS!$AB$4:'PARIS'!$AB$103=A74)*PARIS!$AD$4:$AD$103)+SUMPRODUCT((PARIS!$AU$4:'PARIS'!$AU$103=A74)*PARIS!$AX$4:$AX$103)</f>
        <v>0</v>
      </c>
      <c r="C74" s="139" cm="1">
        <f t="array" ref="C74">SUMPRODUCT((PARIS!$AA$4:'PARIS'!$AA$103=A74)*PARIS!$AE$4:$AE$103)+SUMPRODUCT((PARIS!$AB$4:'PARIS'!$AB$103=A74)*PARIS!$AE$4:$AE$103)+SUMPRODUCT((PARIS!$AU$4:'PARIS'!$AU$103=A74)*PARIS!$AY$4:$AY$103)</f>
        <v>0</v>
      </c>
      <c r="D74" s="136" cm="1">
        <f t="array" ref="D74">SUMPRODUCT((PARIS!$AA$4:'PARIS'!$AA$103=A74)*PARIS!$AF$4:$AF$103)+SUMPRODUCT((PARIS!$AB$4:'PARIS'!$AB$103=A74)*PARIS!$AF$4:$AF$103)+SUMPRODUCT((PARIS!$AU$4:'PARIS'!$AU$103=A74)*PARIS!$AV$4:$AV$103)</f>
        <v>0</v>
      </c>
      <c r="E74" s="136" cm="1">
        <f t="array" ref="E74">SUMPRODUCT((PARIS!$AA$4:'PARIS'!$AA$103=A74)*PARIS!$AG$4:$AG$103)+SUMPRODUCT((PARIS!$AB$4:'PARIS'!$AB$103=A74)*PARIS!$AG$4:$AG$103)+SUMPRODUCT((PARIS!$AU$4:'PARIS'!$AU$103=A74)*PARIS!$AW$4:$AW$103)</f>
        <v>0</v>
      </c>
      <c r="F74" s="136" cm="1">
        <f t="array" ref="F74">SUMPRODUCT((PARIS!$AA$4:'PARIS'!$AA$103=A74)*PARIS!$AH$4:$AH$103)+SUMPRODUCT((PARIS!$AB$4:'PARIS'!$AB$103=A74)*PARIS!$AH$4:$AH$103)+SUMPRODUCT((PARIS!$AU$4:'PARIS'!$AU$103=A74)*PARIS!$AZ$4:$AZ$103)</f>
        <v>0</v>
      </c>
      <c r="G74" s="136" cm="1">
        <f t="array" ref="G74">SUMPRODUCT((PARIS!$AA$4:'PARIS'!$AA$103=A74)*PARIS!$AI$4:$AI$103)+SUMPRODUCT((PARIS!$AB$4:'PARIS'!$AB$103=A74)*PARIS!$AI$4:$AI$103)+SUMPRODUCT((PARIS!$AU$4:'PARIS'!$AU$103=A74)*PARIS!$BA$4:$BA$103)</f>
        <v>0</v>
      </c>
      <c r="H74" s="115"/>
      <c r="I74" s="139">
        <f t="shared" si="5"/>
        <v>9417.2065999999995</v>
      </c>
      <c r="J74" s="136">
        <f t="shared" si="4"/>
        <v>3268.4159499999996</v>
      </c>
      <c r="K74" s="136">
        <f t="shared" si="4"/>
        <v>6148.7906500000008</v>
      </c>
      <c r="L74" s="136">
        <f t="shared" si="4"/>
        <v>773.55447956043929</v>
      </c>
      <c r="M74" s="136">
        <f t="shared" si="4"/>
        <v>447.36836571428569</v>
      </c>
      <c r="N74" s="115"/>
      <c r="O74" s="131"/>
      <c r="P74" s="131"/>
      <c r="Q74" s="131"/>
      <c r="R74" s="115"/>
      <c r="S74" s="131"/>
      <c r="T74" s="131"/>
      <c r="U74" s="131"/>
      <c r="V74" s="115"/>
      <c r="W74" s="128"/>
      <c r="X74" s="128"/>
      <c r="Y74" s="128"/>
      <c r="Z74" s="126"/>
      <c r="AA74" s="126"/>
      <c r="AB74" s="126"/>
      <c r="AC74" s="115"/>
      <c r="AD74" s="126"/>
      <c r="AE74" s="126"/>
      <c r="AF74" s="126"/>
      <c r="AG74" s="115"/>
      <c r="AH74" s="128"/>
      <c r="AI74" s="128"/>
      <c r="AJ74" s="128"/>
      <c r="AK74" s="126"/>
      <c r="AL74" s="126"/>
      <c r="AM74" s="126"/>
      <c r="AN74" s="115"/>
      <c r="AO74" s="131"/>
      <c r="AP74" s="131"/>
      <c r="AQ74" s="131"/>
      <c r="AR74" s="115"/>
      <c r="AS74" s="131"/>
      <c r="AT74" s="131"/>
      <c r="AU74" s="131"/>
      <c r="AV74" s="115"/>
      <c r="AW74" s="126"/>
      <c r="AX74" s="126"/>
      <c r="AY74" s="126"/>
      <c r="AZ74" s="115"/>
      <c r="BA74" s="126"/>
      <c r="BB74" s="126"/>
      <c r="BC74" s="126"/>
      <c r="BD74" s="115"/>
    </row>
    <row r="75" spans="1:56" x14ac:dyDescent="0.25">
      <c r="A75" s="94">
        <v>2020</v>
      </c>
      <c r="B75" s="139" cm="1">
        <f t="array" ref="B75">SUMPRODUCT((PARIS!$AA$4:'PARIS'!$AA$103=A75)*PARIS!$AD$4:$AD$103)+SUMPRODUCT((PARIS!$AB$4:'PARIS'!$AB$103=A75)*PARIS!$AD$4:$AD$103)+SUMPRODUCT((PARIS!$AU$4:'PARIS'!$AU$103=A75)*PARIS!$AX$4:$AX$103)</f>
        <v>49364.4375</v>
      </c>
      <c r="C75" s="139" cm="1">
        <f t="array" ref="C75">SUMPRODUCT((PARIS!$AA$4:'PARIS'!$AA$103=A75)*PARIS!$AE$4:$AE$103)+SUMPRODUCT((PARIS!$AB$4:'PARIS'!$AB$103=A75)*PARIS!$AE$4:$AE$103)+SUMPRODUCT((PARIS!$AU$4:'PARIS'!$AU$103=A75)*PARIS!$AY$4:$AY$103)</f>
        <v>987.28875000000005</v>
      </c>
      <c r="D75" s="136" cm="1">
        <f t="array" ref="D75">SUMPRODUCT((PARIS!$AA$4:'PARIS'!$AA$103=A75)*PARIS!$AF$4:$AF$103)+SUMPRODUCT((PARIS!$AB$4:'PARIS'!$AB$103=A75)*PARIS!$AF$4:$AF$103)+SUMPRODUCT((PARIS!$AU$4:'PARIS'!$AU$103=A75)*PARIS!$AV$4:$AV$103)</f>
        <v>261.93375000000003</v>
      </c>
      <c r="E75" s="136" cm="1">
        <f t="array" ref="E75">SUMPRODUCT((PARIS!$AA$4:'PARIS'!$AA$103=A75)*PARIS!$AG$4:$AG$103)+SUMPRODUCT((PARIS!$AB$4:'PARIS'!$AB$103=A75)*PARIS!$AG$4:$AG$103)+SUMPRODUCT((PARIS!$AU$4:'PARIS'!$AU$103=A75)*PARIS!$AW$4:$AW$103)</f>
        <v>725.35500000000002</v>
      </c>
      <c r="F75" s="136" cm="1">
        <f t="array" ref="F75">SUMPRODUCT((PARIS!$AA$4:'PARIS'!$AA$103=A75)*PARIS!$AH$4:$AH$103)+SUMPRODUCT((PARIS!$AB$4:'PARIS'!$AB$103=A75)*PARIS!$AH$4:$AH$103)+SUMPRODUCT((PARIS!$AU$4:'PARIS'!$AU$103=A75)*PARIS!$AZ$4:$AZ$103)</f>
        <v>115.17125000000001</v>
      </c>
      <c r="G75" s="136" cm="1">
        <f t="array" ref="G75">SUMPRODUCT((PARIS!$AA$4:'PARIS'!$AA$103=A75)*PARIS!$AI$4:$AI$103)+SUMPRODUCT((PARIS!$AB$4:'PARIS'!$AB$103=A75)*PARIS!$AI$4:$AI$103)+SUMPRODUCT((PARIS!$AU$4:'PARIS'!$AU$103=A75)*PARIS!$BA$4:$BA$103)</f>
        <v>60.446249999999999</v>
      </c>
      <c r="H75" s="115"/>
      <c r="I75" s="139">
        <f t="shared" si="5"/>
        <v>10404.495349999999</v>
      </c>
      <c r="J75" s="136">
        <f t="shared" si="4"/>
        <v>3530.3496999999998</v>
      </c>
      <c r="K75" s="136">
        <f t="shared" si="4"/>
        <v>6874.1456500000004</v>
      </c>
      <c r="L75" s="136">
        <f t="shared" si="4"/>
        <v>888.72572956043928</v>
      </c>
      <c r="M75" s="136">
        <f t="shared" si="4"/>
        <v>507.81461571428571</v>
      </c>
      <c r="N75" s="115"/>
      <c r="O75" s="131"/>
      <c r="P75" s="131"/>
      <c r="Q75" s="131"/>
      <c r="R75" s="115"/>
      <c r="S75" s="131"/>
      <c r="T75" s="131"/>
      <c r="U75" s="131"/>
      <c r="V75" s="115"/>
      <c r="W75" s="128"/>
      <c r="X75" s="128"/>
      <c r="Y75" s="128"/>
      <c r="Z75" s="126"/>
      <c r="AA75" s="126"/>
      <c r="AB75" s="126"/>
      <c r="AC75" s="115"/>
      <c r="AD75" s="126"/>
      <c r="AE75" s="126"/>
      <c r="AF75" s="126"/>
      <c r="AG75" s="115"/>
      <c r="AH75" s="128"/>
      <c r="AI75" s="128"/>
      <c r="AJ75" s="128"/>
      <c r="AK75" s="126"/>
      <c r="AL75" s="126"/>
      <c r="AM75" s="126"/>
      <c r="AN75" s="115"/>
      <c r="AO75" s="131"/>
      <c r="AP75" s="131"/>
      <c r="AQ75" s="131"/>
      <c r="AR75" s="115"/>
      <c r="AS75" s="131"/>
      <c r="AT75" s="131"/>
      <c r="AU75" s="131"/>
      <c r="AV75" s="115"/>
      <c r="AW75" s="126"/>
      <c r="AX75" s="126"/>
      <c r="AY75" s="126"/>
      <c r="AZ75" s="115"/>
      <c r="BA75" s="126"/>
      <c r="BB75" s="126"/>
      <c r="BC75" s="126"/>
      <c r="BD75" s="115"/>
    </row>
    <row r="76" spans="1:56" x14ac:dyDescent="0.25">
      <c r="A76" s="94">
        <v>2021</v>
      </c>
      <c r="B76" s="139" cm="1">
        <f t="array" ref="B76">SUMPRODUCT((PARIS!$AA$4:'PARIS'!$AA$103=A76)*PARIS!$AD$4:$AD$103)+SUMPRODUCT((PARIS!$AB$4:'PARIS'!$AB$103=A76)*PARIS!$AD$4:$AD$103)+SUMPRODUCT((PARIS!$AU$4:'PARIS'!$AU$103=A76)*PARIS!$AX$4:$AX$103)</f>
        <v>51462.76</v>
      </c>
      <c r="C76" s="139" cm="1">
        <f t="array" ref="C76">SUMPRODUCT((PARIS!$AA$4:'PARIS'!$AA$103=A76)*PARIS!$AE$4:$AE$103)+SUMPRODUCT((PARIS!$AB$4:'PARIS'!$AB$103=A76)*PARIS!$AE$4:$AE$103)+SUMPRODUCT((PARIS!$AU$4:'PARIS'!$AU$103=A76)*PARIS!$AY$4:$AY$103)</f>
        <v>1142.1170999999999</v>
      </c>
      <c r="D76" s="136" cm="1">
        <f t="array" ref="D76">SUMPRODUCT((PARIS!$AA$4:'PARIS'!$AA$103=A76)*PARIS!$AF$4:$AF$103)+SUMPRODUCT((PARIS!$AB$4:'PARIS'!$AB$103=A76)*PARIS!$AF$4:$AF$103)+SUMPRODUCT((PARIS!$AU$4:'PARIS'!$AU$103=A76)*PARIS!$AV$4:$AV$103)</f>
        <v>84</v>
      </c>
      <c r="E76" s="136" cm="1">
        <f t="array" ref="E76">SUMPRODUCT((PARIS!$AA$4:'PARIS'!$AA$103=A76)*PARIS!$AG$4:$AG$103)+SUMPRODUCT((PARIS!$AB$4:'PARIS'!$AB$103=A76)*PARIS!$AG$4:$AG$103)+SUMPRODUCT((PARIS!$AU$4:'PARIS'!$AU$103=A76)*PARIS!$AW$4:$AW$103)</f>
        <v>1058.1170999999999</v>
      </c>
      <c r="F76" s="136" cm="1">
        <f t="array" ref="F76">SUMPRODUCT((PARIS!$AA$4:'PARIS'!$AA$103=A76)*PARIS!$AH$4:$AH$103)+SUMPRODUCT((PARIS!$AB$4:'PARIS'!$AB$103=A76)*PARIS!$AH$4:$AH$103)+SUMPRODUCT((PARIS!$AU$4:'PARIS'!$AU$103=A76)*PARIS!$AZ$4:$AZ$103)</f>
        <v>67.284586666666669</v>
      </c>
      <c r="G76" s="136" cm="1">
        <f t="array" ref="G76">SUMPRODUCT((PARIS!$AA$4:'PARIS'!$AA$103=A76)*PARIS!$AI$4:$AI$103)+SUMPRODUCT((PARIS!$AB$4:'PARIS'!$AB$103=A76)*PARIS!$AI$4:$AI$103)+SUMPRODUCT((PARIS!$AU$4:'PARIS'!$AU$103=A76)*PARIS!$BA$4:$BA$103)</f>
        <v>57.247253333333333</v>
      </c>
      <c r="H76" s="115"/>
      <c r="I76" s="139">
        <f t="shared" si="5"/>
        <v>11546.612449999999</v>
      </c>
      <c r="J76" s="136">
        <f t="shared" si="4"/>
        <v>3614.3496999999998</v>
      </c>
      <c r="K76" s="136">
        <f t="shared" si="4"/>
        <v>7932.2627499999999</v>
      </c>
      <c r="L76" s="136">
        <f t="shared" si="4"/>
        <v>956.01031622710593</v>
      </c>
      <c r="M76" s="136">
        <f t="shared" si="4"/>
        <v>565.06186904761898</v>
      </c>
      <c r="N76" s="115"/>
      <c r="O76" s="131"/>
      <c r="P76" s="131"/>
      <c r="Q76" s="131"/>
      <c r="R76" s="115"/>
      <c r="S76" s="131"/>
      <c r="T76" s="131"/>
      <c r="U76" s="131"/>
      <c r="V76" s="115"/>
      <c r="W76" s="128"/>
      <c r="X76" s="128"/>
      <c r="Y76" s="128"/>
      <c r="Z76" s="126"/>
      <c r="AA76" s="126"/>
      <c r="AB76" s="126"/>
      <c r="AC76" s="115"/>
      <c r="AD76" s="126"/>
      <c r="AE76" s="126"/>
      <c r="AF76" s="126"/>
      <c r="AG76" s="115"/>
      <c r="AH76" s="128"/>
      <c r="AI76" s="128"/>
      <c r="AJ76" s="128"/>
      <c r="AK76" s="126"/>
      <c r="AL76" s="126"/>
      <c r="AM76" s="126"/>
      <c r="AN76" s="115"/>
      <c r="AO76" s="131"/>
      <c r="AP76" s="131"/>
      <c r="AQ76" s="131"/>
      <c r="AR76" s="115"/>
      <c r="AS76" s="131"/>
      <c r="AT76" s="131"/>
      <c r="AU76" s="131"/>
      <c r="AV76" s="115"/>
      <c r="AW76" s="126"/>
      <c r="AX76" s="126"/>
      <c r="AY76" s="126"/>
      <c r="AZ76" s="115"/>
      <c r="BA76" s="126"/>
      <c r="BB76" s="126"/>
      <c r="BC76" s="126"/>
      <c r="BD76" s="115"/>
    </row>
    <row r="77" spans="1:56" x14ac:dyDescent="0.25">
      <c r="A77" s="94">
        <v>2022</v>
      </c>
      <c r="B77" s="139" cm="1">
        <f t="array" ref="B77">SUMPRODUCT((PARIS!$AA$4:'PARIS'!$AA$103=A77)*PARIS!$AD$4:$AD$103)+SUMPRODUCT((PARIS!$AB$4:'PARIS'!$AB$103=A77)*PARIS!$AD$4:$AD$103)+SUMPRODUCT((PARIS!$AU$4:'PARIS'!$AU$103=A77)*PARIS!$AX$4:$AX$103)</f>
        <v>89798.5</v>
      </c>
      <c r="C77" s="139" cm="1">
        <f t="array" ref="C77">SUMPRODUCT((PARIS!$AA$4:'PARIS'!$AA$103=A77)*PARIS!$AE$4:$AE$103)+SUMPRODUCT((PARIS!$AB$4:'PARIS'!$AB$103=A77)*PARIS!$AE$4:$AE$103)+SUMPRODUCT((PARIS!$AU$4:'PARIS'!$AU$103=A77)*PARIS!$AY$4:$AY$103)</f>
        <v>1860.23</v>
      </c>
      <c r="D77" s="136" cm="1">
        <f t="array" ref="D77">SUMPRODUCT((PARIS!$AA$4:'PARIS'!$AA$103=A77)*PARIS!$AF$4:$AF$103)+SUMPRODUCT((PARIS!$AB$4:'PARIS'!$AB$103=A77)*PARIS!$AF$4:$AF$103)+SUMPRODUCT((PARIS!$AU$4:'PARIS'!$AU$103=A77)*PARIS!$AV$4:$AV$103)</f>
        <v>462.42</v>
      </c>
      <c r="E77" s="136" cm="1">
        <f t="array" ref="E77">SUMPRODUCT((PARIS!$AA$4:'PARIS'!$AA$103=A77)*PARIS!$AG$4:$AG$103)+SUMPRODUCT((PARIS!$AB$4:'PARIS'!$AB$103=A77)*PARIS!$AG$4:$AG$103)+SUMPRODUCT((PARIS!$AU$4:'PARIS'!$AU$103=A77)*PARIS!$AW$4:$AW$103)</f>
        <v>1397.81</v>
      </c>
      <c r="F77" s="136" cm="1">
        <f t="array" ref="F77">SUMPRODUCT((PARIS!$AA$4:'PARIS'!$AA$103=A77)*PARIS!$AH$4:$AH$103)+SUMPRODUCT((PARIS!$AB$4:'PARIS'!$AB$103=A77)*PARIS!$AH$4:$AH$103)+SUMPRODUCT((PARIS!$AU$4:'PARIS'!$AU$103=A77)*PARIS!$AZ$4:$AZ$103)</f>
        <v>110.19999999999999</v>
      </c>
      <c r="G77" s="136" cm="1">
        <f t="array" ref="G77">SUMPRODUCT((PARIS!$AA$4:'PARIS'!$AA$103=A77)*PARIS!$AI$4:$AI$103)+SUMPRODUCT((PARIS!$AB$4:'PARIS'!$AB$103=A77)*PARIS!$AI$4:$AI$103)+SUMPRODUCT((PARIS!$AU$4:'PARIS'!$AU$103=A77)*PARIS!$BA$4:$BA$103)</f>
        <v>74.882499999999993</v>
      </c>
      <c r="H77" s="115"/>
      <c r="I77" s="139">
        <f t="shared" si="5"/>
        <v>13406.842449999998</v>
      </c>
      <c r="J77" s="136">
        <f t="shared" si="4"/>
        <v>4076.7696999999998</v>
      </c>
      <c r="K77" s="136">
        <f t="shared" si="4"/>
        <v>9330.0727499999994</v>
      </c>
      <c r="L77" s="136">
        <f t="shared" si="4"/>
        <v>1066.210316227106</v>
      </c>
      <c r="M77" s="136">
        <f t="shared" si="4"/>
        <v>639.94436904761892</v>
      </c>
      <c r="N77" s="115"/>
      <c r="O77" s="131"/>
      <c r="P77" s="131"/>
      <c r="Q77" s="131"/>
      <c r="R77" s="115"/>
      <c r="S77" s="131"/>
      <c r="T77" s="131"/>
      <c r="U77" s="131"/>
      <c r="V77" s="115"/>
      <c r="W77" s="128"/>
      <c r="X77" s="128"/>
      <c r="Y77" s="128"/>
      <c r="Z77" s="126"/>
      <c r="AA77" s="126"/>
      <c r="AB77" s="126"/>
      <c r="AC77" s="115"/>
      <c r="AD77" s="126"/>
      <c r="AE77" s="126"/>
      <c r="AF77" s="126"/>
      <c r="AG77" s="115"/>
      <c r="AH77" s="128"/>
      <c r="AI77" s="128"/>
      <c r="AJ77" s="128"/>
      <c r="AK77" s="126"/>
      <c r="AL77" s="126"/>
      <c r="AM77" s="126"/>
      <c r="AN77" s="115"/>
      <c r="AO77" s="131"/>
      <c r="AP77" s="131"/>
      <c r="AQ77" s="131"/>
      <c r="AR77" s="115"/>
      <c r="AS77" s="131"/>
      <c r="AT77" s="131"/>
      <c r="AU77" s="131"/>
      <c r="AV77" s="115"/>
      <c r="AW77" s="126"/>
      <c r="AX77" s="126"/>
      <c r="AY77" s="126"/>
      <c r="AZ77" s="115"/>
      <c r="BA77" s="126"/>
      <c r="BB77" s="126"/>
      <c r="BC77" s="126"/>
      <c r="BD77" s="115"/>
    </row>
    <row r="78" spans="1:56" x14ac:dyDescent="0.25">
      <c r="A78" s="94">
        <v>2023</v>
      </c>
      <c r="B78" s="139" cm="1">
        <f t="array" ref="B78">SUMPRODUCT((PARIS!$AA$4:'PARIS'!$AA$103=A78)*PARIS!$AD$4:$AD$103)+SUMPRODUCT((PARIS!$AB$4:'PARIS'!$AB$103=A78)*PARIS!$AD$4:$AD$103)+SUMPRODUCT((PARIS!$AU$4:'PARIS'!$AU$103=A78)*PARIS!$AX$4:$AX$103)</f>
        <v>33404.300000000003</v>
      </c>
      <c r="C78" s="139" cm="1">
        <f t="array" ref="C78">SUMPRODUCT((PARIS!$AA$4:'PARIS'!$AA$103=A78)*PARIS!$AE$4:$AE$103)+SUMPRODUCT((PARIS!$AB$4:'PARIS'!$AB$103=A78)*PARIS!$AE$4:$AE$103)+SUMPRODUCT((PARIS!$AU$4:'PARIS'!$AU$103=A78)*PARIS!$AY$4:$AY$103)</f>
        <v>668.08600000000001</v>
      </c>
      <c r="D78" s="136" cm="1">
        <f t="array" ref="D78">SUMPRODUCT((PARIS!$AA$4:'PARIS'!$AA$103=A78)*PARIS!$AF$4:$AF$103)+SUMPRODUCT((PARIS!$AB$4:'PARIS'!$AB$103=A78)*PARIS!$AF$4:$AF$103)+SUMPRODUCT((PARIS!$AU$4:'PARIS'!$AU$103=A78)*PARIS!$AV$4:$AV$103)</f>
        <v>0</v>
      </c>
      <c r="E78" s="136" cm="1">
        <f t="array" ref="E78">SUMPRODUCT((PARIS!$AA$4:'PARIS'!$AA$103=A78)*PARIS!$AG$4:$AG$103)+SUMPRODUCT((PARIS!$AB$4:'PARIS'!$AB$103=A78)*PARIS!$AG$4:$AG$103)+SUMPRODUCT((PARIS!$AU$4:'PARIS'!$AU$103=A78)*PARIS!$AW$4:$AW$103)</f>
        <v>668.08600000000001</v>
      </c>
      <c r="F78" s="136" cm="1">
        <f t="array" ref="F78">SUMPRODUCT((PARIS!$AA$4:'PARIS'!$AA$103=A78)*PARIS!$AH$4:$AH$103)+SUMPRODUCT((PARIS!$AB$4:'PARIS'!$AB$103=A78)*PARIS!$AH$4:$AH$103)+SUMPRODUCT((PARIS!$AU$4:'PARIS'!$AU$103=A78)*PARIS!$AZ$4:$AZ$103)</f>
        <v>49.285911764705887</v>
      </c>
      <c r="G78" s="136" cm="1">
        <f t="array" ref="G78">SUMPRODUCT((PARIS!$AA$4:'PARIS'!$AA$103=A78)*PARIS!$AI$4:$AI$103)+SUMPRODUCT((PARIS!$AB$4:'PARIS'!$AB$103=A78)*PARIS!$AI$4:$AI$103)+SUMPRODUCT((PARIS!$AU$4:'PARIS'!$AU$103=A78)*PARIS!$BA$4:$BA$103)</f>
        <v>49.285911764705887</v>
      </c>
      <c r="H78" s="115"/>
      <c r="I78" s="139">
        <f t="shared" si="5"/>
        <v>14074.928449999998</v>
      </c>
      <c r="J78" s="136">
        <f t="shared" si="4"/>
        <v>4076.7696999999998</v>
      </c>
      <c r="K78" s="136">
        <f t="shared" si="4"/>
        <v>9998.1587499999987</v>
      </c>
      <c r="L78" s="136">
        <f t="shared" si="4"/>
        <v>1115.4962279918118</v>
      </c>
      <c r="M78" s="136">
        <f t="shared" si="4"/>
        <v>689.23028081232485</v>
      </c>
      <c r="N78" s="115"/>
      <c r="O78" s="131"/>
      <c r="P78" s="131"/>
      <c r="Q78" s="131"/>
      <c r="R78" s="115"/>
      <c r="S78" s="131"/>
      <c r="T78" s="131"/>
      <c r="U78" s="131"/>
      <c r="V78" s="115"/>
      <c r="W78" s="128"/>
      <c r="X78" s="128"/>
      <c r="Y78" s="128"/>
      <c r="Z78" s="126"/>
      <c r="AA78" s="126"/>
      <c r="AB78" s="126"/>
      <c r="AC78" s="115"/>
      <c r="AD78" s="126"/>
      <c r="AE78" s="126"/>
      <c r="AF78" s="126"/>
      <c r="AG78" s="115"/>
      <c r="AH78" s="128"/>
      <c r="AI78" s="128"/>
      <c r="AJ78" s="128"/>
      <c r="AK78" s="126"/>
      <c r="AL78" s="126"/>
      <c r="AM78" s="126"/>
      <c r="AN78" s="115"/>
      <c r="AO78" s="131"/>
      <c r="AP78" s="131"/>
      <c r="AQ78" s="131"/>
      <c r="AR78" s="115"/>
      <c r="AS78" s="131"/>
      <c r="AT78" s="131"/>
      <c r="AU78" s="131"/>
      <c r="AV78" s="115"/>
      <c r="AW78" s="126"/>
      <c r="AX78" s="126"/>
      <c r="AY78" s="126"/>
      <c r="AZ78" s="115"/>
      <c r="BA78" s="126"/>
      <c r="BB78" s="126"/>
      <c r="BC78" s="126"/>
      <c r="BD78" s="115"/>
    </row>
    <row r="79" spans="1:56" x14ac:dyDescent="0.25">
      <c r="A79" s="94">
        <v>2024</v>
      </c>
      <c r="B79" s="139" cm="1">
        <f t="array" ref="B79">SUMPRODUCT((PARIS!$AA$4:'PARIS'!$AA$103=A79)*PARIS!$AD$4:$AD$103)+SUMPRODUCT((PARIS!$AB$4:'PARIS'!$AB$103=A79)*PARIS!$AD$4:$AD$103)+SUMPRODUCT((PARIS!$AU$4:'PARIS'!$AU$103=A79)*PARIS!$AX$4:$AX$103)</f>
        <v>40294.800000000003</v>
      </c>
      <c r="C79" s="139" cm="1">
        <f t="array" ref="C79">SUMPRODUCT((PARIS!$AA$4:'PARIS'!$AA$103=A79)*PARIS!$AE$4:$AE$103)+SUMPRODUCT((PARIS!$AB$4:'PARIS'!$AB$103=A79)*PARIS!$AE$4:$AE$103)+SUMPRODUCT((PARIS!$AU$4:'PARIS'!$AU$103=A79)*PARIS!$AY$4:$AY$103)</f>
        <v>905.06700000000001</v>
      </c>
      <c r="D79" s="136" cm="1">
        <f t="array" ref="D79">SUMPRODUCT((PARIS!$AA$4:'PARIS'!$AA$103=A79)*PARIS!$AF$4:$AF$103)+SUMPRODUCT((PARIS!$AB$4:'PARIS'!$AB$103=A79)*PARIS!$AF$4:$AF$103)+SUMPRODUCT((PARIS!$AU$4:'PARIS'!$AU$103=A79)*PARIS!$AV$4:$AV$103)</f>
        <v>281.88</v>
      </c>
      <c r="E79" s="136" cm="1">
        <f t="array" ref="E79">SUMPRODUCT((PARIS!$AA$4:'PARIS'!$AA$103=A79)*PARIS!$AG$4:$AG$103)+SUMPRODUCT((PARIS!$AB$4:'PARIS'!$AB$103=A79)*PARIS!$AG$4:$AG$103)+SUMPRODUCT((PARIS!$AU$4:'PARIS'!$AU$103=A79)*PARIS!$AW$4:$AW$103)</f>
        <v>623.1869999999999</v>
      </c>
      <c r="F79" s="136" cm="1">
        <f t="array" ref="F79">SUMPRODUCT((PARIS!$AA$4:'PARIS'!$AA$103=A79)*PARIS!$AH$4:$AH$103)+SUMPRODUCT((PARIS!$AB$4:'PARIS'!$AB$103=A79)*PARIS!$AH$4:$AH$103)+SUMPRODUCT((PARIS!$AU$4:'PARIS'!$AU$103=A79)*PARIS!$AZ$4:$AZ$103)</f>
        <v>42.444800000000001</v>
      </c>
      <c r="G79" s="136" cm="1">
        <f t="array" ref="G79">SUMPRODUCT((PARIS!$AA$4:'PARIS'!$AA$103=A79)*PARIS!$AI$4:$AI$103)+SUMPRODUCT((PARIS!$AB$4:'PARIS'!$AB$103=A79)*PARIS!$AI$4:$AI$103)+SUMPRODUCT((PARIS!$AU$4:'PARIS'!$AU$103=A79)*PARIS!$BA$4:$BA$103)</f>
        <v>28.246400000000001</v>
      </c>
      <c r="H79" s="115"/>
      <c r="I79" s="139">
        <f t="shared" si="5"/>
        <v>14979.995449999999</v>
      </c>
      <c r="J79" s="136">
        <f t="shared" si="4"/>
        <v>4358.6496999999999</v>
      </c>
      <c r="K79" s="136">
        <f t="shared" si="4"/>
        <v>10621.345749999999</v>
      </c>
      <c r="L79" s="136">
        <f t="shared" si="4"/>
        <v>1157.9410279918118</v>
      </c>
      <c r="M79" s="136">
        <f t="shared" si="4"/>
        <v>717.47668081232484</v>
      </c>
      <c r="N79" s="115"/>
      <c r="O79" s="131"/>
      <c r="P79" s="131"/>
      <c r="Q79" s="131"/>
      <c r="R79" s="115"/>
      <c r="S79" s="131"/>
      <c r="T79" s="131"/>
      <c r="U79" s="131"/>
      <c r="V79" s="115"/>
      <c r="W79" s="128"/>
      <c r="X79" s="128"/>
      <c r="Y79" s="128"/>
      <c r="Z79" s="126"/>
      <c r="AA79" s="126"/>
      <c r="AB79" s="126"/>
      <c r="AC79" s="115"/>
      <c r="AD79" s="126"/>
      <c r="AE79" s="126"/>
      <c r="AF79" s="126"/>
      <c r="AG79" s="115"/>
      <c r="AH79" s="128"/>
      <c r="AI79" s="128"/>
      <c r="AJ79" s="128"/>
      <c r="AK79" s="126"/>
      <c r="AL79" s="126"/>
      <c r="AM79" s="126"/>
      <c r="AN79" s="115"/>
      <c r="AO79" s="131"/>
      <c r="AP79" s="131"/>
      <c r="AQ79" s="131"/>
      <c r="AR79" s="115"/>
      <c r="AS79" s="131"/>
      <c r="AT79" s="131"/>
      <c r="AU79" s="131"/>
      <c r="AV79" s="115"/>
      <c r="AW79" s="126"/>
      <c r="AX79" s="126"/>
      <c r="AY79" s="126"/>
      <c r="AZ79" s="115"/>
      <c r="BA79" s="126"/>
      <c r="BB79" s="126"/>
      <c r="BC79" s="126"/>
      <c r="BD79" s="115"/>
    </row>
    <row r="80" spans="1:56" x14ac:dyDescent="0.25">
      <c r="A80" s="94">
        <v>2025</v>
      </c>
      <c r="B80" s="139" cm="1">
        <f t="array" ref="B80">SUMPRODUCT((PARIS!$AA$4:'PARIS'!$AA$103=A80)*PARIS!$AD$4:$AD$103)+SUMPRODUCT((PARIS!$AB$4:'PARIS'!$AB$103=A80)*PARIS!$AD$4:$AD$103)+SUMPRODUCT((PARIS!$AU$4:'PARIS'!$AU$103=A80)*PARIS!$AX$4:$AX$103)</f>
        <v>88089.551999999996</v>
      </c>
      <c r="C80" s="139" cm="1">
        <f t="array" ref="C80">SUMPRODUCT((PARIS!$AA$4:'PARIS'!$AA$103=A80)*PARIS!$AE$4:$AE$103)+SUMPRODUCT((PARIS!$AB$4:'PARIS'!$AB$103=A80)*PARIS!$AE$4:$AE$103)+SUMPRODUCT((PARIS!$AU$4:'PARIS'!$AU$103=A80)*PARIS!$AY$4:$AY$103)</f>
        <v>1922.3899200000001</v>
      </c>
      <c r="D80" s="136" cm="1">
        <f t="array" ref="D80">SUMPRODUCT((PARIS!$AA$4:'PARIS'!$AA$103=A80)*PARIS!$AF$4:$AF$103)+SUMPRODUCT((PARIS!$AB$4:'PARIS'!$AB$103=A80)*PARIS!$AF$4:$AF$103)+SUMPRODUCT((PARIS!$AU$4:'PARIS'!$AU$103=A80)*PARIS!$AV$4:$AV$103)</f>
        <v>477</v>
      </c>
      <c r="E80" s="136" cm="1">
        <f t="array" ref="E80">SUMPRODUCT((PARIS!$AA$4:'PARIS'!$AA$103=A80)*PARIS!$AG$4:$AG$103)+SUMPRODUCT((PARIS!$AB$4:'PARIS'!$AB$103=A80)*PARIS!$AG$4:$AG$103)+SUMPRODUCT((PARIS!$AU$4:'PARIS'!$AU$103=A80)*PARIS!$AW$4:$AW$103)</f>
        <v>1445.3899200000001</v>
      </c>
      <c r="F80" s="136" cm="1">
        <f t="array" ref="F80">SUMPRODUCT((PARIS!$AA$4:'PARIS'!$AA$103=A80)*PARIS!$AH$4:$AH$103)+SUMPRODUCT((PARIS!$AB$4:'PARIS'!$AB$103=A80)*PARIS!$AH$4:$AH$103)+SUMPRODUCT((PARIS!$AU$4:'PARIS'!$AU$103=A80)*PARIS!$AZ$4:$AZ$103)</f>
        <v>231.99727999999999</v>
      </c>
      <c r="G80" s="136" cm="1">
        <f t="array" ref="G80">SUMPRODUCT((PARIS!$AA$4:'PARIS'!$AA$103=A80)*PARIS!$AI$4:$AI$103)+SUMPRODUCT((PARIS!$AB$4:'PARIS'!$AB$103=A80)*PARIS!$AI$4:$AI$103)+SUMPRODUCT((PARIS!$AU$4:'PARIS'!$AU$103=A80)*PARIS!$BA$4:$BA$103)</f>
        <v>125.99728</v>
      </c>
      <c r="H80" s="115"/>
      <c r="I80" s="139">
        <f t="shared" si="5"/>
        <v>16902.38537</v>
      </c>
      <c r="J80" s="136">
        <f t="shared" si="4"/>
        <v>4835.6496999999999</v>
      </c>
      <c r="K80" s="136">
        <f t="shared" si="4"/>
        <v>12066.735669999998</v>
      </c>
      <c r="L80" s="136">
        <f t="shared" si="4"/>
        <v>1389.9383079918118</v>
      </c>
      <c r="M80" s="136">
        <f t="shared" si="4"/>
        <v>843.47396081232489</v>
      </c>
      <c r="N80" s="115"/>
      <c r="O80" s="131"/>
      <c r="P80" s="131"/>
      <c r="Q80" s="131"/>
      <c r="R80" s="115"/>
      <c r="S80" s="131"/>
      <c r="T80" s="131"/>
      <c r="U80" s="131"/>
      <c r="V80" s="115"/>
      <c r="W80" s="128"/>
      <c r="X80" s="128"/>
      <c r="Y80" s="128"/>
      <c r="Z80" s="126"/>
      <c r="AA80" s="126"/>
      <c r="AB80" s="126"/>
      <c r="AC80" s="115"/>
      <c r="AD80" s="126"/>
      <c r="AE80" s="126"/>
      <c r="AF80" s="126"/>
      <c r="AG80" s="115"/>
      <c r="AH80" s="128"/>
      <c r="AI80" s="128"/>
      <c r="AJ80" s="128"/>
      <c r="AK80" s="126"/>
      <c r="AL80" s="126"/>
      <c r="AM80" s="126"/>
      <c r="AN80" s="115"/>
      <c r="AO80" s="131"/>
      <c r="AP80" s="131"/>
      <c r="AQ80" s="131"/>
      <c r="AR80" s="115"/>
      <c r="AS80" s="131"/>
      <c r="AT80" s="131"/>
      <c r="AU80" s="131"/>
      <c r="AV80" s="115"/>
      <c r="AW80" s="126"/>
      <c r="AX80" s="126"/>
      <c r="AY80" s="126"/>
      <c r="AZ80" s="115"/>
      <c r="BA80" s="126"/>
      <c r="BB80" s="126"/>
      <c r="BC80" s="126"/>
      <c r="BD80" s="115"/>
    </row>
    <row r="81" spans="1:56" x14ac:dyDescent="0.25">
      <c r="A81" s="94">
        <v>2026</v>
      </c>
      <c r="B81" s="139" cm="1">
        <f t="array" ref="B81">SUMPRODUCT((PARIS!$AA$4:'PARIS'!$AA$103=A81)*PARIS!$AD$4:$AD$103)+SUMPRODUCT((PARIS!$AB$4:'PARIS'!$AB$103=A81)*PARIS!$AD$4:$AD$103)+SUMPRODUCT((PARIS!$AU$4:'PARIS'!$AU$103=A81)*PARIS!$AX$4:$AX$103)</f>
        <v>6178.2750000000005</v>
      </c>
      <c r="C81" s="139" cm="1">
        <f t="array" ref="C81">SUMPRODUCT((PARIS!$AA$4:'PARIS'!$AA$103=A81)*PARIS!$AE$4:$AE$103)+SUMPRODUCT((PARIS!$AB$4:'PARIS'!$AB$103=A81)*PARIS!$AE$4:$AE$103)+SUMPRODUCT((PARIS!$AU$4:'PARIS'!$AU$103=A81)*PARIS!$AY$4:$AY$103)</f>
        <v>139.01118750000001</v>
      </c>
      <c r="D81" s="136" cm="1">
        <f t="array" ref="D81">SUMPRODUCT((PARIS!$AA$4:'PARIS'!$AA$103=A81)*PARIS!$AF$4:$AF$103)+SUMPRODUCT((PARIS!$AB$4:'PARIS'!$AB$103=A81)*PARIS!$AF$4:$AF$103)+SUMPRODUCT((PARIS!$AU$4:'PARIS'!$AU$103=A81)*PARIS!$AV$4:$AV$103)</f>
        <v>0</v>
      </c>
      <c r="E81" s="136" cm="1">
        <f t="array" ref="E81">SUMPRODUCT((PARIS!$AA$4:'PARIS'!$AA$103=A81)*PARIS!$AG$4:$AG$103)+SUMPRODUCT((PARIS!$AB$4:'PARIS'!$AB$103=A81)*PARIS!$AG$4:$AG$103)+SUMPRODUCT((PARIS!$AU$4:'PARIS'!$AU$103=A81)*PARIS!$AW$4:$AW$103)</f>
        <v>139.01118750000001</v>
      </c>
      <c r="F81" s="136" cm="1">
        <f t="array" ref="F81">SUMPRODUCT((PARIS!$AA$4:'PARIS'!$AA$103=A81)*PARIS!$AH$4:$AH$103)+SUMPRODUCT((PARIS!$AB$4:'PARIS'!$AB$103=A81)*PARIS!$AH$4:$AH$103)+SUMPRODUCT((PARIS!$AU$4:'PARIS'!$AU$103=A81)*PARIS!$AZ$4:$AZ$103)</f>
        <v>5.4918000000000005</v>
      </c>
      <c r="G81" s="136" cm="1">
        <f t="array" ref="G81">SUMPRODUCT((PARIS!$AA$4:'PARIS'!$AA$103=A81)*PARIS!$AI$4:$AI$103)+SUMPRODUCT((PARIS!$AB$4:'PARIS'!$AB$103=A81)*PARIS!$AI$4:$AI$103)+SUMPRODUCT((PARIS!$AU$4:'PARIS'!$AU$103=A81)*PARIS!$BA$4:$BA$103)</f>
        <v>5.4918000000000005</v>
      </c>
      <c r="H81" s="115"/>
      <c r="I81" s="139">
        <f t="shared" si="5"/>
        <v>17041.3965575</v>
      </c>
      <c r="J81" s="136">
        <f t="shared" si="4"/>
        <v>4835.6496999999999</v>
      </c>
      <c r="K81" s="136">
        <f t="shared" si="4"/>
        <v>12205.746857499998</v>
      </c>
      <c r="L81" s="136">
        <f t="shared" si="4"/>
        <v>1395.4301079918118</v>
      </c>
      <c r="M81" s="136">
        <f t="shared" si="4"/>
        <v>848.9657608123249</v>
      </c>
      <c r="N81" s="115"/>
      <c r="O81" s="131">
        <f>C81*(Hypotheses!H45*Hypotheses!$D$19+Hypotheses!$D$14*(1-Hypotheses!H45))</f>
        <v>1.6264308937500001</v>
      </c>
      <c r="P81" s="131">
        <f>C81*(Hypotheses!I45*Hypotheses!$D$19+Hypotheses!$D$14*(1-Hypotheses!I45))</f>
        <v>1.6245981242195124</v>
      </c>
      <c r="Q81" s="131">
        <f>C81*(Hypotheses!J45*Hypotheses!$D$19+Hypotheses!$D$14*(1-Hypotheses!J45))</f>
        <v>1.6223071623064027</v>
      </c>
      <c r="R81" s="115"/>
      <c r="S81" s="131">
        <f>C81*(Hypotheses!H45*Hypotheses!$D$21+Hypotheses!$D$14*(1-Hypotheses!H45))</f>
        <v>1.7515409625</v>
      </c>
      <c r="T81" s="131">
        <f>C81*(Hypotheses!I45*Hypotheses!$D$21+Hypotheses!$D$14*(1-Hypotheses!I45))</f>
        <v>1.7552065015609759</v>
      </c>
      <c r="U81" s="131">
        <f>C81*(Hypotheses!J45*Hypotheses!$D$21+Hypotheses!$D$14*(1-Hypotheses!J45))</f>
        <v>1.7597884253871949</v>
      </c>
      <c r="V81" s="115"/>
      <c r="W81" s="128">
        <f>-C81*Hypotheses!$D$31*Hypotheses!H45</f>
        <v>-8.3406712499999998</v>
      </c>
      <c r="X81" s="128">
        <f>-C81*Hypotheses!$D$31*Hypotheses!I45</f>
        <v>-8.707225156097552</v>
      </c>
      <c r="Y81" s="128">
        <f>-C81*Hypotheses!$D$31*Hypotheses!J45</f>
        <v>-9.1654175387194918</v>
      </c>
      <c r="Z81" s="126">
        <f>-C81*Hypotheses!$D$30*Hypotheses!H45</f>
        <v>-2.0851678124999999</v>
      </c>
      <c r="AA81" s="126">
        <f>-C81*Hypotheses!$D$30*Hypotheses!I45</f>
        <v>-2.176806289024388</v>
      </c>
      <c r="AB81" s="126">
        <f>-C81*Hypotheses!$D$30*Hypotheses!J45</f>
        <v>-2.291354384679873</v>
      </c>
      <c r="AC81" s="115"/>
      <c r="AD81" s="126">
        <f>-C81*Hypotheses!$D$30*Hypotheses!H45+(O81+S81)/2</f>
        <v>-0.39618188437499979</v>
      </c>
      <c r="AE81" s="126">
        <f>-C81*Hypotheses!$D$30*Hypotheses!I45+(P81+T81)/2</f>
        <v>-0.48690397613414382</v>
      </c>
      <c r="AF81" s="126">
        <f>-C81*Hypotheses!$D$30*Hypotheses!J45+(Q81+U81)/2</f>
        <v>-0.60030659083307425</v>
      </c>
      <c r="AG81" s="115"/>
      <c r="AH81" s="128">
        <f t="shared" ref="AH81:AH125" si="6">W81+AH80</f>
        <v>-8.3406712499999998</v>
      </c>
      <c r="AI81" s="128">
        <f t="shared" ref="AI81:AI125" si="7">X81+AI80</f>
        <v>-8.707225156097552</v>
      </c>
      <c r="AJ81" s="128">
        <f t="shared" ref="AJ81:AJ125" si="8">Y81+AJ80</f>
        <v>-9.1654175387194918</v>
      </c>
      <c r="AK81" s="126">
        <f t="shared" ref="AK81:AK125" si="9">Z81+AK80</f>
        <v>-2.0851678124999999</v>
      </c>
      <c r="AL81" s="126">
        <f t="shared" ref="AL81:AL125" si="10">AA81+AL80</f>
        <v>-2.176806289024388</v>
      </c>
      <c r="AM81" s="126">
        <f t="shared" ref="AM81:AM125" si="11">AB81+AM80</f>
        <v>-2.291354384679873</v>
      </c>
      <c r="AN81" s="115"/>
      <c r="AO81" s="131">
        <f t="shared" ref="AO81:AO125" si="12">AO80+O81</f>
        <v>1.6264308937500001</v>
      </c>
      <c r="AP81" s="131">
        <f t="shared" ref="AP81:AP125" si="13">AP80+P81</f>
        <v>1.6245981242195124</v>
      </c>
      <c r="AQ81" s="131">
        <f t="shared" ref="AQ81:AQ125" si="14">AQ80+Q81</f>
        <v>1.6223071623064027</v>
      </c>
      <c r="AR81" s="115"/>
      <c r="AS81" s="131">
        <f t="shared" ref="AS81:AS125" si="15">AS80+S81</f>
        <v>1.7515409625</v>
      </c>
      <c r="AT81" s="131">
        <f t="shared" ref="AT81:AT125" si="16">AT80+T81</f>
        <v>1.7552065015609759</v>
      </c>
      <c r="AU81" s="131">
        <f t="shared" ref="AU81:AU125" si="17">AU80+U81</f>
        <v>1.7597884253871949</v>
      </c>
      <c r="AV81" s="115"/>
      <c r="AW81" s="126">
        <f t="shared" ref="AW81:AW125" si="18">IF(AO81=0,0,AK81+AO81)</f>
        <v>-0.45873691874999989</v>
      </c>
      <c r="AX81" s="126">
        <f t="shared" ref="AX81:AX125" si="19">IF(AP81=0,0,AL81+AP81)</f>
        <v>-0.55220816480487556</v>
      </c>
      <c r="AY81" s="126">
        <f t="shared" ref="AY81:AY125" si="20">IF(AQ81=0,0,AM81+AQ81)</f>
        <v>-0.66904722237347025</v>
      </c>
      <c r="AZ81" s="115"/>
      <c r="BA81" s="126">
        <f t="shared" ref="BA81:BA125" si="21">IF(AS81=0,0,AK81+AS81)</f>
        <v>-0.33362684999999992</v>
      </c>
      <c r="BB81" s="126">
        <f t="shared" ref="BB81:BB125" si="22">IF(AT81=0,0,AL81+AT81)</f>
        <v>-0.42159978746341209</v>
      </c>
      <c r="BC81" s="126">
        <f t="shared" ref="BC81:BC125" si="23">IF(AU81=0,0,AM81+AU81)</f>
        <v>-0.53156595929267803</v>
      </c>
      <c r="BD81" s="115"/>
    </row>
    <row r="82" spans="1:56" x14ac:dyDescent="0.25">
      <c r="A82" s="94">
        <v>2027</v>
      </c>
      <c r="B82" s="139" cm="1">
        <f t="array" ref="B82">SUMPRODUCT((PARIS!$AA$4:'PARIS'!$AA$103=A82)*PARIS!$AD$4:$AD$103)+SUMPRODUCT((PARIS!$AB$4:'PARIS'!$AB$103=A82)*PARIS!$AD$4:$AD$103)+SUMPRODUCT((PARIS!$AU$4:'PARIS'!$AU$103=A82)*PARIS!$AX$4:$AX$103)</f>
        <v>93010</v>
      </c>
      <c r="C82" s="139" cm="1">
        <f t="array" ref="C82">SUMPRODUCT((PARIS!$AA$4:'PARIS'!$AA$103=A82)*PARIS!$AE$4:$AE$103)+SUMPRODUCT((PARIS!$AB$4:'PARIS'!$AB$103=A82)*PARIS!$AE$4:$AE$103)+SUMPRODUCT((PARIS!$AU$4:'PARIS'!$AU$103=A82)*PARIS!$AY$4:$AY$103)</f>
        <v>1778.3449999999998</v>
      </c>
      <c r="D82" s="136" cm="1">
        <f t="array" ref="D82">SUMPRODUCT((PARIS!$AA$4:'PARIS'!$AA$103=A82)*PARIS!$AF$4:$AF$103)+SUMPRODUCT((PARIS!$AB$4:'PARIS'!$AB$103=A82)*PARIS!$AF$4:$AF$103)+SUMPRODUCT((PARIS!$AU$4:'PARIS'!$AU$103=A82)*PARIS!$AV$4:$AV$103)</f>
        <v>308.58999999999997</v>
      </c>
      <c r="E82" s="136" cm="1">
        <f t="array" ref="E82">SUMPRODUCT((PARIS!$AA$4:'PARIS'!$AA$103=A82)*PARIS!$AG$4:$AG$103)+SUMPRODUCT((PARIS!$AB$4:'PARIS'!$AB$103=A82)*PARIS!$AG$4:$AG$103)+SUMPRODUCT((PARIS!$AU$4:'PARIS'!$AU$103=A82)*PARIS!$AW$4:$AW$103)</f>
        <v>1469.7549999999999</v>
      </c>
      <c r="F82" s="136" cm="1">
        <f t="array" ref="F82">SUMPRODUCT((PARIS!$AA$4:'PARIS'!$AA$103=A82)*PARIS!$AH$4:$AH$103)+SUMPRODUCT((PARIS!$AB$4:'PARIS'!$AB$103=A82)*PARIS!$AH$4:$AH$103)+SUMPRODUCT((PARIS!$AU$4:'PARIS'!$AU$103=A82)*PARIS!$AZ$4:$AZ$103)</f>
        <v>115.92035897435898</v>
      </c>
      <c r="G82" s="136" cm="1">
        <f t="array" ref="G82">SUMPRODUCT((PARIS!$AA$4:'PARIS'!$AA$103=A82)*PARIS!$AI$4:$AI$103)+SUMPRODUCT((PARIS!$AB$4:'PARIS'!$AB$103=A82)*PARIS!$AI$4:$AI$103)+SUMPRODUCT((PARIS!$AU$4:'PARIS'!$AU$103=A82)*PARIS!$BA$4:$BA$103)</f>
        <v>93.815999999999988</v>
      </c>
      <c r="H82" s="115"/>
      <c r="I82" s="139">
        <f t="shared" si="5"/>
        <v>18819.741557500001</v>
      </c>
      <c r="J82" s="136">
        <f t="shared" si="4"/>
        <v>5144.2397000000001</v>
      </c>
      <c r="K82" s="136">
        <f t="shared" si="4"/>
        <v>13675.501857499998</v>
      </c>
      <c r="L82" s="136">
        <f t="shared" si="4"/>
        <v>1511.3504669661709</v>
      </c>
      <c r="M82" s="136">
        <f t="shared" si="4"/>
        <v>942.78176081232493</v>
      </c>
      <c r="N82" s="115"/>
      <c r="O82" s="131">
        <f>C82*(Hypotheses!H46*Hypotheses!$D$19+Hypotheses!$D$14*(1-Hypotheses!H46))</f>
        <v>20.8066365</v>
      </c>
      <c r="P82" s="131">
        <f>C82*(Hypotheses!I46*Hypotheses!$D$19+Hypotheses!$D$14*(1-Hypotheses!I46))</f>
        <v>20.768253676133956</v>
      </c>
      <c r="Q82" s="131">
        <f>C82*(Hypotheses!J46*Hypotheses!$D$19+Hypotheses!$D$14*(1-Hypotheses!J46))</f>
        <v>20.720275146301404</v>
      </c>
      <c r="R82" s="115"/>
      <c r="S82" s="131">
        <f>C82*(Hypotheses!H46*Hypotheses!$D$21+Hypotheses!$D$14*(1-Hypotheses!H46))</f>
        <v>22.407146999999998</v>
      </c>
      <c r="T82" s="131">
        <f>C82*(Hypotheses!I46*Hypotheses!$D$21+Hypotheses!$D$14*(1-Hypotheses!I46))</f>
        <v>22.483912647732087</v>
      </c>
      <c r="U82" s="131">
        <f>C82*(Hypotheses!J46*Hypotheses!$D$21+Hypotheses!$D$14*(1-Hypotheses!J46))</f>
        <v>22.57986970739719</v>
      </c>
      <c r="V82" s="115"/>
      <c r="W82" s="128">
        <f>-C82*Hypotheses!$D$31*Hypotheses!H46</f>
        <v>-106.70069999999998</v>
      </c>
      <c r="X82" s="128">
        <f>-C82*Hypotheses!$D$31*Hypotheses!I46</f>
        <v>-114.37726477320857</v>
      </c>
      <c r="Y82" s="128">
        <f>-C82*Hypotheses!$D$31*Hypotheses!J46</f>
        <v>-123.97297073971927</v>
      </c>
      <c r="Z82" s="126">
        <f>-C82*Hypotheses!$D$30*Hypotheses!H46</f>
        <v>-26.675174999999996</v>
      </c>
      <c r="AA82" s="126">
        <f>-C82*Hypotheses!$D$30*Hypotheses!I46</f>
        <v>-28.594316193302141</v>
      </c>
      <c r="AB82" s="126">
        <f>-C82*Hypotheses!$D$30*Hypotheses!J46</f>
        <v>-30.993242684929818</v>
      </c>
      <c r="AC82" s="115"/>
      <c r="AD82" s="126">
        <f>-C82*Hypotheses!$D$30*Hypotheses!H46+(O82+S82)/2</f>
        <v>-5.0682832499999968</v>
      </c>
      <c r="AE82" s="126">
        <f>-C82*Hypotheses!$D$30*Hypotheses!I46+(P82+T82)/2</f>
        <v>-6.9682330313691203</v>
      </c>
      <c r="AF82" s="126">
        <f>-C82*Hypotheses!$D$30*Hypotheses!J46+(Q82+U82)/2</f>
        <v>-9.3431702580805194</v>
      </c>
      <c r="AG82" s="115"/>
      <c r="AH82" s="128">
        <f t="shared" si="6"/>
        <v>-115.04137124999998</v>
      </c>
      <c r="AI82" s="128">
        <f t="shared" si="7"/>
        <v>-123.08448992930612</v>
      </c>
      <c r="AJ82" s="128">
        <f t="shared" si="8"/>
        <v>-133.13838827843875</v>
      </c>
      <c r="AK82" s="126">
        <f t="shared" si="9"/>
        <v>-28.760342812499996</v>
      </c>
      <c r="AL82" s="126">
        <f t="shared" si="10"/>
        <v>-30.771122482326529</v>
      </c>
      <c r="AM82" s="126">
        <f t="shared" si="11"/>
        <v>-33.284597069609688</v>
      </c>
      <c r="AN82" s="115"/>
      <c r="AO82" s="131">
        <f t="shared" si="12"/>
        <v>22.433067393750001</v>
      </c>
      <c r="AP82" s="131">
        <f t="shared" si="13"/>
        <v>22.392851800353469</v>
      </c>
      <c r="AQ82" s="131">
        <f t="shared" si="14"/>
        <v>22.342582308607806</v>
      </c>
      <c r="AR82" s="115"/>
      <c r="AS82" s="131">
        <f t="shared" si="15"/>
        <v>24.158687962499997</v>
      </c>
      <c r="AT82" s="131">
        <f t="shared" si="16"/>
        <v>24.239119149293064</v>
      </c>
      <c r="AU82" s="131">
        <f t="shared" si="17"/>
        <v>24.339658132784386</v>
      </c>
      <c r="AV82" s="115"/>
      <c r="AW82" s="126">
        <f t="shared" si="18"/>
        <v>-6.3272754187499949</v>
      </c>
      <c r="AX82" s="126">
        <f t="shared" si="19"/>
        <v>-8.3782706819730599</v>
      </c>
      <c r="AY82" s="126">
        <f t="shared" si="20"/>
        <v>-10.942014761001882</v>
      </c>
      <c r="AZ82" s="115"/>
      <c r="BA82" s="126">
        <f t="shared" si="21"/>
        <v>-4.6016548499999992</v>
      </c>
      <c r="BB82" s="126">
        <f t="shared" si="22"/>
        <v>-6.5320033330334653</v>
      </c>
      <c r="BC82" s="126">
        <f t="shared" si="23"/>
        <v>-8.9449389368253023</v>
      </c>
      <c r="BD82" s="115"/>
    </row>
    <row r="83" spans="1:56" x14ac:dyDescent="0.25">
      <c r="A83" s="94">
        <v>2028</v>
      </c>
      <c r="B83" s="139" cm="1">
        <f t="array" ref="B83">SUMPRODUCT((PARIS!$AA$4:'PARIS'!$AA$103=A83)*PARIS!$AD$4:$AD$103)+SUMPRODUCT((PARIS!$AB$4:'PARIS'!$AB$103=A83)*PARIS!$AD$4:$AD$103)+SUMPRODUCT((PARIS!$AU$4:'PARIS'!$AU$103=A83)*PARIS!$AX$4:$AX$103)</f>
        <v>10581.84</v>
      </c>
      <c r="C83" s="139" cm="1">
        <f t="array" ref="C83">SUMPRODUCT((PARIS!$AA$4:'PARIS'!$AA$103=A83)*PARIS!$AE$4:$AE$103)+SUMPRODUCT((PARIS!$AB$4:'PARIS'!$AB$103=A83)*PARIS!$AE$4:$AE$103)+SUMPRODUCT((PARIS!$AU$4:'PARIS'!$AU$103=A83)*PARIS!$AY$4:$AY$103)</f>
        <v>238.09139999999999</v>
      </c>
      <c r="D83" s="136" cm="1">
        <f t="array" ref="D83">SUMPRODUCT((PARIS!$AA$4:'PARIS'!$AA$103=A83)*PARIS!$AF$4:$AF$103)+SUMPRODUCT((PARIS!$AB$4:'PARIS'!$AB$103=A83)*PARIS!$AF$4:$AF$103)+SUMPRODUCT((PARIS!$AU$4:'PARIS'!$AU$103=A83)*PARIS!$AV$4:$AV$103)</f>
        <v>0</v>
      </c>
      <c r="E83" s="136" cm="1">
        <f t="array" ref="E83">SUMPRODUCT((PARIS!$AA$4:'PARIS'!$AA$103=A83)*PARIS!$AG$4:$AG$103)+SUMPRODUCT((PARIS!$AB$4:'PARIS'!$AB$103=A83)*PARIS!$AG$4:$AG$103)+SUMPRODUCT((PARIS!$AU$4:'PARIS'!$AU$103=A83)*PARIS!$AW$4:$AW$103)</f>
        <v>238.09139999999999</v>
      </c>
      <c r="F83" s="136" cm="1">
        <f t="array" ref="F83">SUMPRODUCT((PARIS!$AA$4:'PARIS'!$AA$103=A83)*PARIS!$AH$4:$AH$103)+SUMPRODUCT((PARIS!$AB$4:'PARIS'!$AB$103=A83)*PARIS!$AH$4:$AH$103)+SUMPRODUCT((PARIS!$AU$4:'PARIS'!$AU$103=A83)*PARIS!$AZ$4:$AZ$103)</f>
        <v>11.16972</v>
      </c>
      <c r="G83" s="136" cm="1">
        <f t="array" ref="G83">SUMPRODUCT((PARIS!$AA$4:'PARIS'!$AA$103=A83)*PARIS!$AI$4:$AI$103)+SUMPRODUCT((PARIS!$AB$4:'PARIS'!$AB$103=A83)*PARIS!$AI$4:$AI$103)+SUMPRODUCT((PARIS!$AU$4:'PARIS'!$AU$103=A83)*PARIS!$BA$4:$BA$103)</f>
        <v>11.16972</v>
      </c>
      <c r="H83" s="115"/>
      <c r="I83" s="139">
        <f t="shared" si="5"/>
        <v>19057.832957500003</v>
      </c>
      <c r="J83" s="136">
        <f t="shared" si="4"/>
        <v>5144.2397000000001</v>
      </c>
      <c r="K83" s="136">
        <f t="shared" si="4"/>
        <v>13913.593257499997</v>
      </c>
      <c r="L83" s="136">
        <f t="shared" si="4"/>
        <v>1522.520186966171</v>
      </c>
      <c r="M83" s="136">
        <f t="shared" si="4"/>
        <v>953.95148081232492</v>
      </c>
      <c r="N83" s="115"/>
      <c r="O83" s="131">
        <f>C83*(Hypotheses!H47*Hypotheses!$D$19+Hypotheses!$D$14*(1-Hypotheses!H47))</f>
        <v>2.7856693799999999</v>
      </c>
      <c r="P83" s="131">
        <f>C83*(Hypotheses!I47*Hypotheses!$D$19+Hypotheses!$D$14*(1-Hypotheses!I47))</f>
        <v>2.7772945919319438</v>
      </c>
      <c r="Q83" s="131">
        <f>C83*(Hypotheses!J47*Hypotheses!$D$19+Hypotheses!$D$14*(1-Hypotheses!J47))</f>
        <v>2.766826106846874</v>
      </c>
      <c r="R83" s="115"/>
      <c r="S83" s="131">
        <f>C83*(Hypotheses!H47*Hypotheses!$D$21+Hypotheses!$D$14*(1-Hypotheses!H47))</f>
        <v>2.9999516399999999</v>
      </c>
      <c r="T83" s="131">
        <f>C83*(Hypotheses!I47*Hypotheses!$D$21+Hypotheses!$D$14*(1-Hypotheses!I47))</f>
        <v>3.0167012161361124</v>
      </c>
      <c r="U83" s="131">
        <f>C83*(Hypotheses!J47*Hypotheses!$D$21+Hypotheses!$D$14*(1-Hypotheses!J47))</f>
        <v>3.0376381863062529</v>
      </c>
      <c r="V83" s="115"/>
      <c r="W83" s="128">
        <f>-C83*Hypotheses!$D$31*Hypotheses!H47</f>
        <v>-14.285484</v>
      </c>
      <c r="X83" s="128">
        <f>-C83*Hypotheses!$D$31*Hypotheses!I47</f>
        <v>-15.960441613611234</v>
      </c>
      <c r="Y83" s="128">
        <f>-C83*Hypotheses!$D$31*Hypotheses!J47</f>
        <v>-18.054138630625278</v>
      </c>
      <c r="Z83" s="126">
        <f>-C83*Hypotheses!$D$30*Hypotheses!H47</f>
        <v>-3.5713710000000001</v>
      </c>
      <c r="AA83" s="126">
        <f>-C83*Hypotheses!$D$30*Hypotheses!I47</f>
        <v>-3.9901104034028085</v>
      </c>
      <c r="AB83" s="126">
        <f>-C83*Hypotheses!$D$30*Hypotheses!J47</f>
        <v>-4.5135346576563196</v>
      </c>
      <c r="AC83" s="115"/>
      <c r="AD83" s="126">
        <f>-C83*Hypotheses!$D$30*Hypotheses!H47+(O83+S83)/2</f>
        <v>-0.67856049000000018</v>
      </c>
      <c r="AE83" s="126">
        <f>-C83*Hypotheses!$D$30*Hypotheses!I47+(P83+T83)/2</f>
        <v>-1.0931124993687806</v>
      </c>
      <c r="AF83" s="126">
        <f>-C83*Hypotheses!$D$30*Hypotheses!J47+(Q83+U83)/2</f>
        <v>-1.6113025110797561</v>
      </c>
      <c r="AG83" s="115"/>
      <c r="AH83" s="128">
        <f t="shared" si="6"/>
        <v>-129.32685524999999</v>
      </c>
      <c r="AI83" s="128">
        <f t="shared" si="7"/>
        <v>-139.04493154291734</v>
      </c>
      <c r="AJ83" s="128">
        <f t="shared" si="8"/>
        <v>-151.19252690906404</v>
      </c>
      <c r="AK83" s="126">
        <f t="shared" si="9"/>
        <v>-32.331713812499999</v>
      </c>
      <c r="AL83" s="126">
        <f t="shared" si="10"/>
        <v>-34.761232885729335</v>
      </c>
      <c r="AM83" s="126">
        <f t="shared" si="11"/>
        <v>-37.798131727266011</v>
      </c>
      <c r="AN83" s="115"/>
      <c r="AO83" s="131">
        <f t="shared" si="12"/>
        <v>25.218736773750003</v>
      </c>
      <c r="AP83" s="131">
        <f t="shared" si="13"/>
        <v>25.170146392285414</v>
      </c>
      <c r="AQ83" s="131">
        <f t="shared" si="14"/>
        <v>25.109408415454681</v>
      </c>
      <c r="AR83" s="115"/>
      <c r="AS83" s="131">
        <f t="shared" si="15"/>
        <v>27.158639602499996</v>
      </c>
      <c r="AT83" s="131">
        <f t="shared" si="16"/>
        <v>27.255820365429177</v>
      </c>
      <c r="AU83" s="131">
        <f t="shared" si="17"/>
        <v>27.37729631909064</v>
      </c>
      <c r="AV83" s="115"/>
      <c r="AW83" s="126">
        <f t="shared" si="18"/>
        <v>-7.112977038749996</v>
      </c>
      <c r="AX83" s="126">
        <f t="shared" si="19"/>
        <v>-9.5910864934439211</v>
      </c>
      <c r="AY83" s="126">
        <f t="shared" si="20"/>
        <v>-12.68872331181133</v>
      </c>
      <c r="AZ83" s="115"/>
      <c r="BA83" s="126">
        <f t="shared" si="21"/>
        <v>-5.1730742100000029</v>
      </c>
      <c r="BB83" s="126">
        <f t="shared" si="22"/>
        <v>-7.5054125203001583</v>
      </c>
      <c r="BC83" s="126">
        <f t="shared" si="23"/>
        <v>-10.420835408175371</v>
      </c>
      <c r="BD83" s="115"/>
    </row>
    <row r="84" spans="1:56" x14ac:dyDescent="0.25">
      <c r="A84" s="94">
        <v>2029</v>
      </c>
      <c r="B84" s="139" cm="1">
        <f t="array" ref="B84">SUMPRODUCT((PARIS!$AA$4:'PARIS'!$AA$103=A84)*PARIS!$AD$4:$AD$103)+SUMPRODUCT((PARIS!$AB$4:'PARIS'!$AB$103=A84)*PARIS!$AD$4:$AD$103)+SUMPRODUCT((PARIS!$AU$4:'PARIS'!$AU$103=A84)*PARIS!$AX$4:$AX$103)</f>
        <v>0</v>
      </c>
      <c r="C84" s="139" cm="1">
        <f t="array" ref="C84">SUMPRODUCT((PARIS!$AA$4:'PARIS'!$AA$103=A84)*PARIS!$AE$4:$AE$103)+SUMPRODUCT((PARIS!$AB$4:'PARIS'!$AB$103=A84)*PARIS!$AE$4:$AE$103)+SUMPRODUCT((PARIS!$AU$4:'PARIS'!$AU$103=A84)*PARIS!$AY$4:$AY$103)</f>
        <v>0</v>
      </c>
      <c r="D84" s="136" cm="1">
        <f t="array" ref="D84">SUMPRODUCT((PARIS!$AA$4:'PARIS'!$AA$103=A84)*PARIS!$AF$4:$AF$103)+SUMPRODUCT((PARIS!$AB$4:'PARIS'!$AB$103=A84)*PARIS!$AF$4:$AF$103)+SUMPRODUCT((PARIS!$AU$4:'PARIS'!$AU$103=A84)*PARIS!$AV$4:$AV$103)</f>
        <v>0</v>
      </c>
      <c r="E84" s="136" cm="1">
        <f t="array" ref="E84">SUMPRODUCT((PARIS!$AA$4:'PARIS'!$AA$103=A84)*PARIS!$AG$4:$AG$103)+SUMPRODUCT((PARIS!$AB$4:'PARIS'!$AB$103=A84)*PARIS!$AG$4:$AG$103)+SUMPRODUCT((PARIS!$AU$4:'PARIS'!$AU$103=A84)*PARIS!$AW$4:$AW$103)</f>
        <v>0</v>
      </c>
      <c r="F84" s="136" cm="1">
        <f t="array" ref="F84">SUMPRODUCT((PARIS!$AA$4:'PARIS'!$AA$103=A84)*PARIS!$AH$4:$AH$103)+SUMPRODUCT((PARIS!$AB$4:'PARIS'!$AB$103=A84)*PARIS!$AH$4:$AH$103)+SUMPRODUCT((PARIS!$AU$4:'PARIS'!$AU$103=A84)*PARIS!$AZ$4:$AZ$103)</f>
        <v>0</v>
      </c>
      <c r="G84" s="136" cm="1">
        <f t="array" ref="G84">SUMPRODUCT((PARIS!$AA$4:'PARIS'!$AA$103=A84)*PARIS!$AI$4:$AI$103)+SUMPRODUCT((PARIS!$AB$4:'PARIS'!$AB$103=A84)*PARIS!$AI$4:$AI$103)+SUMPRODUCT((PARIS!$AU$4:'PARIS'!$AU$103=A84)*PARIS!$BA$4:$BA$103)</f>
        <v>0</v>
      </c>
      <c r="H84" s="115"/>
      <c r="I84" s="139">
        <f t="shared" si="5"/>
        <v>19057.832957500003</v>
      </c>
      <c r="J84" s="136">
        <f t="shared" si="4"/>
        <v>5144.2397000000001</v>
      </c>
      <c r="K84" s="136">
        <f t="shared" si="4"/>
        <v>13913.593257499997</v>
      </c>
      <c r="L84" s="136">
        <f t="shared" si="4"/>
        <v>1522.520186966171</v>
      </c>
      <c r="M84" s="136">
        <f t="shared" si="4"/>
        <v>953.95148081232492</v>
      </c>
      <c r="N84" s="115"/>
      <c r="O84" s="131">
        <f>C84*(Hypotheses!H48*Hypotheses!$D$19+Hypotheses!$D$14*(1-Hypotheses!H48))</f>
        <v>0</v>
      </c>
      <c r="P84" s="131">
        <f>C84*(Hypotheses!I48*Hypotheses!$D$19+Hypotheses!$D$14*(1-Hypotheses!I48))</f>
        <v>0</v>
      </c>
      <c r="Q84" s="131">
        <f>C84*(Hypotheses!J48*Hypotheses!$D$19+Hypotheses!$D$14*(1-Hypotheses!J48))</f>
        <v>0</v>
      </c>
      <c r="R84" s="115"/>
      <c r="S84" s="131">
        <f>C84*(Hypotheses!H48*Hypotheses!$D$21+Hypotheses!$D$14*(1-Hypotheses!H48))</f>
        <v>0</v>
      </c>
      <c r="T84" s="131">
        <f>C84*(Hypotheses!I48*Hypotheses!$D$21+Hypotheses!$D$14*(1-Hypotheses!I48))</f>
        <v>0</v>
      </c>
      <c r="U84" s="131">
        <f>C84*(Hypotheses!J48*Hypotheses!$D$21+Hypotheses!$D$14*(1-Hypotheses!J48))</f>
        <v>0</v>
      </c>
      <c r="V84" s="115"/>
      <c r="W84" s="128">
        <f>-C84*Hypotheses!$D$31*Hypotheses!H48</f>
        <v>0</v>
      </c>
      <c r="X84" s="128">
        <f>-C84*Hypotheses!$D$31*Hypotheses!I48</f>
        <v>0</v>
      </c>
      <c r="Y84" s="128">
        <f>-C84*Hypotheses!$D$31*Hypotheses!J48</f>
        <v>0</v>
      </c>
      <c r="Z84" s="126">
        <f>-C84*Hypotheses!$D$30*Hypotheses!H48</f>
        <v>0</v>
      </c>
      <c r="AA84" s="126">
        <f>-C84*Hypotheses!$D$30*Hypotheses!I48</f>
        <v>0</v>
      </c>
      <c r="AB84" s="126">
        <f>-C84*Hypotheses!$D$30*Hypotheses!J48</f>
        <v>0</v>
      </c>
      <c r="AC84" s="115"/>
      <c r="AD84" s="126">
        <f>-C84*Hypotheses!$D$30*Hypotheses!H48+(O84+S84)/2</f>
        <v>0</v>
      </c>
      <c r="AE84" s="126">
        <f>-C84*Hypotheses!$D$30*Hypotheses!I48+(P84+T84)/2</f>
        <v>0</v>
      </c>
      <c r="AF84" s="126">
        <f>-C84*Hypotheses!$D$30*Hypotheses!J48+(Q84+U84)/2</f>
        <v>0</v>
      </c>
      <c r="AG84" s="115"/>
      <c r="AH84" s="128">
        <f t="shared" si="6"/>
        <v>-129.32685524999999</v>
      </c>
      <c r="AI84" s="128">
        <f t="shared" si="7"/>
        <v>-139.04493154291734</v>
      </c>
      <c r="AJ84" s="128">
        <f t="shared" si="8"/>
        <v>-151.19252690906404</v>
      </c>
      <c r="AK84" s="126">
        <f t="shared" si="9"/>
        <v>-32.331713812499999</v>
      </c>
      <c r="AL84" s="126">
        <f t="shared" si="10"/>
        <v>-34.761232885729335</v>
      </c>
      <c r="AM84" s="126">
        <f t="shared" si="11"/>
        <v>-37.798131727266011</v>
      </c>
      <c r="AN84" s="115"/>
      <c r="AO84" s="131">
        <f t="shared" si="12"/>
        <v>25.218736773750003</v>
      </c>
      <c r="AP84" s="131">
        <f t="shared" si="13"/>
        <v>25.170146392285414</v>
      </c>
      <c r="AQ84" s="131">
        <f t="shared" si="14"/>
        <v>25.109408415454681</v>
      </c>
      <c r="AR84" s="115"/>
      <c r="AS84" s="131">
        <f t="shared" si="15"/>
        <v>27.158639602499996</v>
      </c>
      <c r="AT84" s="131">
        <f t="shared" si="16"/>
        <v>27.255820365429177</v>
      </c>
      <c r="AU84" s="131">
        <f t="shared" si="17"/>
        <v>27.37729631909064</v>
      </c>
      <c r="AV84" s="115"/>
      <c r="AW84" s="126">
        <f t="shared" si="18"/>
        <v>-7.112977038749996</v>
      </c>
      <c r="AX84" s="126">
        <f t="shared" si="19"/>
        <v>-9.5910864934439211</v>
      </c>
      <c r="AY84" s="126">
        <f t="shared" si="20"/>
        <v>-12.68872331181133</v>
      </c>
      <c r="AZ84" s="115"/>
      <c r="BA84" s="126">
        <f t="shared" si="21"/>
        <v>-5.1730742100000029</v>
      </c>
      <c r="BB84" s="126">
        <f t="shared" si="22"/>
        <v>-7.5054125203001583</v>
      </c>
      <c r="BC84" s="126">
        <f t="shared" si="23"/>
        <v>-10.420835408175371</v>
      </c>
      <c r="BD84" s="115"/>
    </row>
    <row r="85" spans="1:56" x14ac:dyDescent="0.25">
      <c r="A85" s="94">
        <v>2030</v>
      </c>
      <c r="B85" s="139" cm="1">
        <f t="array" ref="B85">SUMPRODUCT((PARIS!$AA$4:'PARIS'!$AA$103=A85)*PARIS!$AD$4:$AD$103)+SUMPRODUCT((PARIS!$AB$4:'PARIS'!$AB$103=A85)*PARIS!$AD$4:$AD$103)+SUMPRODUCT((PARIS!$AU$4:'PARIS'!$AU$103=A85)*PARIS!$AX$4:$AX$103)</f>
        <v>44231.25</v>
      </c>
      <c r="C85" s="139" cm="1">
        <f t="array" ref="C85">SUMPRODUCT((PARIS!$AA$4:'PARIS'!$AA$103=A85)*PARIS!$AE$4:$AE$103)+SUMPRODUCT((PARIS!$AB$4:'PARIS'!$AB$103=A85)*PARIS!$AE$4:$AE$103)+SUMPRODUCT((PARIS!$AU$4:'PARIS'!$AU$103=A85)*PARIS!$AY$4:$AY$103)</f>
        <v>998.36249999999995</v>
      </c>
      <c r="D85" s="136" cm="1">
        <f t="array" ref="D85">SUMPRODUCT((PARIS!$AA$4:'PARIS'!$AA$103=A85)*PARIS!$AF$4:$AF$103)+SUMPRODUCT((PARIS!$AB$4:'PARIS'!$AB$103=A85)*PARIS!$AF$4:$AF$103)+SUMPRODUCT((PARIS!$AU$4:'PARIS'!$AU$103=A85)*PARIS!$AV$4:$AV$103)</f>
        <v>568.6875</v>
      </c>
      <c r="E85" s="136" cm="1">
        <f t="array" ref="E85">SUMPRODUCT((PARIS!$AA$4:'PARIS'!$AA$103=A85)*PARIS!$AG$4:$AG$103)+SUMPRODUCT((PARIS!$AB$4:'PARIS'!$AB$103=A85)*PARIS!$AG$4:$AG$103)+SUMPRODUCT((PARIS!$AU$4:'PARIS'!$AU$103=A85)*PARIS!$AW$4:$AW$103)</f>
        <v>429.67500000000001</v>
      </c>
      <c r="F85" s="136" cm="1">
        <f t="array" ref="F85">SUMPRODUCT((PARIS!$AA$4:'PARIS'!$AA$103=A85)*PARIS!$AH$4:$AH$103)+SUMPRODUCT((PARIS!$AB$4:'PARIS'!$AB$103=A85)*PARIS!$AH$4:$AH$103)+SUMPRODUCT((PARIS!$AU$4:'PARIS'!$AU$103=A85)*PARIS!$AZ$4:$AZ$103)</f>
        <v>67.356233766233771</v>
      </c>
      <c r="G85" s="136" cm="1">
        <f t="array" ref="G85">SUMPRODUCT((PARIS!$AA$4:'PARIS'!$AA$103=A85)*PARIS!$AI$4:$AI$103)+SUMPRODUCT((PARIS!$AB$4:'PARIS'!$AB$103=A85)*PARIS!$AI$4:$AI$103)+SUMPRODUCT((PARIS!$AU$4:'PARIS'!$AU$103=A85)*PARIS!$BA$4:$BA$103)</f>
        <v>33.678116883116886</v>
      </c>
      <c r="H85" s="115"/>
      <c r="I85" s="139">
        <f t="shared" si="5"/>
        <v>20056.195457500002</v>
      </c>
      <c r="J85" s="136">
        <f t="shared" si="4"/>
        <v>5712.9272000000001</v>
      </c>
      <c r="K85" s="136">
        <f t="shared" si="4"/>
        <v>14343.268257499996</v>
      </c>
      <c r="L85" s="136">
        <f t="shared" si="4"/>
        <v>1589.8764207324048</v>
      </c>
      <c r="M85" s="136">
        <f t="shared" si="4"/>
        <v>987.62959769544182</v>
      </c>
      <c r="N85" s="115"/>
      <c r="O85" s="131">
        <f>C85*(Hypotheses!H49*Hypotheses!$D$19+Hypotheses!$D$14*(1-Hypotheses!H49))</f>
        <v>11.68084125</v>
      </c>
      <c r="P85" s="131">
        <f>C85*(Hypotheses!I49*Hypotheses!$D$19+Hypotheses!$D$14*(1-Hypotheses!I49))</f>
        <v>11.58996049529825</v>
      </c>
      <c r="Q85" s="131">
        <f>C85*(Hypotheses!J49*Hypotheses!$D$19+Hypotheses!$D$14*(1-Hypotheses!J49))</f>
        <v>11.476359551921062</v>
      </c>
      <c r="R85" s="115"/>
      <c r="S85" s="131">
        <f>C85*(Hypotheses!H49*Hypotheses!$D$21+Hypotheses!$D$14*(1-Hypotheses!H49))</f>
        <v>12.5793675</v>
      </c>
      <c r="T85" s="131">
        <f>C85*(Hypotheses!I49*Hypotheses!$D$21+Hypotheses!$D$14*(1-Hypotheses!I49))</f>
        <v>12.761129009403501</v>
      </c>
      <c r="U85" s="131">
        <f>C85*(Hypotheses!J49*Hypotheses!$D$21+Hypotheses!$D$14*(1-Hypotheses!J49))</f>
        <v>12.988330896157878</v>
      </c>
      <c r="V85" s="115"/>
      <c r="W85" s="128">
        <f>-C85*Hypotheses!$D$31*Hypotheses!H49</f>
        <v>-59.901749999999993</v>
      </c>
      <c r="X85" s="128">
        <f>-C85*Hypotheses!$D$31*Hypotheses!I49</f>
        <v>-78.077900940350105</v>
      </c>
      <c r="Y85" s="128">
        <f>-C85*Hypotheses!$D$31*Hypotheses!J49</f>
        <v>-100.79808961578773</v>
      </c>
      <c r="Z85" s="126">
        <f>-C85*Hypotheses!$D$30*Hypotheses!H49</f>
        <v>-14.975437499999998</v>
      </c>
      <c r="AA85" s="126">
        <f>-C85*Hypotheses!$D$30*Hypotheses!I49</f>
        <v>-19.519475235087526</v>
      </c>
      <c r="AB85" s="126">
        <f>-C85*Hypotheses!$D$30*Hypotheses!J49</f>
        <v>-25.199522403946933</v>
      </c>
      <c r="AC85" s="115"/>
      <c r="AD85" s="126">
        <f>-C85*Hypotheses!$D$30*Hypotheses!H49+(O85+S85)/2</f>
        <v>-2.845333124999998</v>
      </c>
      <c r="AE85" s="126">
        <f>-C85*Hypotheses!$D$30*Hypotheses!I49+(P85+T85)/2</f>
        <v>-7.3439304827366509</v>
      </c>
      <c r="AF85" s="126">
        <f>-C85*Hypotheses!$D$30*Hypotheses!J49+(Q85+U85)/2</f>
        <v>-12.967177179907463</v>
      </c>
      <c r="AG85" s="115"/>
      <c r="AH85" s="128">
        <f t="shared" si="6"/>
        <v>-189.22860524999999</v>
      </c>
      <c r="AI85" s="128">
        <f t="shared" si="7"/>
        <v>-217.12283248326744</v>
      </c>
      <c r="AJ85" s="128">
        <f t="shared" si="8"/>
        <v>-251.99061652485176</v>
      </c>
      <c r="AK85" s="126">
        <f t="shared" si="9"/>
        <v>-47.307151312499997</v>
      </c>
      <c r="AL85" s="126">
        <f t="shared" si="10"/>
        <v>-54.280708120816861</v>
      </c>
      <c r="AM85" s="126">
        <f t="shared" si="11"/>
        <v>-62.99765413121294</v>
      </c>
      <c r="AN85" s="115"/>
      <c r="AO85" s="131">
        <f t="shared" si="12"/>
        <v>36.899578023750003</v>
      </c>
      <c r="AP85" s="131">
        <f t="shared" si="13"/>
        <v>36.76010688758366</v>
      </c>
      <c r="AQ85" s="131">
        <f t="shared" si="14"/>
        <v>36.585767967375745</v>
      </c>
      <c r="AR85" s="115"/>
      <c r="AS85" s="131">
        <f t="shared" si="15"/>
        <v>39.738007102499992</v>
      </c>
      <c r="AT85" s="131">
        <f t="shared" si="16"/>
        <v>40.016949374832677</v>
      </c>
      <c r="AU85" s="131">
        <f t="shared" si="17"/>
        <v>40.365627215248516</v>
      </c>
      <c r="AV85" s="115"/>
      <c r="AW85" s="126">
        <f t="shared" si="18"/>
        <v>-10.407573288749994</v>
      </c>
      <c r="AX85" s="126">
        <f t="shared" si="19"/>
        <v>-17.520601233233201</v>
      </c>
      <c r="AY85" s="126">
        <f t="shared" si="20"/>
        <v>-26.411886163837195</v>
      </c>
      <c r="AZ85" s="115"/>
      <c r="BA85" s="126">
        <f t="shared" si="21"/>
        <v>-7.5691442100000046</v>
      </c>
      <c r="BB85" s="126">
        <f t="shared" si="22"/>
        <v>-14.263758745984184</v>
      </c>
      <c r="BC85" s="126">
        <f t="shared" si="23"/>
        <v>-22.632026915964424</v>
      </c>
      <c r="BD85" s="115"/>
    </row>
    <row r="86" spans="1:56" x14ac:dyDescent="0.25">
      <c r="A86" s="94">
        <v>2031</v>
      </c>
      <c r="B86" s="139" cm="1">
        <f t="array" ref="B86">SUMPRODUCT((PARIS!$AA$4:'PARIS'!$AA$103=A86)*PARIS!$AD$4:$AD$103)+SUMPRODUCT((PARIS!$AB$4:'PARIS'!$AB$103=A86)*PARIS!$AD$4:$AD$103)+SUMPRODUCT((PARIS!$AU$4:'PARIS'!$AU$103=A86)*PARIS!$AX$4:$AX$103)</f>
        <v>0</v>
      </c>
      <c r="C86" s="139" cm="1">
        <f t="array" ref="C86">SUMPRODUCT((PARIS!$AA$4:'PARIS'!$AA$103=A86)*PARIS!$AE$4:$AE$103)+SUMPRODUCT((PARIS!$AB$4:'PARIS'!$AB$103=A86)*PARIS!$AE$4:$AE$103)+SUMPRODUCT((PARIS!$AU$4:'PARIS'!$AU$103=A86)*PARIS!$AY$4:$AY$103)</f>
        <v>0</v>
      </c>
      <c r="D86" s="136" cm="1">
        <f t="array" ref="D86">SUMPRODUCT((PARIS!$AA$4:'PARIS'!$AA$103=A86)*PARIS!$AF$4:$AF$103)+SUMPRODUCT((PARIS!$AB$4:'PARIS'!$AB$103=A86)*PARIS!$AF$4:$AF$103)+SUMPRODUCT((PARIS!$AU$4:'PARIS'!$AU$103=A86)*PARIS!$AV$4:$AV$103)</f>
        <v>0</v>
      </c>
      <c r="E86" s="136" cm="1">
        <f t="array" ref="E86">SUMPRODUCT((PARIS!$AA$4:'PARIS'!$AA$103=A86)*PARIS!$AG$4:$AG$103)+SUMPRODUCT((PARIS!$AB$4:'PARIS'!$AB$103=A86)*PARIS!$AG$4:$AG$103)+SUMPRODUCT((PARIS!$AU$4:'PARIS'!$AU$103=A86)*PARIS!$AW$4:$AW$103)</f>
        <v>0</v>
      </c>
      <c r="F86" s="136" cm="1">
        <f t="array" ref="F86">SUMPRODUCT((PARIS!$AA$4:'PARIS'!$AA$103=A86)*PARIS!$AH$4:$AH$103)+SUMPRODUCT((PARIS!$AB$4:'PARIS'!$AB$103=A86)*PARIS!$AH$4:$AH$103)+SUMPRODUCT((PARIS!$AU$4:'PARIS'!$AU$103=A86)*PARIS!$AZ$4:$AZ$103)</f>
        <v>0</v>
      </c>
      <c r="G86" s="136" cm="1">
        <f t="array" ref="G86">SUMPRODUCT((PARIS!$AA$4:'PARIS'!$AA$103=A86)*PARIS!$AI$4:$AI$103)+SUMPRODUCT((PARIS!$AB$4:'PARIS'!$AB$103=A86)*PARIS!$AI$4:$AI$103)+SUMPRODUCT((PARIS!$AU$4:'PARIS'!$AU$103=A86)*PARIS!$BA$4:$BA$103)</f>
        <v>0</v>
      </c>
      <c r="H86" s="115"/>
      <c r="I86" s="139">
        <f t="shared" si="5"/>
        <v>20056.195457500002</v>
      </c>
      <c r="J86" s="136">
        <f t="shared" si="4"/>
        <v>5712.9272000000001</v>
      </c>
      <c r="K86" s="136">
        <f t="shared" si="4"/>
        <v>14343.268257499996</v>
      </c>
      <c r="L86" s="136">
        <f t="shared" si="4"/>
        <v>1589.8764207324048</v>
      </c>
      <c r="M86" s="136">
        <f t="shared" si="4"/>
        <v>987.62959769544182</v>
      </c>
      <c r="N86" s="115"/>
      <c r="O86" s="131">
        <f>C86*(Hypotheses!H50*Hypotheses!$D$19+Hypotheses!$D$14*(1-Hypotheses!H50))</f>
        <v>0</v>
      </c>
      <c r="P86" s="131">
        <f>C86*(Hypotheses!I50*Hypotheses!$D$19+Hypotheses!$D$14*(1-Hypotheses!I50))</f>
        <v>0</v>
      </c>
      <c r="Q86" s="131">
        <f>C86*(Hypotheses!J50*Hypotheses!$D$19+Hypotheses!$D$14*(1-Hypotheses!J50))</f>
        <v>0</v>
      </c>
      <c r="R86" s="115"/>
      <c r="S86" s="131">
        <f>C86*(Hypotheses!H50*Hypotheses!$D$21+Hypotheses!$D$14*(1-Hypotheses!H50))</f>
        <v>0</v>
      </c>
      <c r="T86" s="131">
        <f>C86*(Hypotheses!I50*Hypotheses!$D$21+Hypotheses!$D$14*(1-Hypotheses!I50))</f>
        <v>0</v>
      </c>
      <c r="U86" s="131">
        <f>C86*(Hypotheses!J50*Hypotheses!$D$21+Hypotheses!$D$14*(1-Hypotheses!J50))</f>
        <v>0</v>
      </c>
      <c r="V86" s="115"/>
      <c r="W86" s="128">
        <f>-C86*Hypotheses!$D$31*Hypotheses!H50</f>
        <v>0</v>
      </c>
      <c r="X86" s="128">
        <f>-C86*Hypotheses!$D$31*Hypotheses!I50</f>
        <v>0</v>
      </c>
      <c r="Y86" s="128">
        <f>-C86*Hypotheses!$D$31*Hypotheses!J50</f>
        <v>0</v>
      </c>
      <c r="Z86" s="126">
        <f>-C86*Hypotheses!$D$30*Hypotheses!H50</f>
        <v>0</v>
      </c>
      <c r="AA86" s="126">
        <f>-C86*Hypotheses!$D$30*Hypotheses!I50</f>
        <v>0</v>
      </c>
      <c r="AB86" s="126">
        <f>-C86*Hypotheses!$D$30*Hypotheses!J50</f>
        <v>0</v>
      </c>
      <c r="AC86" s="115"/>
      <c r="AD86" s="126">
        <f>-C86*Hypotheses!$D$30*Hypotheses!H50+(O86+S86)/2</f>
        <v>0</v>
      </c>
      <c r="AE86" s="126">
        <f>-C86*Hypotheses!$D$30*Hypotheses!I50+(P86+T86)/2</f>
        <v>0</v>
      </c>
      <c r="AF86" s="126">
        <f>-C86*Hypotheses!$D$30*Hypotheses!J50+(Q86+U86)/2</f>
        <v>0</v>
      </c>
      <c r="AG86" s="115"/>
      <c r="AH86" s="128">
        <f t="shared" si="6"/>
        <v>-189.22860524999999</v>
      </c>
      <c r="AI86" s="128">
        <f t="shared" si="7"/>
        <v>-217.12283248326744</v>
      </c>
      <c r="AJ86" s="128">
        <f t="shared" si="8"/>
        <v>-251.99061652485176</v>
      </c>
      <c r="AK86" s="126">
        <f t="shared" si="9"/>
        <v>-47.307151312499997</v>
      </c>
      <c r="AL86" s="126">
        <f t="shared" si="10"/>
        <v>-54.280708120816861</v>
      </c>
      <c r="AM86" s="126">
        <f t="shared" si="11"/>
        <v>-62.99765413121294</v>
      </c>
      <c r="AN86" s="115"/>
      <c r="AO86" s="131">
        <f t="shared" si="12"/>
        <v>36.899578023750003</v>
      </c>
      <c r="AP86" s="131">
        <f t="shared" si="13"/>
        <v>36.76010688758366</v>
      </c>
      <c r="AQ86" s="131">
        <f t="shared" si="14"/>
        <v>36.585767967375745</v>
      </c>
      <c r="AR86" s="115"/>
      <c r="AS86" s="131">
        <f t="shared" si="15"/>
        <v>39.738007102499992</v>
      </c>
      <c r="AT86" s="131">
        <f t="shared" si="16"/>
        <v>40.016949374832677</v>
      </c>
      <c r="AU86" s="131">
        <f t="shared" si="17"/>
        <v>40.365627215248516</v>
      </c>
      <c r="AV86" s="115"/>
      <c r="AW86" s="126">
        <f t="shared" si="18"/>
        <v>-10.407573288749994</v>
      </c>
      <c r="AX86" s="126">
        <f t="shared" si="19"/>
        <v>-17.520601233233201</v>
      </c>
      <c r="AY86" s="126">
        <f t="shared" si="20"/>
        <v>-26.411886163837195</v>
      </c>
      <c r="AZ86" s="115"/>
      <c r="BA86" s="126">
        <f t="shared" si="21"/>
        <v>-7.5691442100000046</v>
      </c>
      <c r="BB86" s="126">
        <f t="shared" si="22"/>
        <v>-14.263758745984184</v>
      </c>
      <c r="BC86" s="126">
        <f t="shared" si="23"/>
        <v>-22.632026915964424</v>
      </c>
      <c r="BD86" s="115"/>
    </row>
    <row r="87" spans="1:56" x14ac:dyDescent="0.25">
      <c r="A87" s="94">
        <v>2032</v>
      </c>
      <c r="B87" s="139" cm="1">
        <f t="array" ref="B87">SUMPRODUCT((PARIS!$AA$4:'PARIS'!$AA$103=A87)*PARIS!$AD$4:$AD$103)+SUMPRODUCT((PARIS!$AB$4:'PARIS'!$AB$103=A87)*PARIS!$AD$4:$AD$103)+SUMPRODUCT((PARIS!$AU$4:'PARIS'!$AU$103=A87)*PARIS!$AX$4:$AX$103)</f>
        <v>18152.495999999999</v>
      </c>
      <c r="C87" s="139" cm="1">
        <f t="array" ref="C87">SUMPRODUCT((PARIS!$AA$4:'PARIS'!$AA$103=A87)*PARIS!$AE$4:$AE$103)+SUMPRODUCT((PARIS!$AB$4:'PARIS'!$AB$103=A87)*PARIS!$AE$4:$AE$103)+SUMPRODUCT((PARIS!$AU$4:'PARIS'!$AU$103=A87)*PARIS!$AY$4:$AY$103)</f>
        <v>411.64056000000005</v>
      </c>
      <c r="D87" s="136" cm="1">
        <f t="array" ref="D87">SUMPRODUCT((PARIS!$AA$4:'PARIS'!$AA$103=A87)*PARIS!$AF$4:$AF$103)+SUMPRODUCT((PARIS!$AB$4:'PARIS'!$AB$103=A87)*PARIS!$AF$4:$AF$103)+SUMPRODUCT((PARIS!$AU$4:'PARIS'!$AU$103=A87)*PARIS!$AV$4:$AV$103)</f>
        <v>242.95320000000004</v>
      </c>
      <c r="E87" s="136" cm="1">
        <f t="array" ref="E87">SUMPRODUCT((PARIS!$AA$4:'PARIS'!$AA$103=A87)*PARIS!$AG$4:$AG$103)+SUMPRODUCT((PARIS!$AB$4:'PARIS'!$AB$103=A87)*PARIS!$AG$4:$AG$103)+SUMPRODUCT((PARIS!$AU$4:'PARIS'!$AU$103=A87)*PARIS!$AW$4:$AW$103)</f>
        <v>168.68736000000001</v>
      </c>
      <c r="F87" s="136" cm="1">
        <f t="array" ref="F87">SUMPRODUCT((PARIS!$AA$4:'PARIS'!$AA$103=A87)*PARIS!$AH$4:$AH$103)+SUMPRODUCT((PARIS!$AB$4:'PARIS'!$AB$103=A87)*PARIS!$AH$4:$AH$103)+SUMPRODUCT((PARIS!$AU$4:'PARIS'!$AU$103=A87)*PARIS!$AZ$4:$AZ$103)</f>
        <v>18.357119999999998</v>
      </c>
      <c r="G87" s="136" cm="1">
        <f t="array" ref="G87">SUMPRODUCT((PARIS!$AA$4:'PARIS'!$AA$103=A87)*PARIS!$AI$4:$AI$103)+SUMPRODUCT((PARIS!$AB$4:'PARIS'!$AB$103=A87)*PARIS!$AI$4:$AI$103)+SUMPRODUCT((PARIS!$AU$4:'PARIS'!$AU$103=A87)*PARIS!$BA$4:$BA$103)</f>
        <v>9.1785599999999992</v>
      </c>
      <c r="H87" s="115"/>
      <c r="I87" s="139">
        <f t="shared" si="5"/>
        <v>20467.836017500002</v>
      </c>
      <c r="J87" s="136">
        <f t="shared" si="4"/>
        <v>5955.8804</v>
      </c>
      <c r="K87" s="136">
        <f t="shared" si="4"/>
        <v>14511.955617499996</v>
      </c>
      <c r="L87" s="136">
        <f t="shared" si="4"/>
        <v>1608.2335407324047</v>
      </c>
      <c r="M87" s="136">
        <f t="shared" si="4"/>
        <v>996.80815769544176</v>
      </c>
      <c r="N87" s="115"/>
      <c r="O87" s="131">
        <f>C87*(Hypotheses!H51*Hypotheses!$D$19+Hypotheses!$D$14*(1-Hypotheses!H51))</f>
        <v>4.8161945520000007</v>
      </c>
      <c r="P87" s="131">
        <f>C87*(Hypotheses!I51*Hypotheses!$D$19+Hypotheses!$D$14*(1-Hypotheses!I51))</f>
        <v>4.7260820582664707</v>
      </c>
      <c r="Q87" s="131">
        <f>C87*(Hypotheses!J51*Hypotheses!$D$19+Hypotheses!$D$14*(1-Hypotheses!J51))</f>
        <v>4.6134414410995568</v>
      </c>
      <c r="R87" s="115"/>
      <c r="S87" s="131">
        <f>C87*(Hypotheses!H51*Hypotheses!$D$21+Hypotheses!$D$14*(1-Hypotheses!H51))</f>
        <v>5.1866710560000007</v>
      </c>
      <c r="T87" s="131">
        <f>C87*(Hypotheses!I51*Hypotheses!$D$21+Hypotheses!$D$14*(1-Hypotheses!I51))</f>
        <v>5.3668960434670616</v>
      </c>
      <c r="U87" s="131">
        <f>C87*(Hypotheses!J51*Hypotheses!$D$21+Hypotheses!$D$14*(1-Hypotheses!J51))</f>
        <v>5.5921772778008867</v>
      </c>
      <c r="V87" s="115"/>
      <c r="W87" s="128">
        <f>-C87*Hypotheses!$D$31*Hypotheses!H51</f>
        <v>-24.698433600000001</v>
      </c>
      <c r="X87" s="128">
        <f>-C87*Hypotheses!$D$31*Hypotheses!I51</f>
        <v>-42.72093234670605</v>
      </c>
      <c r="Y87" s="128">
        <f>-C87*Hypotheses!$D$31*Hypotheses!J51</f>
        <v>-65.249055780088611</v>
      </c>
      <c r="Z87" s="126">
        <f>-C87*Hypotheses!$D$30*Hypotheses!H51</f>
        <v>-6.1746084000000003</v>
      </c>
      <c r="AA87" s="126">
        <f>-C87*Hypotheses!$D$30*Hypotheses!I51</f>
        <v>-10.680233086676512</v>
      </c>
      <c r="AB87" s="126">
        <f>-C87*Hypotheses!$D$30*Hypotheses!J51</f>
        <v>-16.312263945022153</v>
      </c>
      <c r="AC87" s="115"/>
      <c r="AD87" s="126">
        <f>-C87*Hypotheses!$D$30*Hypotheses!H51+(O87+S87)/2</f>
        <v>-1.1731755960000001</v>
      </c>
      <c r="AE87" s="126">
        <f>-C87*Hypotheses!$D$30*Hypotheses!I51+(P87+T87)/2</f>
        <v>-5.6337440358097464</v>
      </c>
      <c r="AF87" s="126">
        <f>-C87*Hypotheses!$D$30*Hypotheses!J51+(Q87+U87)/2</f>
        <v>-11.209454585571931</v>
      </c>
      <c r="AG87" s="115"/>
      <c r="AH87" s="128">
        <f t="shared" si="6"/>
        <v>-213.92703884999997</v>
      </c>
      <c r="AI87" s="128">
        <f t="shared" si="7"/>
        <v>-259.84376482997351</v>
      </c>
      <c r="AJ87" s="128">
        <f t="shared" si="8"/>
        <v>-317.23967230494037</v>
      </c>
      <c r="AK87" s="126">
        <f t="shared" si="9"/>
        <v>-53.481759712499993</v>
      </c>
      <c r="AL87" s="126">
        <f t="shared" si="10"/>
        <v>-64.960941207493377</v>
      </c>
      <c r="AM87" s="126">
        <f t="shared" si="11"/>
        <v>-79.309918076235093</v>
      </c>
      <c r="AN87" s="115"/>
      <c r="AO87" s="131">
        <f t="shared" si="12"/>
        <v>41.715772575750002</v>
      </c>
      <c r="AP87" s="131">
        <f t="shared" si="13"/>
        <v>41.486188945850131</v>
      </c>
      <c r="AQ87" s="131">
        <f t="shared" si="14"/>
        <v>41.199209408475298</v>
      </c>
      <c r="AR87" s="115"/>
      <c r="AS87" s="131">
        <f t="shared" si="15"/>
        <v>44.924678158499994</v>
      </c>
      <c r="AT87" s="131">
        <f t="shared" si="16"/>
        <v>45.383845418299742</v>
      </c>
      <c r="AU87" s="131">
        <f t="shared" si="17"/>
        <v>45.957804493049402</v>
      </c>
      <c r="AV87" s="115"/>
      <c r="AW87" s="126">
        <f t="shared" si="18"/>
        <v>-11.765987136749992</v>
      </c>
      <c r="AX87" s="126">
        <f t="shared" si="19"/>
        <v>-23.474752261643246</v>
      </c>
      <c r="AY87" s="126">
        <f t="shared" si="20"/>
        <v>-38.110708667759795</v>
      </c>
      <c r="AZ87" s="115"/>
      <c r="BA87" s="126">
        <f t="shared" si="21"/>
        <v>-8.5570815539999998</v>
      </c>
      <c r="BB87" s="126">
        <f t="shared" si="22"/>
        <v>-19.577095789193635</v>
      </c>
      <c r="BC87" s="126">
        <f t="shared" si="23"/>
        <v>-33.352113583185691</v>
      </c>
      <c r="BD87" s="115"/>
    </row>
    <row r="88" spans="1:56" x14ac:dyDescent="0.25">
      <c r="A88" s="94">
        <v>2033</v>
      </c>
      <c r="B88" s="139" cm="1">
        <f t="array" ref="B88">SUMPRODUCT((PARIS!$AA$4:'PARIS'!$AA$103=A88)*PARIS!$AD$4:$AD$103)+SUMPRODUCT((PARIS!$AB$4:'PARIS'!$AB$103=A88)*PARIS!$AD$4:$AD$103)+SUMPRODUCT((PARIS!$AU$4:'PARIS'!$AU$103=A88)*PARIS!$AX$4:$AX$103)</f>
        <v>0</v>
      </c>
      <c r="C88" s="139" cm="1">
        <f t="array" ref="C88">SUMPRODUCT((PARIS!$AA$4:'PARIS'!$AA$103=A88)*PARIS!$AE$4:$AE$103)+SUMPRODUCT((PARIS!$AB$4:'PARIS'!$AB$103=A88)*PARIS!$AE$4:$AE$103)+SUMPRODUCT((PARIS!$AU$4:'PARIS'!$AU$103=A88)*PARIS!$AY$4:$AY$103)</f>
        <v>0</v>
      </c>
      <c r="D88" s="136" cm="1">
        <f t="array" ref="D88">SUMPRODUCT((PARIS!$AA$4:'PARIS'!$AA$103=A88)*PARIS!$AF$4:$AF$103)+SUMPRODUCT((PARIS!$AB$4:'PARIS'!$AB$103=A88)*PARIS!$AF$4:$AF$103)+SUMPRODUCT((PARIS!$AU$4:'PARIS'!$AU$103=A88)*PARIS!$AV$4:$AV$103)</f>
        <v>0</v>
      </c>
      <c r="E88" s="136" cm="1">
        <f t="array" ref="E88">SUMPRODUCT((PARIS!$AA$4:'PARIS'!$AA$103=A88)*PARIS!$AG$4:$AG$103)+SUMPRODUCT((PARIS!$AB$4:'PARIS'!$AB$103=A88)*PARIS!$AG$4:$AG$103)+SUMPRODUCT((PARIS!$AU$4:'PARIS'!$AU$103=A88)*PARIS!$AW$4:$AW$103)</f>
        <v>0</v>
      </c>
      <c r="F88" s="136" cm="1">
        <f t="array" ref="F88">SUMPRODUCT((PARIS!$AA$4:'PARIS'!$AA$103=A88)*PARIS!$AH$4:$AH$103)+SUMPRODUCT((PARIS!$AB$4:'PARIS'!$AB$103=A88)*PARIS!$AH$4:$AH$103)+SUMPRODUCT((PARIS!$AU$4:'PARIS'!$AU$103=A88)*PARIS!$AZ$4:$AZ$103)</f>
        <v>0</v>
      </c>
      <c r="G88" s="136" cm="1">
        <f t="array" ref="G88">SUMPRODUCT((PARIS!$AA$4:'PARIS'!$AA$103=A88)*PARIS!$AI$4:$AI$103)+SUMPRODUCT((PARIS!$AB$4:'PARIS'!$AB$103=A88)*PARIS!$AI$4:$AI$103)+SUMPRODUCT((PARIS!$AU$4:'PARIS'!$AU$103=A88)*PARIS!$BA$4:$BA$103)</f>
        <v>0</v>
      </c>
      <c r="H88" s="115"/>
      <c r="I88" s="139">
        <f t="shared" si="5"/>
        <v>20467.836017500002</v>
      </c>
      <c r="J88" s="136">
        <f t="shared" si="4"/>
        <v>5955.8804</v>
      </c>
      <c r="K88" s="136">
        <f t="shared" si="4"/>
        <v>14511.955617499996</v>
      </c>
      <c r="L88" s="136">
        <f t="shared" si="4"/>
        <v>1608.2335407324047</v>
      </c>
      <c r="M88" s="136">
        <f t="shared" si="4"/>
        <v>996.80815769544176</v>
      </c>
      <c r="N88" s="115"/>
      <c r="O88" s="131">
        <f>C88*(Hypotheses!H52*Hypotheses!$D$19+Hypotheses!$D$14*(1-Hypotheses!H52))</f>
        <v>0</v>
      </c>
      <c r="P88" s="131">
        <f>C88*(Hypotheses!I52*Hypotheses!$D$19+Hypotheses!$D$14*(1-Hypotheses!I52))</f>
        <v>0</v>
      </c>
      <c r="Q88" s="131">
        <f>C88*(Hypotheses!J52*Hypotheses!$D$19+Hypotheses!$D$14*(1-Hypotheses!J52))</f>
        <v>0</v>
      </c>
      <c r="R88" s="115"/>
      <c r="S88" s="131">
        <f>C88*(Hypotheses!H52*Hypotheses!$D$21+Hypotheses!$D$14*(1-Hypotheses!H52))</f>
        <v>0</v>
      </c>
      <c r="T88" s="131">
        <f>C88*(Hypotheses!I52*Hypotheses!$D$21+Hypotheses!$D$14*(1-Hypotheses!I52))</f>
        <v>0</v>
      </c>
      <c r="U88" s="131">
        <f>C88*(Hypotheses!J52*Hypotheses!$D$21+Hypotheses!$D$14*(1-Hypotheses!J52))</f>
        <v>0</v>
      </c>
      <c r="V88" s="115"/>
      <c r="W88" s="128">
        <f>-C88*Hypotheses!$D$31*Hypotheses!H52</f>
        <v>0</v>
      </c>
      <c r="X88" s="128">
        <f>-C88*Hypotheses!$D$31*Hypotheses!I52</f>
        <v>0</v>
      </c>
      <c r="Y88" s="128">
        <f>-C88*Hypotheses!$D$31*Hypotheses!J52</f>
        <v>0</v>
      </c>
      <c r="Z88" s="126">
        <f>-C88*Hypotheses!$D$30*Hypotheses!H52</f>
        <v>0</v>
      </c>
      <c r="AA88" s="126">
        <f>-C88*Hypotheses!$D$30*Hypotheses!I52</f>
        <v>0</v>
      </c>
      <c r="AB88" s="126">
        <f>-C88*Hypotheses!$D$30*Hypotheses!J52</f>
        <v>0</v>
      </c>
      <c r="AC88" s="115"/>
      <c r="AD88" s="126">
        <f>-C88*Hypotheses!$D$30*Hypotheses!H52+(O88+S88)/2</f>
        <v>0</v>
      </c>
      <c r="AE88" s="126">
        <f>-C88*Hypotheses!$D$30*Hypotheses!I52+(P88+T88)/2</f>
        <v>0</v>
      </c>
      <c r="AF88" s="126">
        <f>-C88*Hypotheses!$D$30*Hypotheses!J52+(Q88+U88)/2</f>
        <v>0</v>
      </c>
      <c r="AG88" s="115"/>
      <c r="AH88" s="128">
        <f t="shared" si="6"/>
        <v>-213.92703884999997</v>
      </c>
      <c r="AI88" s="128">
        <f t="shared" si="7"/>
        <v>-259.84376482997351</v>
      </c>
      <c r="AJ88" s="128">
        <f t="shared" si="8"/>
        <v>-317.23967230494037</v>
      </c>
      <c r="AK88" s="126">
        <f t="shared" si="9"/>
        <v>-53.481759712499993</v>
      </c>
      <c r="AL88" s="126">
        <f t="shared" si="10"/>
        <v>-64.960941207493377</v>
      </c>
      <c r="AM88" s="126">
        <f t="shared" si="11"/>
        <v>-79.309918076235093</v>
      </c>
      <c r="AN88" s="115"/>
      <c r="AO88" s="131">
        <f t="shared" si="12"/>
        <v>41.715772575750002</v>
      </c>
      <c r="AP88" s="131">
        <f t="shared" si="13"/>
        <v>41.486188945850131</v>
      </c>
      <c r="AQ88" s="131">
        <f t="shared" si="14"/>
        <v>41.199209408475298</v>
      </c>
      <c r="AR88" s="115"/>
      <c r="AS88" s="131">
        <f t="shared" si="15"/>
        <v>44.924678158499994</v>
      </c>
      <c r="AT88" s="131">
        <f t="shared" si="16"/>
        <v>45.383845418299742</v>
      </c>
      <c r="AU88" s="131">
        <f t="shared" si="17"/>
        <v>45.957804493049402</v>
      </c>
      <c r="AV88" s="115"/>
      <c r="AW88" s="126">
        <f t="shared" si="18"/>
        <v>-11.765987136749992</v>
      </c>
      <c r="AX88" s="126">
        <f t="shared" si="19"/>
        <v>-23.474752261643246</v>
      </c>
      <c r="AY88" s="126">
        <f t="shared" si="20"/>
        <v>-38.110708667759795</v>
      </c>
      <c r="AZ88" s="115"/>
      <c r="BA88" s="126">
        <f t="shared" si="21"/>
        <v>-8.5570815539999998</v>
      </c>
      <c r="BB88" s="126">
        <f t="shared" si="22"/>
        <v>-19.577095789193635</v>
      </c>
      <c r="BC88" s="126">
        <f t="shared" si="23"/>
        <v>-33.352113583185691</v>
      </c>
      <c r="BD88" s="115"/>
    </row>
    <row r="89" spans="1:56" x14ac:dyDescent="0.25">
      <c r="A89" s="94">
        <v>2034</v>
      </c>
      <c r="B89" s="139" cm="1">
        <f t="array" ref="B89">SUMPRODUCT((PARIS!$AA$4:'PARIS'!$AA$103=A89)*PARIS!$AD$4:$AD$103)+SUMPRODUCT((PARIS!$AB$4:'PARIS'!$AB$103=A89)*PARIS!$AD$4:$AD$103)+SUMPRODUCT((PARIS!$AU$4:'PARIS'!$AU$103=A89)*PARIS!$AX$4:$AX$103)</f>
        <v>11793.6</v>
      </c>
      <c r="C89" s="139" cm="1">
        <f t="array" ref="C89">SUMPRODUCT((PARIS!$AA$4:'PARIS'!$AA$103=A89)*PARIS!$AE$4:$AE$103)+SUMPRODUCT((PARIS!$AB$4:'PARIS'!$AB$103=A89)*PARIS!$AE$4:$AE$103)+SUMPRODUCT((PARIS!$AU$4:'PARIS'!$AU$103=A89)*PARIS!$AY$4:$AY$103)</f>
        <v>176.904</v>
      </c>
      <c r="D89" s="136" cm="1">
        <f t="array" ref="D89">SUMPRODUCT((PARIS!$AA$4:'PARIS'!$AA$103=A89)*PARIS!$AF$4:$AF$103)+SUMPRODUCT((PARIS!$AB$4:'PARIS'!$AB$103=A89)*PARIS!$AF$4:$AF$103)+SUMPRODUCT((PARIS!$AU$4:'PARIS'!$AU$103=A89)*PARIS!$AV$4:$AV$103)</f>
        <v>36.855000000000004</v>
      </c>
      <c r="E89" s="136" cm="1">
        <f t="array" ref="E89">SUMPRODUCT((PARIS!$AA$4:'PARIS'!$AA$103=A89)*PARIS!$AG$4:$AG$103)+SUMPRODUCT((PARIS!$AB$4:'PARIS'!$AB$103=A89)*PARIS!$AG$4:$AG$103)+SUMPRODUCT((PARIS!$AU$4:'PARIS'!$AU$103=A89)*PARIS!$AW$4:$AW$103)</f>
        <v>140.04900000000001</v>
      </c>
      <c r="F89" s="136" cm="1">
        <f t="array" ref="F89">SUMPRODUCT((PARIS!$AA$4:'PARIS'!$AA$103=A89)*PARIS!$AH$4:$AH$103)+SUMPRODUCT((PARIS!$AB$4:'PARIS'!$AB$103=A89)*PARIS!$AH$4:$AH$103)+SUMPRODUCT((PARIS!$AU$4:'PARIS'!$AU$103=A89)*PARIS!$AZ$4:$AZ$103)</f>
        <v>21.475999999999999</v>
      </c>
      <c r="G89" s="136" cm="1">
        <f t="array" ref="G89">SUMPRODUCT((PARIS!$AA$4:'PARIS'!$AA$103=A89)*PARIS!$AI$4:$AI$103)+SUMPRODUCT((PARIS!$AB$4:'PARIS'!$AB$103=A89)*PARIS!$AI$4:$AI$103)+SUMPRODUCT((PARIS!$AU$4:'PARIS'!$AU$103=A89)*PARIS!$BA$4:$BA$103)</f>
        <v>12.375999999999999</v>
      </c>
      <c r="H89" s="115"/>
      <c r="I89" s="139">
        <f t="shared" si="5"/>
        <v>20644.7400175</v>
      </c>
      <c r="J89" s="136">
        <f t="shared" si="4"/>
        <v>5992.7353999999996</v>
      </c>
      <c r="K89" s="136">
        <f t="shared" si="4"/>
        <v>14652.004617499997</v>
      </c>
      <c r="L89" s="136">
        <f t="shared" si="4"/>
        <v>1629.7095407324045</v>
      </c>
      <c r="M89" s="136">
        <f t="shared" si="4"/>
        <v>1009.1841576954417</v>
      </c>
      <c r="N89" s="115"/>
      <c r="O89" s="131">
        <f>C89*(Hypotheses!H53*Hypotheses!$D$19+Hypotheses!$D$14*(1-Hypotheses!H53))</f>
        <v>2.0697768000000001</v>
      </c>
      <c r="P89" s="131">
        <f>C89*(Hypotheses!I53*Hypotheses!$D$19+Hypotheses!$D$14*(1-Hypotheses!I53))</f>
        <v>1.9896306546323195</v>
      </c>
      <c r="Q89" s="131">
        <f>C89*(Hypotheses!J53*Hypotheses!$D$19+Hypotheses!$D$14*(1-Hypotheses!J53))</f>
        <v>1.8894479729227187</v>
      </c>
      <c r="R89" s="115"/>
      <c r="S89" s="131">
        <f>C89*(Hypotheses!H53*Hypotheses!$D$21+Hypotheses!$D$14*(1-Hypotheses!H53))</f>
        <v>2.2289903999999998</v>
      </c>
      <c r="T89" s="131">
        <f>C89*(Hypotheses!I53*Hypotheses!$D$21+Hypotheses!$D$14*(1-Hypotheses!I53))</f>
        <v>2.389282690735361</v>
      </c>
      <c r="U89" s="131">
        <f>C89*(Hypotheses!J53*Hypotheses!$D$21+Hypotheses!$D$14*(1-Hypotheses!J53))</f>
        <v>2.5896480541545621</v>
      </c>
      <c r="V89" s="115"/>
      <c r="W89" s="128">
        <f>-C89*Hypotheses!$D$31*Hypotheses!H53</f>
        <v>-10.614240000000001</v>
      </c>
      <c r="X89" s="128">
        <f>-C89*Hypotheses!$D$31*Hypotheses!I53</f>
        <v>-26.64346907353611</v>
      </c>
      <c r="Y89" s="128">
        <f>-C89*Hypotheses!$D$31*Hypotheses!J53</f>
        <v>-46.680005415456236</v>
      </c>
      <c r="Z89" s="126">
        <f>-C89*Hypotheses!$D$30*Hypotheses!H53</f>
        <v>-2.6535600000000001</v>
      </c>
      <c r="AA89" s="126">
        <f>-C89*Hypotheses!$D$30*Hypotheses!I53</f>
        <v>-6.6608672683840275</v>
      </c>
      <c r="AB89" s="126">
        <f>-C89*Hypotheses!$D$30*Hypotheses!J53</f>
        <v>-11.670001353864059</v>
      </c>
      <c r="AC89" s="115"/>
      <c r="AD89" s="126">
        <f>-C89*Hypotheses!$D$30*Hypotheses!H53+(O89+S89)/2</f>
        <v>-0.50417639999999997</v>
      </c>
      <c r="AE89" s="126">
        <f>-C89*Hypotheses!$D$30*Hypotheses!I53+(P89+T89)/2</f>
        <v>-4.4714105957001875</v>
      </c>
      <c r="AF89" s="126">
        <f>-C89*Hypotheses!$D$30*Hypotheses!J53+(Q89+U89)/2</f>
        <v>-9.4304533403254176</v>
      </c>
      <c r="AG89" s="115"/>
      <c r="AH89" s="128">
        <f t="shared" si="6"/>
        <v>-224.54127884999997</v>
      </c>
      <c r="AI89" s="128">
        <f t="shared" si="7"/>
        <v>-286.4872339035096</v>
      </c>
      <c r="AJ89" s="128">
        <f t="shared" si="8"/>
        <v>-363.91967772039663</v>
      </c>
      <c r="AK89" s="126">
        <f t="shared" si="9"/>
        <v>-56.135319712499992</v>
      </c>
      <c r="AL89" s="126">
        <f t="shared" si="10"/>
        <v>-71.621808475877401</v>
      </c>
      <c r="AM89" s="126">
        <f t="shared" si="11"/>
        <v>-90.979919430099159</v>
      </c>
      <c r="AN89" s="115"/>
      <c r="AO89" s="131">
        <f t="shared" si="12"/>
        <v>43.785549375750001</v>
      </c>
      <c r="AP89" s="131">
        <f t="shared" si="13"/>
        <v>43.475819600482453</v>
      </c>
      <c r="AQ89" s="131">
        <f t="shared" si="14"/>
        <v>43.088657381398015</v>
      </c>
      <c r="AR89" s="115"/>
      <c r="AS89" s="131">
        <f t="shared" si="15"/>
        <v>47.153668558499994</v>
      </c>
      <c r="AT89" s="131">
        <f t="shared" si="16"/>
        <v>47.773128109035106</v>
      </c>
      <c r="AU89" s="131">
        <f t="shared" si="17"/>
        <v>48.54745254720396</v>
      </c>
      <c r="AV89" s="115"/>
      <c r="AW89" s="126">
        <f t="shared" si="18"/>
        <v>-12.349770336749991</v>
      </c>
      <c r="AX89" s="126">
        <f t="shared" si="19"/>
        <v>-28.145988875394949</v>
      </c>
      <c r="AY89" s="126">
        <f t="shared" si="20"/>
        <v>-47.891262048701144</v>
      </c>
      <c r="AZ89" s="115"/>
      <c r="BA89" s="126">
        <f t="shared" si="21"/>
        <v>-8.9816511539999979</v>
      </c>
      <c r="BB89" s="126">
        <f t="shared" si="22"/>
        <v>-23.848680366842295</v>
      </c>
      <c r="BC89" s="126">
        <f t="shared" si="23"/>
        <v>-42.432466882895199</v>
      </c>
      <c r="BD89" s="115"/>
    </row>
    <row r="90" spans="1:56" x14ac:dyDescent="0.25">
      <c r="A90" s="94">
        <v>2035</v>
      </c>
      <c r="B90" s="139" cm="1">
        <f t="array" ref="B90">SUMPRODUCT((PARIS!$AA$4:'PARIS'!$AA$103=A90)*PARIS!$AD$4:$AD$103)+SUMPRODUCT((PARIS!$AB$4:'PARIS'!$AB$103=A90)*PARIS!$AD$4:$AD$103)+SUMPRODUCT((PARIS!$AU$4:'PARIS'!$AU$103=A90)*PARIS!$AX$4:$AX$103)</f>
        <v>112200</v>
      </c>
      <c r="C90" s="139" cm="1">
        <f t="array" ref="C90">SUMPRODUCT((PARIS!$AA$4:'PARIS'!$AA$103=A90)*PARIS!$AE$4:$AE$103)+SUMPRODUCT((PARIS!$AB$4:'PARIS'!$AB$103=A90)*PARIS!$AE$4:$AE$103)+SUMPRODUCT((PARIS!$AU$4:'PARIS'!$AU$103=A90)*PARIS!$AY$4:$AY$103)</f>
        <v>2437.7999999999997</v>
      </c>
      <c r="D90" s="136" cm="1">
        <f t="array" ref="D90">SUMPRODUCT((PARIS!$AA$4:'PARIS'!$AA$103=A90)*PARIS!$AF$4:$AF$103)+SUMPRODUCT((PARIS!$AB$4:'PARIS'!$AB$103=A90)*PARIS!$AF$4:$AF$103)+SUMPRODUCT((PARIS!$AU$4:'PARIS'!$AU$103=A90)*PARIS!$AV$4:$AV$103)</f>
        <v>968.99999999999989</v>
      </c>
      <c r="E90" s="136" cm="1">
        <f t="array" ref="E90">SUMPRODUCT((PARIS!$AA$4:'PARIS'!$AA$103=A90)*PARIS!$AG$4:$AG$103)+SUMPRODUCT((PARIS!$AB$4:'PARIS'!$AB$103=A90)*PARIS!$AG$4:$AG$103)+SUMPRODUCT((PARIS!$AU$4:'PARIS'!$AU$103=A90)*PARIS!$AW$4:$AW$103)</f>
        <v>1468.8</v>
      </c>
      <c r="F90" s="136" cm="1">
        <f t="array" ref="F90">SUMPRODUCT((PARIS!$AA$4:'PARIS'!$AA$103=A90)*PARIS!$AH$4:$AH$103)+SUMPRODUCT((PARIS!$AB$4:'PARIS'!$AB$103=A90)*PARIS!$AH$4:$AH$103)+SUMPRODUCT((PARIS!$AU$4:'PARIS'!$AU$103=A90)*PARIS!$AZ$4:$AZ$103)</f>
        <v>97.92</v>
      </c>
      <c r="G90" s="136" cm="1">
        <f t="array" ref="G90">SUMPRODUCT((PARIS!$AA$4:'PARIS'!$AA$103=A90)*PARIS!$AI$4:$AI$103)+SUMPRODUCT((PARIS!$AB$4:'PARIS'!$AB$103=A90)*PARIS!$AI$4:$AI$103)+SUMPRODUCT((PARIS!$AU$4:'PARIS'!$AU$103=A90)*PARIS!$BA$4:$BA$103)</f>
        <v>48.96</v>
      </c>
      <c r="H90" s="115"/>
      <c r="I90" s="139">
        <f t="shared" si="5"/>
        <v>23082.5400175</v>
      </c>
      <c r="J90" s="136">
        <f t="shared" si="4"/>
        <v>6961.7353999999996</v>
      </c>
      <c r="K90" s="136">
        <f t="shared" si="4"/>
        <v>16120.804617499996</v>
      </c>
      <c r="L90" s="136">
        <f t="shared" si="4"/>
        <v>1727.6295407324046</v>
      </c>
      <c r="M90" s="136">
        <f t="shared" si="4"/>
        <v>1058.1441576954417</v>
      </c>
      <c r="N90" s="115"/>
      <c r="O90" s="131">
        <f>C90*(Hypotheses!H54*Hypotheses!$D$19+Hypotheses!$D$14*(1-Hypotheses!H54))</f>
        <v>28.522259999999999</v>
      </c>
      <c r="P90" s="131">
        <f>C90*(Hypotheses!I54*Hypotheses!$D$19+Hypotheses!$D$14*(1-Hypotheses!I54))</f>
        <v>27.059579999999997</v>
      </c>
      <c r="Q90" s="131">
        <f>C90*(Hypotheses!J54*Hypotheses!$D$19+Hypotheses!$D$14*(1-Hypotheses!J54))</f>
        <v>25.231229999999996</v>
      </c>
      <c r="R90" s="115"/>
      <c r="S90" s="131">
        <f>C90*(Hypotheses!H54*Hypotheses!$D$21+Hypotheses!$D$14*(1-Hypotheses!H54))</f>
        <v>30.716279999999998</v>
      </c>
      <c r="T90" s="131">
        <f>C90*(Hypotheses!I54*Hypotheses!$D$21+Hypotheses!$D$14*(1-Hypotheses!I54))</f>
        <v>33.641640000000002</v>
      </c>
      <c r="U90" s="131">
        <f>C90*(Hypotheses!J54*Hypotheses!$D$21+Hypotheses!$D$14*(1-Hypotheses!J54))</f>
        <v>37.298339999999996</v>
      </c>
      <c r="V90" s="115"/>
      <c r="W90" s="128">
        <f>-C90*Hypotheses!$D$31*Hypotheses!H54</f>
        <v>-146.268</v>
      </c>
      <c r="X90" s="128">
        <f>-C90*Hypotheses!$D$31*Hypotheses!I54</f>
        <v>-438.80400000000003</v>
      </c>
      <c r="Y90" s="128">
        <f>-C90*Hypotheses!$D$31*Hypotheses!J54</f>
        <v>-804.47399999999993</v>
      </c>
      <c r="Z90" s="126">
        <f>-C90*Hypotheses!$D$30*Hypotheses!H54</f>
        <v>-36.567</v>
      </c>
      <c r="AA90" s="126">
        <f>-C90*Hypotheses!$D$30*Hypotheses!I54</f>
        <v>-109.70100000000001</v>
      </c>
      <c r="AB90" s="126">
        <f>-C90*Hypotheses!$D$30*Hypotheses!J54</f>
        <v>-201.11849999999998</v>
      </c>
      <c r="AC90" s="115"/>
      <c r="AD90" s="126">
        <f>-C90*Hypotheses!$D$30*Hypotheses!H54+(O90+S90)/2</f>
        <v>-6.94773</v>
      </c>
      <c r="AE90" s="126">
        <f>-C90*Hypotheses!$D$30*Hypotheses!I54+(P90+T90)/2</f>
        <v>-79.350390000000004</v>
      </c>
      <c r="AF90" s="126">
        <f>-C90*Hypotheses!$D$30*Hypotheses!J54+(Q90+U90)/2</f>
        <v>-169.85371499999999</v>
      </c>
      <c r="AG90" s="115"/>
      <c r="AH90" s="128">
        <f t="shared" si="6"/>
        <v>-370.80927884999994</v>
      </c>
      <c r="AI90" s="128">
        <f t="shared" si="7"/>
        <v>-725.29123390350969</v>
      </c>
      <c r="AJ90" s="128">
        <f t="shared" si="8"/>
        <v>-1168.3936777203967</v>
      </c>
      <c r="AK90" s="126">
        <f t="shared" si="9"/>
        <v>-92.702319712499985</v>
      </c>
      <c r="AL90" s="126">
        <f t="shared" si="10"/>
        <v>-181.32280847587742</v>
      </c>
      <c r="AM90" s="126">
        <f t="shared" si="11"/>
        <v>-292.09841943009917</v>
      </c>
      <c r="AN90" s="115"/>
      <c r="AO90" s="131">
        <f t="shared" si="12"/>
        <v>72.307809375749997</v>
      </c>
      <c r="AP90" s="131">
        <f t="shared" si="13"/>
        <v>70.53539960048245</v>
      </c>
      <c r="AQ90" s="131">
        <f t="shared" si="14"/>
        <v>68.319887381398019</v>
      </c>
      <c r="AR90" s="115"/>
      <c r="AS90" s="131">
        <f t="shared" si="15"/>
        <v>77.869948558499999</v>
      </c>
      <c r="AT90" s="131">
        <f t="shared" si="16"/>
        <v>81.414768109035109</v>
      </c>
      <c r="AU90" s="131">
        <f t="shared" si="17"/>
        <v>85.845792547203956</v>
      </c>
      <c r="AV90" s="115"/>
      <c r="AW90" s="126">
        <f t="shared" si="18"/>
        <v>-20.394510336749988</v>
      </c>
      <c r="AX90" s="126">
        <f t="shared" si="19"/>
        <v>-110.78740887539497</v>
      </c>
      <c r="AY90" s="126">
        <f t="shared" si="20"/>
        <v>-223.77853204870115</v>
      </c>
      <c r="AZ90" s="115"/>
      <c r="BA90" s="126">
        <f t="shared" si="21"/>
        <v>-14.832371153999986</v>
      </c>
      <c r="BB90" s="126">
        <f t="shared" si="22"/>
        <v>-99.908040366842314</v>
      </c>
      <c r="BC90" s="126">
        <f t="shared" si="23"/>
        <v>-206.25262688289521</v>
      </c>
      <c r="BD90" s="115"/>
    </row>
    <row r="91" spans="1:56" x14ac:dyDescent="0.25">
      <c r="A91" s="94">
        <v>2036</v>
      </c>
      <c r="B91" s="139" cm="1">
        <f t="array" ref="B91">SUMPRODUCT((PARIS!$AA$4:'PARIS'!$AA$103=A91)*PARIS!$AD$4:$AD$103)+SUMPRODUCT((PARIS!$AB$4:'PARIS'!$AB$103=A91)*PARIS!$AD$4:$AD$103)+SUMPRODUCT((PARIS!$AU$4:'PARIS'!$AU$103=A91)*PARIS!$AX$4:$AX$103)</f>
        <v>6966.5399999999991</v>
      </c>
      <c r="C91" s="139" cm="1">
        <f t="array" ref="C91">SUMPRODUCT((PARIS!$AA$4:'PARIS'!$AA$103=A91)*PARIS!$AE$4:$AE$103)+SUMPRODUCT((PARIS!$AB$4:'PARIS'!$AB$103=A91)*PARIS!$AE$4:$AE$103)+SUMPRODUCT((PARIS!$AU$4:'PARIS'!$AU$103=A91)*PARIS!$AY$4:$AY$103)</f>
        <v>127.7199</v>
      </c>
      <c r="D91" s="136" cm="1">
        <f t="array" ref="D91">SUMPRODUCT((PARIS!$AA$4:'PARIS'!$AA$103=A91)*PARIS!$AF$4:$AF$103)+SUMPRODUCT((PARIS!$AB$4:'PARIS'!$AB$103=A91)*PARIS!$AF$4:$AF$103)+SUMPRODUCT((PARIS!$AU$4:'PARIS'!$AU$103=A91)*PARIS!$AV$4:$AV$103)</f>
        <v>34.832699999999996</v>
      </c>
      <c r="E91" s="136" cm="1">
        <f t="array" ref="E91">SUMPRODUCT((PARIS!$AA$4:'PARIS'!$AA$103=A91)*PARIS!$AG$4:$AG$103)+SUMPRODUCT((PARIS!$AB$4:'PARIS'!$AB$103=A91)*PARIS!$AG$4:$AG$103)+SUMPRODUCT((PARIS!$AU$4:'PARIS'!$AU$103=A91)*PARIS!$AW$4:$AW$103)</f>
        <v>92.887199999999993</v>
      </c>
      <c r="F91" s="136" cm="1">
        <f t="array" ref="F91">SUMPRODUCT((PARIS!$AA$4:'PARIS'!$AA$103=A91)*PARIS!$AH$4:$AH$103)+SUMPRODUCT((PARIS!$AB$4:'PARIS'!$AB$103=A91)*PARIS!$AH$4:$AH$103)+SUMPRODUCT((PARIS!$AU$4:'PARIS'!$AU$103=A91)*PARIS!$AZ$4:$AZ$103)</f>
        <v>10.5924</v>
      </c>
      <c r="G91" s="136" cm="1">
        <f t="array" ref="G91">SUMPRODUCT((PARIS!$AA$4:'PARIS'!$AA$103=A91)*PARIS!$AI$4:$AI$103)+SUMPRODUCT((PARIS!$AB$4:'PARIS'!$AB$103=A91)*PARIS!$AI$4:$AI$103)+SUMPRODUCT((PARIS!$AU$4:'PARIS'!$AU$103=A91)*PARIS!$BA$4:$BA$103)</f>
        <v>5.2961999999999998</v>
      </c>
      <c r="H91" s="115"/>
      <c r="I91" s="139">
        <f t="shared" si="5"/>
        <v>23210.2599175</v>
      </c>
      <c r="J91" s="136">
        <f t="shared" si="4"/>
        <v>6996.5680999999995</v>
      </c>
      <c r="K91" s="136">
        <f t="shared" si="4"/>
        <v>16213.691817499996</v>
      </c>
      <c r="L91" s="136">
        <f t="shared" si="4"/>
        <v>1738.2219407324046</v>
      </c>
      <c r="M91" s="136">
        <f t="shared" si="4"/>
        <v>1063.4403576954417</v>
      </c>
      <c r="N91" s="115"/>
      <c r="O91" s="131">
        <f>C91*(Hypotheses!H55*Hypotheses!$D$19+Hypotheses!$D$14*(1-Hypotheses!H55))</f>
        <v>1.49432283</v>
      </c>
      <c r="P91" s="131">
        <f>C91*(Hypotheses!I55*Hypotheses!$D$19+Hypotheses!$D$14*(1-Hypotheses!I55))</f>
        <v>1.3989222977577986</v>
      </c>
      <c r="Q91" s="131">
        <f>C91*(Hypotheses!J55*Hypotheses!$D$19+Hypotheses!$D$14*(1-Hypotheses!J55))</f>
        <v>1.279671632455047</v>
      </c>
      <c r="R91" s="115"/>
      <c r="S91" s="131">
        <f>C91*(Hypotheses!H55*Hypotheses!$D$21+Hypotheses!$D$14*(1-Hypotheses!H55))</f>
        <v>1.6092707399999999</v>
      </c>
      <c r="T91" s="131">
        <f>C91*(Hypotheses!I55*Hypotheses!$D$21+Hypotheses!$D$14*(1-Hypotheses!I55))</f>
        <v>1.8000718044844026</v>
      </c>
      <c r="U91" s="131">
        <f>C91*(Hypotheses!J55*Hypotheses!$D$21+Hypotheses!$D$14*(1-Hypotheses!J55))</f>
        <v>2.0385731350899055</v>
      </c>
      <c r="V91" s="115"/>
      <c r="W91" s="128">
        <f>-C91*Hypotheses!$D$31*Hypotheses!H55</f>
        <v>-7.6631940000000007</v>
      </c>
      <c r="X91" s="128">
        <f>-C91*Hypotheses!$D$31*Hypotheses!I55</f>
        <v>-26.743300448440262</v>
      </c>
      <c r="Y91" s="128">
        <f>-C91*Hypotheses!$D$31*Hypotheses!J55</f>
        <v>-50.593433508990586</v>
      </c>
      <c r="Z91" s="126">
        <f>-C91*Hypotheses!$D$30*Hypotheses!H55</f>
        <v>-1.9157985000000002</v>
      </c>
      <c r="AA91" s="126">
        <f>-C91*Hypotheses!$D$30*Hypotheses!I55</f>
        <v>-6.6858251121100656</v>
      </c>
      <c r="AB91" s="126">
        <f>-C91*Hypotheses!$D$30*Hypotheses!J55</f>
        <v>-12.648358377247646</v>
      </c>
      <c r="AC91" s="115"/>
      <c r="AD91" s="126">
        <f>-C91*Hypotheses!$D$30*Hypotheses!H55+(O91+S91)/2</f>
        <v>-0.36400171500000011</v>
      </c>
      <c r="AE91" s="126">
        <f>-C91*Hypotheses!$D$30*Hypotheses!I55+(P91+T91)/2</f>
        <v>-5.0863280609889649</v>
      </c>
      <c r="AF91" s="126">
        <f>-C91*Hypotheses!$D$30*Hypotheses!J55+(Q91+U91)/2</f>
        <v>-10.98923599347517</v>
      </c>
      <c r="AG91" s="115"/>
      <c r="AH91" s="128">
        <f t="shared" si="6"/>
        <v>-378.47247284999992</v>
      </c>
      <c r="AI91" s="128">
        <f t="shared" si="7"/>
        <v>-752.0345343519499</v>
      </c>
      <c r="AJ91" s="128">
        <f t="shared" si="8"/>
        <v>-1218.9871112293872</v>
      </c>
      <c r="AK91" s="126">
        <f t="shared" si="9"/>
        <v>-94.618118212499979</v>
      </c>
      <c r="AL91" s="126">
        <f t="shared" si="10"/>
        <v>-188.00863358798748</v>
      </c>
      <c r="AM91" s="126">
        <f t="shared" si="11"/>
        <v>-304.7467778073468</v>
      </c>
      <c r="AN91" s="115"/>
      <c r="AO91" s="131">
        <f t="shared" si="12"/>
        <v>73.802132205749999</v>
      </c>
      <c r="AP91" s="131">
        <f t="shared" si="13"/>
        <v>71.934321898240242</v>
      </c>
      <c r="AQ91" s="131">
        <f t="shared" si="14"/>
        <v>69.599559013853067</v>
      </c>
      <c r="AR91" s="115"/>
      <c r="AS91" s="131">
        <f t="shared" si="15"/>
        <v>79.479219298499999</v>
      </c>
      <c r="AT91" s="131">
        <f t="shared" si="16"/>
        <v>83.214839913519512</v>
      </c>
      <c r="AU91" s="131">
        <f t="shared" si="17"/>
        <v>87.884365682293861</v>
      </c>
      <c r="AV91" s="115"/>
      <c r="AW91" s="126">
        <f t="shared" si="18"/>
        <v>-20.815986006749981</v>
      </c>
      <c r="AX91" s="126">
        <f t="shared" si="19"/>
        <v>-116.07431168974723</v>
      </c>
      <c r="AY91" s="126">
        <f t="shared" si="20"/>
        <v>-235.14721879349372</v>
      </c>
      <c r="AZ91" s="115"/>
      <c r="BA91" s="126">
        <f t="shared" si="21"/>
        <v>-15.138898913999981</v>
      </c>
      <c r="BB91" s="126">
        <f t="shared" si="22"/>
        <v>-104.79379367446796</v>
      </c>
      <c r="BC91" s="126">
        <f t="shared" si="23"/>
        <v>-216.86241212505294</v>
      </c>
      <c r="BD91" s="115"/>
    </row>
    <row r="92" spans="1:56" x14ac:dyDescent="0.25">
      <c r="A92" s="94">
        <v>2037</v>
      </c>
      <c r="B92" s="139" cm="1">
        <f t="array" ref="B92">SUMPRODUCT((PARIS!$AA$4:'PARIS'!$AA$103=A92)*PARIS!$AD$4:$AD$103)+SUMPRODUCT((PARIS!$AB$4:'PARIS'!$AB$103=A92)*PARIS!$AD$4:$AD$103)+SUMPRODUCT((PARIS!$AU$4:'PARIS'!$AU$103=A92)*PARIS!$AX$4:$AX$103)</f>
        <v>0</v>
      </c>
      <c r="C92" s="139" cm="1">
        <f t="array" ref="C92">SUMPRODUCT((PARIS!$AA$4:'PARIS'!$AA$103=A92)*PARIS!$AE$4:$AE$103)+SUMPRODUCT((PARIS!$AB$4:'PARIS'!$AB$103=A92)*PARIS!$AE$4:$AE$103)+SUMPRODUCT((PARIS!$AU$4:'PARIS'!$AU$103=A92)*PARIS!$AY$4:$AY$103)</f>
        <v>0</v>
      </c>
      <c r="D92" s="136" cm="1">
        <f t="array" ref="D92">SUMPRODUCT((PARIS!$AA$4:'PARIS'!$AA$103=A92)*PARIS!$AF$4:$AF$103)+SUMPRODUCT((PARIS!$AB$4:'PARIS'!$AB$103=A92)*PARIS!$AF$4:$AF$103)+SUMPRODUCT((PARIS!$AU$4:'PARIS'!$AU$103=A92)*PARIS!$AV$4:$AV$103)</f>
        <v>0</v>
      </c>
      <c r="E92" s="136" cm="1">
        <f t="array" ref="E92">SUMPRODUCT((PARIS!$AA$4:'PARIS'!$AA$103=A92)*PARIS!$AG$4:$AG$103)+SUMPRODUCT((PARIS!$AB$4:'PARIS'!$AB$103=A92)*PARIS!$AG$4:$AG$103)+SUMPRODUCT((PARIS!$AU$4:'PARIS'!$AU$103=A92)*PARIS!$AW$4:$AW$103)</f>
        <v>0</v>
      </c>
      <c r="F92" s="136" cm="1">
        <f t="array" ref="F92">SUMPRODUCT((PARIS!$AA$4:'PARIS'!$AA$103=A92)*PARIS!$AH$4:$AH$103)+SUMPRODUCT((PARIS!$AB$4:'PARIS'!$AB$103=A92)*PARIS!$AH$4:$AH$103)+SUMPRODUCT((PARIS!$AU$4:'PARIS'!$AU$103=A92)*PARIS!$AZ$4:$AZ$103)</f>
        <v>0</v>
      </c>
      <c r="G92" s="136" cm="1">
        <f t="array" ref="G92">SUMPRODUCT((PARIS!$AA$4:'PARIS'!$AA$103=A92)*PARIS!$AI$4:$AI$103)+SUMPRODUCT((PARIS!$AB$4:'PARIS'!$AB$103=A92)*PARIS!$AI$4:$AI$103)+SUMPRODUCT((PARIS!$AU$4:'PARIS'!$AU$103=A92)*PARIS!$BA$4:$BA$103)</f>
        <v>0</v>
      </c>
      <c r="H92" s="115"/>
      <c r="I92" s="139">
        <f t="shared" si="5"/>
        <v>23210.2599175</v>
      </c>
      <c r="J92" s="136">
        <f t="shared" si="4"/>
        <v>6996.5680999999995</v>
      </c>
      <c r="K92" s="136">
        <f t="shared" si="4"/>
        <v>16213.691817499996</v>
      </c>
      <c r="L92" s="136">
        <f t="shared" si="4"/>
        <v>1738.2219407324046</v>
      </c>
      <c r="M92" s="136">
        <f t="shared" si="4"/>
        <v>1063.4403576954417</v>
      </c>
      <c r="N92" s="115"/>
      <c r="O92" s="131">
        <f>C92*(Hypotheses!H56*Hypotheses!$D$19+Hypotheses!$D$14*(1-Hypotheses!H56))</f>
        <v>0</v>
      </c>
      <c r="P92" s="131">
        <f>C92*(Hypotheses!I56*Hypotheses!$D$19+Hypotheses!$D$14*(1-Hypotheses!I56))</f>
        <v>0</v>
      </c>
      <c r="Q92" s="131">
        <f>C92*(Hypotheses!J56*Hypotheses!$D$19+Hypotheses!$D$14*(1-Hypotheses!J56))</f>
        <v>0</v>
      </c>
      <c r="R92" s="115"/>
      <c r="S92" s="131">
        <f>C92*(Hypotheses!H56*Hypotheses!$D$21+Hypotheses!$D$14*(1-Hypotheses!H56))</f>
        <v>0</v>
      </c>
      <c r="T92" s="131">
        <f>C92*(Hypotheses!I56*Hypotheses!$D$21+Hypotheses!$D$14*(1-Hypotheses!I56))</f>
        <v>0</v>
      </c>
      <c r="U92" s="131">
        <f>C92*(Hypotheses!J56*Hypotheses!$D$21+Hypotheses!$D$14*(1-Hypotheses!J56))</f>
        <v>0</v>
      </c>
      <c r="V92" s="115"/>
      <c r="W92" s="128">
        <f>-C92*Hypotheses!$D$31*Hypotheses!H56</f>
        <v>0</v>
      </c>
      <c r="X92" s="128">
        <f>-C92*Hypotheses!$D$31*Hypotheses!I56</f>
        <v>0</v>
      </c>
      <c r="Y92" s="128">
        <f>-C92*Hypotheses!$D$31*Hypotheses!J56</f>
        <v>0</v>
      </c>
      <c r="Z92" s="126">
        <f>-C92*Hypotheses!$D$30*Hypotheses!H56</f>
        <v>0</v>
      </c>
      <c r="AA92" s="126">
        <f>-C92*Hypotheses!$D$30*Hypotheses!I56</f>
        <v>0</v>
      </c>
      <c r="AB92" s="126">
        <f>-C92*Hypotheses!$D$30*Hypotheses!J56</f>
        <v>0</v>
      </c>
      <c r="AC92" s="115"/>
      <c r="AD92" s="126">
        <f>-C92*Hypotheses!$D$30*Hypotheses!H56+(O92+S92)/2</f>
        <v>0</v>
      </c>
      <c r="AE92" s="126">
        <f>-C92*Hypotheses!$D$30*Hypotheses!I56+(P92+T92)/2</f>
        <v>0</v>
      </c>
      <c r="AF92" s="126">
        <f>-C92*Hypotheses!$D$30*Hypotheses!J56+(Q92+U92)/2</f>
        <v>0</v>
      </c>
      <c r="AG92" s="115"/>
      <c r="AH92" s="128">
        <f t="shared" si="6"/>
        <v>-378.47247284999992</v>
      </c>
      <c r="AI92" s="128">
        <f t="shared" si="7"/>
        <v>-752.0345343519499</v>
      </c>
      <c r="AJ92" s="128">
        <f t="shared" si="8"/>
        <v>-1218.9871112293872</v>
      </c>
      <c r="AK92" s="126">
        <f t="shared" si="9"/>
        <v>-94.618118212499979</v>
      </c>
      <c r="AL92" s="126">
        <f t="shared" si="10"/>
        <v>-188.00863358798748</v>
      </c>
      <c r="AM92" s="126">
        <f t="shared" si="11"/>
        <v>-304.7467778073468</v>
      </c>
      <c r="AN92" s="115"/>
      <c r="AO92" s="131">
        <f t="shared" si="12"/>
        <v>73.802132205749999</v>
      </c>
      <c r="AP92" s="131">
        <f t="shared" si="13"/>
        <v>71.934321898240242</v>
      </c>
      <c r="AQ92" s="131">
        <f t="shared" si="14"/>
        <v>69.599559013853067</v>
      </c>
      <c r="AR92" s="115"/>
      <c r="AS92" s="131">
        <f t="shared" si="15"/>
        <v>79.479219298499999</v>
      </c>
      <c r="AT92" s="131">
        <f t="shared" si="16"/>
        <v>83.214839913519512</v>
      </c>
      <c r="AU92" s="131">
        <f t="shared" si="17"/>
        <v>87.884365682293861</v>
      </c>
      <c r="AV92" s="115"/>
      <c r="AW92" s="126">
        <f t="shared" si="18"/>
        <v>-20.815986006749981</v>
      </c>
      <c r="AX92" s="126">
        <f t="shared" si="19"/>
        <v>-116.07431168974723</v>
      </c>
      <c r="AY92" s="126">
        <f t="shared" si="20"/>
        <v>-235.14721879349372</v>
      </c>
      <c r="AZ92" s="115"/>
      <c r="BA92" s="126">
        <f t="shared" si="21"/>
        <v>-15.138898913999981</v>
      </c>
      <c r="BB92" s="126">
        <f t="shared" si="22"/>
        <v>-104.79379367446796</v>
      </c>
      <c r="BC92" s="126">
        <f t="shared" si="23"/>
        <v>-216.86241212505294</v>
      </c>
      <c r="BD92" s="115"/>
    </row>
    <row r="93" spans="1:56" x14ac:dyDescent="0.25">
      <c r="A93" s="94">
        <v>2038</v>
      </c>
      <c r="B93" s="139" cm="1">
        <f t="array" ref="B93">SUMPRODUCT((PARIS!$AA$4:'PARIS'!$AA$103=A93)*PARIS!$AD$4:$AD$103)+SUMPRODUCT((PARIS!$AB$4:'PARIS'!$AB$103=A93)*PARIS!$AD$4:$AD$103)+SUMPRODUCT((PARIS!$AU$4:'PARIS'!$AU$103=A93)*PARIS!$AX$4:$AX$103)</f>
        <v>52865.87999999999</v>
      </c>
      <c r="C93" s="139" cm="1">
        <f t="array" ref="C93">SUMPRODUCT((PARIS!$AA$4:'PARIS'!$AA$103=A93)*PARIS!$AE$4:$AE$103)+SUMPRODUCT((PARIS!$AB$4:'PARIS'!$AB$103=A93)*PARIS!$AE$4:$AE$103)+SUMPRODUCT((PARIS!$AU$4:'PARIS'!$AU$103=A93)*PARIS!$AY$4:$AY$103)</f>
        <v>1101.9761999999998</v>
      </c>
      <c r="D93" s="136" cm="1">
        <f t="array" ref="D93">SUMPRODUCT((PARIS!$AA$4:'PARIS'!$AA$103=A93)*PARIS!$AF$4:$AF$103)+SUMPRODUCT((PARIS!$AB$4:'PARIS'!$AB$103=A93)*PARIS!$AF$4:$AF$103)+SUMPRODUCT((PARIS!$AU$4:'PARIS'!$AU$103=A93)*PARIS!$AV$4:$AV$103)</f>
        <v>230.517</v>
      </c>
      <c r="E93" s="136" cm="1">
        <f t="array" ref="E93">SUMPRODUCT((PARIS!$AA$4:'PARIS'!$AA$103=A93)*PARIS!$AG$4:$AG$103)+SUMPRODUCT((PARIS!$AB$4:'PARIS'!$AB$103=A93)*PARIS!$AG$4:$AG$103)+SUMPRODUCT((PARIS!$AU$4:'PARIS'!$AU$103=A93)*PARIS!$AW$4:$AW$103)</f>
        <v>871.45920000000001</v>
      </c>
      <c r="F93" s="136" cm="1">
        <f t="array" ref="F93">SUMPRODUCT((PARIS!$AA$4:'PARIS'!$AA$103=A93)*PARIS!$AH$4:$AH$103)+SUMPRODUCT((PARIS!$AB$4:'PARIS'!$AB$103=A93)*PARIS!$AH$4:$AH$103)+SUMPRODUCT((PARIS!$AU$4:'PARIS'!$AU$103=A93)*PARIS!$AZ$4:$AZ$103)</f>
        <v>84.488159999999993</v>
      </c>
      <c r="G93" s="136" cm="1">
        <f t="array" ref="G93">SUMPRODUCT((PARIS!$AA$4:'PARIS'!$AA$103=A93)*PARIS!$AI$4:$AI$103)+SUMPRODUCT((PARIS!$AB$4:'PARIS'!$AB$103=A93)*PARIS!$AI$4:$AI$103)+SUMPRODUCT((PARIS!$AU$4:'PARIS'!$AU$103=A93)*PARIS!$BA$4:$BA$103)</f>
        <v>53.297999999999995</v>
      </c>
      <c r="H93" s="115"/>
      <c r="I93" s="139">
        <f t="shared" si="5"/>
        <v>24312.236117500001</v>
      </c>
      <c r="J93" s="136">
        <f t="shared" si="4"/>
        <v>7227.0850999999993</v>
      </c>
      <c r="K93" s="136">
        <f t="shared" si="4"/>
        <v>17085.151017499997</v>
      </c>
      <c r="L93" s="136">
        <f t="shared" si="4"/>
        <v>1822.7101007324045</v>
      </c>
      <c r="M93" s="136">
        <f t="shared" si="4"/>
        <v>1116.7383576954417</v>
      </c>
      <c r="N93" s="115"/>
      <c r="O93" s="131">
        <f>C93*(Hypotheses!H57*Hypotheses!$D$19+Hypotheses!$D$14*(1-Hypotheses!H57))</f>
        <v>12.893121539999999</v>
      </c>
      <c r="P93" s="131">
        <f>C93*(Hypotheses!I57*Hypotheses!$D$19+Hypotheses!$D$14*(1-Hypotheses!I57))</f>
        <v>11.811984402608564</v>
      </c>
      <c r="Q93" s="131">
        <f>C93*(Hypotheses!J57*Hypotheses!$D$19+Hypotheses!$D$14*(1-Hypotheses!J57))</f>
        <v>10.46056298086927</v>
      </c>
      <c r="R93" s="115"/>
      <c r="S93" s="131">
        <f>C93*(Hypotheses!H57*Hypotheses!$D$21+Hypotheses!$D$14*(1-Hypotheses!H57))</f>
        <v>13.884900119999998</v>
      </c>
      <c r="T93" s="131">
        <f>C93*(Hypotheses!I57*Hypotheses!$D$21+Hypotheses!$D$14*(1-Hypotheses!I57))</f>
        <v>16.047174394782868</v>
      </c>
      <c r="U93" s="131">
        <f>C93*(Hypotheses!J57*Hypotheses!$D$21+Hypotheses!$D$14*(1-Hypotheses!J57))</f>
        <v>18.750017238261453</v>
      </c>
      <c r="V93" s="115"/>
      <c r="W93" s="128">
        <f>-C93*Hypotheses!$D$31*Hypotheses!H57</f>
        <v>-66.118571999999986</v>
      </c>
      <c r="X93" s="128">
        <f>-C93*Hypotheses!$D$31*Hypotheses!I57</f>
        <v>-282.34599947828679</v>
      </c>
      <c r="Y93" s="128">
        <f>-C93*Hypotheses!$D$31*Hypotheses!J57</f>
        <v>-552.63028382614527</v>
      </c>
      <c r="Z93" s="126">
        <f>-C93*Hypotheses!$D$30*Hypotheses!H57</f>
        <v>-16.529642999999997</v>
      </c>
      <c r="AA93" s="126">
        <f>-C93*Hypotheses!$D$30*Hypotheses!I57</f>
        <v>-70.586499869571696</v>
      </c>
      <c r="AB93" s="126">
        <f>-C93*Hypotheses!$D$30*Hypotheses!J57</f>
        <v>-138.15757095653632</v>
      </c>
      <c r="AC93" s="115"/>
      <c r="AD93" s="126">
        <f>-C93*Hypotheses!$D$30*Hypotheses!H57+(O93+S93)/2</f>
        <v>-3.1406321699999982</v>
      </c>
      <c r="AE93" s="126">
        <f>-C93*Hypotheses!$D$30*Hypotheses!I57+(P93+T93)/2</f>
        <v>-56.656920470875981</v>
      </c>
      <c r="AF93" s="126">
        <f>-C93*Hypotheses!$D$30*Hypotheses!J57+(Q93+U93)/2</f>
        <v>-123.55228084697096</v>
      </c>
      <c r="AG93" s="115"/>
      <c r="AH93" s="128">
        <f t="shared" si="6"/>
        <v>-444.59104484999989</v>
      </c>
      <c r="AI93" s="128">
        <f t="shared" si="7"/>
        <v>-1034.3805338302368</v>
      </c>
      <c r="AJ93" s="128">
        <f t="shared" si="8"/>
        <v>-1771.6173950555326</v>
      </c>
      <c r="AK93" s="126">
        <f t="shared" si="9"/>
        <v>-111.14776121249997</v>
      </c>
      <c r="AL93" s="126">
        <f t="shared" si="10"/>
        <v>-258.5951334575592</v>
      </c>
      <c r="AM93" s="126">
        <f t="shared" si="11"/>
        <v>-442.90434876388315</v>
      </c>
      <c r="AN93" s="115"/>
      <c r="AO93" s="131">
        <f t="shared" si="12"/>
        <v>86.695253745749994</v>
      </c>
      <c r="AP93" s="131">
        <f t="shared" si="13"/>
        <v>83.746306300848801</v>
      </c>
      <c r="AQ93" s="131">
        <f t="shared" si="14"/>
        <v>80.060121994722337</v>
      </c>
      <c r="AR93" s="115"/>
      <c r="AS93" s="131">
        <f t="shared" si="15"/>
        <v>93.364119418499996</v>
      </c>
      <c r="AT93" s="131">
        <f t="shared" si="16"/>
        <v>99.262014308302383</v>
      </c>
      <c r="AU93" s="131">
        <f t="shared" si="17"/>
        <v>106.63438292055531</v>
      </c>
      <c r="AV93" s="115"/>
      <c r="AW93" s="126">
        <f t="shared" si="18"/>
        <v>-24.452507466749978</v>
      </c>
      <c r="AX93" s="126">
        <f t="shared" si="19"/>
        <v>-174.8488271567104</v>
      </c>
      <c r="AY93" s="126">
        <f t="shared" si="20"/>
        <v>-362.8442267691608</v>
      </c>
      <c r="AZ93" s="115"/>
      <c r="BA93" s="126">
        <f t="shared" si="21"/>
        <v>-17.783641793999976</v>
      </c>
      <c r="BB93" s="126">
        <f t="shared" si="22"/>
        <v>-159.33311914925682</v>
      </c>
      <c r="BC93" s="126">
        <f t="shared" si="23"/>
        <v>-336.26996584332784</v>
      </c>
      <c r="BD93" s="115"/>
    </row>
    <row r="94" spans="1:56" x14ac:dyDescent="0.25">
      <c r="A94" s="94">
        <v>2039</v>
      </c>
      <c r="B94" s="139" cm="1">
        <f t="array" ref="B94">SUMPRODUCT((PARIS!$AA$4:'PARIS'!$AA$103=A94)*PARIS!$AD$4:$AD$103)+SUMPRODUCT((PARIS!$AB$4:'PARIS'!$AB$103=A94)*PARIS!$AD$4:$AD$103)+SUMPRODUCT((PARIS!$AU$4:'PARIS'!$AU$103=A94)*PARIS!$AX$4:$AX$103)</f>
        <v>43528.800000000003</v>
      </c>
      <c r="C94" s="139" cm="1">
        <f t="array" ref="C94">SUMPRODUCT((PARIS!$AA$4:'PARIS'!$AA$103=A94)*PARIS!$AE$4:$AE$103)+SUMPRODUCT((PARIS!$AB$4:'PARIS'!$AB$103=A94)*PARIS!$AE$4:$AE$103)+SUMPRODUCT((PARIS!$AU$4:'PARIS'!$AU$103=A94)*PARIS!$AY$4:$AY$103)</f>
        <v>914.85200000000009</v>
      </c>
      <c r="D94" s="136" cm="1">
        <f t="array" ref="D94">SUMPRODUCT((PARIS!$AA$4:'PARIS'!$AA$103=A94)*PARIS!$AF$4:$AF$103)+SUMPRODUCT((PARIS!$AB$4:'PARIS'!$AB$103=A94)*PARIS!$AF$4:$AF$103)+SUMPRODUCT((PARIS!$AU$4:'PARIS'!$AU$103=A94)*PARIS!$AV$4:$AV$103)</f>
        <v>318.18</v>
      </c>
      <c r="E94" s="136" cm="1">
        <f t="array" ref="E94">SUMPRODUCT((PARIS!$AA$4:'PARIS'!$AA$103=A94)*PARIS!$AG$4:$AG$103)+SUMPRODUCT((PARIS!$AB$4:'PARIS'!$AB$103=A94)*PARIS!$AG$4:$AG$103)+SUMPRODUCT((PARIS!$AU$4:'PARIS'!$AU$103=A94)*PARIS!$AW$4:$AW$103)</f>
        <v>596.67200000000003</v>
      </c>
      <c r="F94" s="136" cm="1">
        <f t="array" ref="F94">SUMPRODUCT((PARIS!$AA$4:'PARIS'!$AA$103=A94)*PARIS!$AH$4:$AH$103)+SUMPRODUCT((PARIS!$AB$4:'PARIS'!$AB$103=A94)*PARIS!$AH$4:$AH$103)+SUMPRODUCT((PARIS!$AU$4:'PARIS'!$AU$103=A94)*PARIS!$AZ$4:$AZ$103)</f>
        <v>59.210840000000005</v>
      </c>
      <c r="G94" s="136" cm="1">
        <f t="array" ref="G94">SUMPRODUCT((PARIS!$AA$4:'PARIS'!$AA$103=A94)*PARIS!$AI$4:$AI$103)+SUMPRODUCT((PARIS!$AB$4:'PARIS'!$AB$103=A94)*PARIS!$AI$4:$AI$103)+SUMPRODUCT((PARIS!$AU$4:'PARIS'!$AU$103=A94)*PARIS!$BA$4:$BA$103)</f>
        <v>38.107733333333329</v>
      </c>
      <c r="H94" s="115"/>
      <c r="I94" s="139">
        <f t="shared" si="5"/>
        <v>25227.088117499999</v>
      </c>
      <c r="J94" s="136">
        <f t="shared" si="4"/>
        <v>7545.2650999999996</v>
      </c>
      <c r="K94" s="136">
        <f t="shared" si="4"/>
        <v>17681.823017499995</v>
      </c>
      <c r="L94" s="136">
        <f t="shared" si="4"/>
        <v>1881.9209407324045</v>
      </c>
      <c r="M94" s="136">
        <f t="shared" si="4"/>
        <v>1154.8460910287749</v>
      </c>
      <c r="N94" s="115"/>
      <c r="O94" s="131">
        <f>C94*(Hypotheses!H58*Hypotheses!$D$19+Hypotheses!$D$14*(1-Hypotheses!H58))</f>
        <v>10.703768400000001</v>
      </c>
      <c r="P94" s="131">
        <f>C94*(Hypotheses!I58*Hypotheses!$D$19+Hypotheses!$D$14*(1-Hypotheses!I58))</f>
        <v>9.7368096379413362</v>
      </c>
      <c r="Q94" s="131">
        <f>C94*(Hypotheses!J58*Hypotheses!$D$19+Hypotheses!$D$14*(1-Hypotheses!J58))</f>
        <v>8.5281111853680027</v>
      </c>
      <c r="R94" s="115"/>
      <c r="S94" s="131">
        <f>C94*(Hypotheses!H58*Hypotheses!$D$21+Hypotheses!$D$14*(1-Hypotheses!H58))</f>
        <v>11.527135200000002</v>
      </c>
      <c r="T94" s="131">
        <f>C94*(Hypotheses!I58*Hypotheses!$D$21+Hypotheses!$D$14*(1-Hypotheses!I58))</f>
        <v>13.461052724117334</v>
      </c>
      <c r="U94" s="131">
        <f>C94*(Hypotheses!J58*Hypotheses!$D$21+Hypotheses!$D$14*(1-Hypotheses!J58))</f>
        <v>15.878449629264001</v>
      </c>
      <c r="V94" s="115"/>
      <c r="W94" s="128">
        <f>-C94*Hypotheses!$D$31*Hypotheses!H58</f>
        <v>-54.891120000000001</v>
      </c>
      <c r="X94" s="128">
        <f>-C94*Hypotheses!$D$31*Hypotheses!I58</f>
        <v>-248.28287241173317</v>
      </c>
      <c r="Y94" s="128">
        <f>-C94*Hypotheses!$D$31*Hypotheses!J58</f>
        <v>-490.0225629263997</v>
      </c>
      <c r="Z94" s="126">
        <f>-C94*Hypotheses!$D$30*Hypotheses!H58</f>
        <v>-13.72278</v>
      </c>
      <c r="AA94" s="126">
        <f>-C94*Hypotheses!$D$30*Hypotheses!I58</f>
        <v>-62.070718102933292</v>
      </c>
      <c r="AB94" s="126">
        <f>-C94*Hypotheses!$D$30*Hypotheses!J58</f>
        <v>-122.50564073159993</v>
      </c>
      <c r="AC94" s="115"/>
      <c r="AD94" s="126">
        <f>-C94*Hypotheses!$D$30*Hypotheses!H58+(O94+S94)/2</f>
        <v>-2.6073281999999978</v>
      </c>
      <c r="AE94" s="126">
        <f>-C94*Hypotheses!$D$30*Hypotheses!I58+(P94+T94)/2</f>
        <v>-50.471786921903956</v>
      </c>
      <c r="AF94" s="126">
        <f>-C94*Hypotheses!$D$30*Hypotheses!J58+(Q94+U94)/2</f>
        <v>-110.30236032428392</v>
      </c>
      <c r="AG94" s="115"/>
      <c r="AH94" s="128">
        <f t="shared" si="6"/>
        <v>-499.48216484999989</v>
      </c>
      <c r="AI94" s="128">
        <f t="shared" si="7"/>
        <v>-1282.6634062419701</v>
      </c>
      <c r="AJ94" s="128">
        <f t="shared" si="8"/>
        <v>-2261.6399579819322</v>
      </c>
      <c r="AK94" s="126">
        <f t="shared" si="9"/>
        <v>-124.87054121249997</v>
      </c>
      <c r="AL94" s="126">
        <f t="shared" si="10"/>
        <v>-320.66585156049251</v>
      </c>
      <c r="AM94" s="126">
        <f t="shared" si="11"/>
        <v>-565.40998949548305</v>
      </c>
      <c r="AN94" s="115"/>
      <c r="AO94" s="131">
        <f t="shared" si="12"/>
        <v>97.399022145749996</v>
      </c>
      <c r="AP94" s="131">
        <f t="shared" si="13"/>
        <v>93.483115938790135</v>
      </c>
      <c r="AQ94" s="131">
        <f t="shared" si="14"/>
        <v>88.588233180090342</v>
      </c>
      <c r="AR94" s="115"/>
      <c r="AS94" s="131">
        <f t="shared" si="15"/>
        <v>104.8912546185</v>
      </c>
      <c r="AT94" s="131">
        <f t="shared" si="16"/>
        <v>112.72306703241972</v>
      </c>
      <c r="AU94" s="131">
        <f t="shared" si="17"/>
        <v>122.51283254981931</v>
      </c>
      <c r="AV94" s="115"/>
      <c r="AW94" s="126">
        <f t="shared" si="18"/>
        <v>-27.471519066749977</v>
      </c>
      <c r="AX94" s="126">
        <f t="shared" si="19"/>
        <v>-227.18273562170236</v>
      </c>
      <c r="AY94" s="126">
        <f t="shared" si="20"/>
        <v>-476.82175631539269</v>
      </c>
      <c r="AZ94" s="115"/>
      <c r="BA94" s="126">
        <f t="shared" si="21"/>
        <v>-19.979286593999973</v>
      </c>
      <c r="BB94" s="126">
        <f t="shared" si="22"/>
        <v>-207.94278452807279</v>
      </c>
      <c r="BC94" s="126">
        <f t="shared" si="23"/>
        <v>-442.89715694566371</v>
      </c>
      <c r="BD94" s="115"/>
    </row>
    <row r="95" spans="1:56" x14ac:dyDescent="0.25">
      <c r="A95" s="94">
        <v>2040</v>
      </c>
      <c r="B95" s="139" cm="1">
        <f t="array" ref="B95">SUMPRODUCT((PARIS!$AA$4:'PARIS'!$AA$103=A95)*PARIS!$AD$4:$AD$103)+SUMPRODUCT((PARIS!$AB$4:'PARIS'!$AB$103=A95)*PARIS!$AD$4:$AD$103)+SUMPRODUCT((PARIS!$AU$4:'PARIS'!$AU$103=A95)*PARIS!$AX$4:$AX$103)</f>
        <v>10910</v>
      </c>
      <c r="C95" s="139" cm="1">
        <f t="array" ref="C95">SUMPRODUCT((PARIS!$AA$4:'PARIS'!$AA$103=A95)*PARIS!$AE$4:$AE$103)+SUMPRODUCT((PARIS!$AB$4:'PARIS'!$AB$103=A95)*PARIS!$AE$4:$AE$103)+SUMPRODUCT((PARIS!$AU$4:'PARIS'!$AU$103=A95)*PARIS!$AY$4:$AY$103)</f>
        <v>143.5</v>
      </c>
      <c r="D95" s="136" cm="1">
        <f t="array" ref="D95">SUMPRODUCT((PARIS!$AA$4:'PARIS'!$AA$103=A95)*PARIS!$AF$4:$AF$103)+SUMPRODUCT((PARIS!$AB$4:'PARIS'!$AB$103=A95)*PARIS!$AF$4:$AF$103)+SUMPRODUCT((PARIS!$AU$4:'PARIS'!$AU$103=A95)*PARIS!$AV$4:$AV$103)</f>
        <v>0</v>
      </c>
      <c r="E95" s="136" cm="1">
        <f t="array" ref="E95">SUMPRODUCT((PARIS!$AA$4:'PARIS'!$AA$103=A95)*PARIS!$AG$4:$AG$103)+SUMPRODUCT((PARIS!$AB$4:'PARIS'!$AB$103=A95)*PARIS!$AG$4:$AG$103)+SUMPRODUCT((PARIS!$AU$4:'PARIS'!$AU$103=A95)*PARIS!$AW$4:$AW$103)</f>
        <v>143.5</v>
      </c>
      <c r="F95" s="136" cm="1">
        <f t="array" ref="F95">SUMPRODUCT((PARIS!$AA$4:'PARIS'!$AA$103=A95)*PARIS!$AH$4:$AH$103)+SUMPRODUCT((PARIS!$AB$4:'PARIS'!$AB$103=A95)*PARIS!$AH$4:$AH$103)+SUMPRODUCT((PARIS!$AU$4:'PARIS'!$AU$103=A95)*PARIS!$AZ$4:$AZ$103)</f>
        <v>14.78</v>
      </c>
      <c r="G95" s="136" cm="1">
        <f t="array" ref="G95">SUMPRODUCT((PARIS!$AA$4:'PARIS'!$AA$103=A95)*PARIS!$AI$4:$AI$103)+SUMPRODUCT((PARIS!$AB$4:'PARIS'!$AB$103=A95)*PARIS!$AI$4:$AI$103)+SUMPRODUCT((PARIS!$AU$4:'PARIS'!$AU$103=A95)*PARIS!$BA$4:$BA$103)</f>
        <v>14.78</v>
      </c>
      <c r="H95" s="115"/>
      <c r="I95" s="139">
        <f t="shared" si="5"/>
        <v>25370.588117499999</v>
      </c>
      <c r="J95" s="136">
        <f t="shared" si="4"/>
        <v>7545.2650999999996</v>
      </c>
      <c r="K95" s="136">
        <f t="shared" si="4"/>
        <v>17825.323017499995</v>
      </c>
      <c r="L95" s="136">
        <f t="shared" si="4"/>
        <v>1896.7009407324044</v>
      </c>
      <c r="M95" s="136">
        <f t="shared" si="4"/>
        <v>1169.6260910287749</v>
      </c>
      <c r="N95" s="115"/>
      <c r="O95" s="131">
        <f>C95*(Hypotheses!H59*Hypotheses!$D$19+Hypotheses!$D$14*(1-Hypotheses!H59))</f>
        <v>1.6789499999999999</v>
      </c>
      <c r="P95" s="131">
        <f>C95*(Hypotheses!I59*Hypotheses!$D$19+Hypotheses!$D$14*(1-Hypotheses!I59))</f>
        <v>1.519812778599658</v>
      </c>
      <c r="Q95" s="131">
        <f>C95*(Hypotheses!J59*Hypotheses!$D$19+Hypotheses!$D$14*(1-Hypotheses!J59))</f>
        <v>1.3208912518492306</v>
      </c>
      <c r="R95" s="115"/>
      <c r="S95" s="131">
        <f>C95*(Hypotheses!H59*Hypotheses!$D$21+Hypotheses!$D$14*(1-Hypotheses!H59))</f>
        <v>1.8081</v>
      </c>
      <c r="T95" s="131">
        <f>C95*(Hypotheses!I59*Hypotheses!$D$21+Hypotheses!$D$14*(1-Hypotheses!I59))</f>
        <v>2.1263744428006834</v>
      </c>
      <c r="U95" s="131">
        <f>C95*(Hypotheses!J59*Hypotheses!$D$21+Hypotheses!$D$14*(1-Hypotheses!J59))</f>
        <v>2.5242174963015382</v>
      </c>
      <c r="V95" s="115"/>
      <c r="W95" s="128">
        <f>-C95*Hypotheses!$D$31*Hypotheses!H59</f>
        <v>-8.61</v>
      </c>
      <c r="X95" s="128">
        <f>-C95*Hypotheses!$D$31*Hypotheses!I59</f>
        <v>-40.43744428006837</v>
      </c>
      <c r="Y95" s="128">
        <f>-C95*Hypotheses!$D$31*Hypotheses!J59</f>
        <v>-80.221749630153838</v>
      </c>
      <c r="Z95" s="126">
        <f>-C95*Hypotheses!$D$30*Hypotheses!H59</f>
        <v>-2.1524999999999999</v>
      </c>
      <c r="AA95" s="126">
        <f>-C95*Hypotheses!$D$30*Hypotheses!I59</f>
        <v>-10.109361070017092</v>
      </c>
      <c r="AB95" s="126">
        <f>-C95*Hypotheses!$D$30*Hypotheses!J59</f>
        <v>-20.055437407538459</v>
      </c>
      <c r="AC95" s="115"/>
      <c r="AD95" s="126">
        <f>-C95*Hypotheses!$D$30*Hypotheses!H59+(O95+S95)/2</f>
        <v>-0.40897499999999987</v>
      </c>
      <c r="AE95" s="126">
        <f>-C95*Hypotheses!$D$30*Hypotheses!I59+(P95+T95)/2</f>
        <v>-8.286267459316921</v>
      </c>
      <c r="AF95" s="126">
        <f>-C95*Hypotheses!$D$30*Hypotheses!J59+(Q95+U95)/2</f>
        <v>-18.132883033463074</v>
      </c>
      <c r="AG95" s="115"/>
      <c r="AH95" s="128">
        <f t="shared" si="6"/>
        <v>-508.0921648499999</v>
      </c>
      <c r="AI95" s="128">
        <f t="shared" si="7"/>
        <v>-1323.1008505220384</v>
      </c>
      <c r="AJ95" s="128">
        <f t="shared" si="8"/>
        <v>-2341.8617076120859</v>
      </c>
      <c r="AK95" s="126">
        <f t="shared" si="9"/>
        <v>-127.02304121249998</v>
      </c>
      <c r="AL95" s="126">
        <f t="shared" si="10"/>
        <v>-330.7752126305096</v>
      </c>
      <c r="AM95" s="126">
        <f t="shared" si="11"/>
        <v>-585.46542690302147</v>
      </c>
      <c r="AN95" s="115"/>
      <c r="AO95" s="131">
        <f t="shared" si="12"/>
        <v>99.077972145749996</v>
      </c>
      <c r="AP95" s="131">
        <f t="shared" si="13"/>
        <v>95.002928717389793</v>
      </c>
      <c r="AQ95" s="131">
        <f t="shared" si="14"/>
        <v>89.909124431939574</v>
      </c>
      <c r="AR95" s="115"/>
      <c r="AS95" s="131">
        <f t="shared" si="15"/>
        <v>106.6993546185</v>
      </c>
      <c r="AT95" s="131">
        <f t="shared" si="16"/>
        <v>114.8494414752204</v>
      </c>
      <c r="AU95" s="131">
        <f t="shared" si="17"/>
        <v>125.03705004612084</v>
      </c>
      <c r="AV95" s="115"/>
      <c r="AW95" s="126">
        <f t="shared" si="18"/>
        <v>-27.94506906674998</v>
      </c>
      <c r="AX95" s="126">
        <f t="shared" si="19"/>
        <v>-235.77228391311979</v>
      </c>
      <c r="AY95" s="126">
        <f t="shared" si="20"/>
        <v>-495.55630247108189</v>
      </c>
      <c r="AZ95" s="115"/>
      <c r="BA95" s="126">
        <f t="shared" si="21"/>
        <v>-20.32368659399998</v>
      </c>
      <c r="BB95" s="126">
        <f t="shared" si="22"/>
        <v>-215.9257711552892</v>
      </c>
      <c r="BC95" s="126">
        <f t="shared" si="23"/>
        <v>-460.42837685690063</v>
      </c>
      <c r="BD95" s="115"/>
    </row>
    <row r="96" spans="1:56" x14ac:dyDescent="0.25">
      <c r="A96" s="94">
        <v>2041</v>
      </c>
      <c r="B96" s="139" cm="1">
        <f t="array" ref="B96">SUMPRODUCT((PARIS!$AA$4:'PARIS'!$AA$103=A96)*PARIS!$AD$4:$AD$103)+SUMPRODUCT((PARIS!$AB$4:'PARIS'!$AB$103=A96)*PARIS!$AD$4:$AD$103)+SUMPRODUCT((PARIS!$AU$4:'PARIS'!$AU$103=A96)*PARIS!$AX$4:$AX$103)</f>
        <v>183903.75</v>
      </c>
      <c r="C96" s="139" cm="1">
        <f t="array" ref="C96">SUMPRODUCT((PARIS!$AA$4:'PARIS'!$AA$103=A96)*PARIS!$AE$4:$AE$103)+SUMPRODUCT((PARIS!$AB$4:'PARIS'!$AB$103=A96)*PARIS!$AE$4:$AE$103)+SUMPRODUCT((PARIS!$AU$4:'PARIS'!$AU$103=A96)*PARIS!$AY$4:$AY$103)</f>
        <v>3764.0699999999997</v>
      </c>
      <c r="D96" s="136" cm="1">
        <f t="array" ref="D96">SUMPRODUCT((PARIS!$AA$4:'PARIS'!$AA$103=A96)*PARIS!$AF$4:$AF$103)+SUMPRODUCT((PARIS!$AB$4:'PARIS'!$AB$103=A96)*PARIS!$AF$4:$AF$103)+SUMPRODUCT((PARIS!$AU$4:'PARIS'!$AU$103=A96)*PARIS!$AV$4:$AV$103)</f>
        <v>1300.05</v>
      </c>
      <c r="E96" s="136" cm="1">
        <f t="array" ref="E96">SUMPRODUCT((PARIS!$AA$4:'PARIS'!$AA$103=A96)*PARIS!$AG$4:$AG$103)+SUMPRODUCT((PARIS!$AB$4:'PARIS'!$AB$103=A96)*PARIS!$AG$4:$AG$103)+SUMPRODUCT((PARIS!$AU$4:'PARIS'!$AU$103=A96)*PARIS!$AW$4:$AW$103)</f>
        <v>2464.02</v>
      </c>
      <c r="F96" s="136" cm="1">
        <f t="array" ref="F96">SUMPRODUCT((PARIS!$AA$4:'PARIS'!$AA$103=A96)*PARIS!$AH$4:$AH$103)+SUMPRODUCT((PARIS!$AB$4:'PARIS'!$AB$103=A96)*PARIS!$AH$4:$AH$103)+SUMPRODUCT((PARIS!$AU$4:'PARIS'!$AU$103=A96)*PARIS!$AZ$4:$AZ$103)</f>
        <v>214.16849999999997</v>
      </c>
      <c r="G96" s="136" cm="1">
        <f t="array" ref="G96">SUMPRODUCT((PARIS!$AA$4:'PARIS'!$AA$103=A96)*PARIS!$AI$4:$AI$103)+SUMPRODUCT((PARIS!$AB$4:'PARIS'!$AB$103=A96)*PARIS!$AI$4:$AI$103)+SUMPRODUCT((PARIS!$AU$4:'PARIS'!$AU$103=A96)*PARIS!$BA$4:$BA$103)</f>
        <v>126.53549999999998</v>
      </c>
      <c r="H96" s="115"/>
      <c r="I96" s="139">
        <f t="shared" si="5"/>
        <v>29134.658117499999</v>
      </c>
      <c r="J96" s="136">
        <f t="shared" si="4"/>
        <v>8845.3150999999998</v>
      </c>
      <c r="K96" s="136">
        <f t="shared" si="4"/>
        <v>20289.343017499996</v>
      </c>
      <c r="L96" s="136">
        <f t="shared" si="4"/>
        <v>2110.8694407324042</v>
      </c>
      <c r="M96" s="136">
        <f t="shared" si="4"/>
        <v>1296.1615910287749</v>
      </c>
      <c r="N96" s="115"/>
      <c r="O96" s="131">
        <f>C96*(Hypotheses!H60*Hypotheses!$D$19+Hypotheses!$D$14*(1-Hypotheses!H60))</f>
        <v>44.039618999999995</v>
      </c>
      <c r="P96" s="131">
        <f>C96*(Hypotheses!I60*Hypotheses!$D$19+Hypotheses!$D$14*(1-Hypotheses!I60))</f>
        <v>39.736952167741777</v>
      </c>
      <c r="Q96" s="131">
        <f>C96*(Hypotheses!J60*Hypotheses!$D$19+Hypotheses!$D$14*(1-Hypotheses!J60))</f>
        <v>34.358618627419006</v>
      </c>
      <c r="R96" s="115"/>
      <c r="S96" s="131">
        <f>C96*(Hypotheses!H60*Hypotheses!$D$21+Hypotheses!$D$14*(1-Hypotheses!H60))</f>
        <v>47.427281999999998</v>
      </c>
      <c r="T96" s="131">
        <f>C96*(Hypotheses!I60*Hypotheses!$D$21+Hypotheses!$D$14*(1-Hypotheses!I60))</f>
        <v>56.032615664516435</v>
      </c>
      <c r="U96" s="131">
        <f>C96*(Hypotheses!J60*Hypotheses!$D$21+Hypotheses!$D$14*(1-Hypotheses!J60))</f>
        <v>66.789282745161984</v>
      </c>
      <c r="V96" s="115"/>
      <c r="W96" s="128">
        <f>-C96*Hypotheses!$D$31*Hypotheses!H60</f>
        <v>-225.84419999999997</v>
      </c>
      <c r="X96" s="128">
        <f>-C96*Hypotheses!$D$31*Hypotheses!I60</f>
        <v>-1086.377566451644</v>
      </c>
      <c r="Y96" s="128">
        <f>-C96*Hypotheses!$D$31*Hypotheses!J60</f>
        <v>-2162.0442745161986</v>
      </c>
      <c r="Z96" s="126">
        <f>-C96*Hypotheses!$D$30*Hypotheses!H60</f>
        <v>-56.461049999999993</v>
      </c>
      <c r="AA96" s="126">
        <f>-C96*Hypotheses!$D$30*Hypotheses!I60</f>
        <v>-271.59439161291101</v>
      </c>
      <c r="AB96" s="126">
        <f>-C96*Hypotheses!$D$30*Hypotheses!J60</f>
        <v>-540.51106862904965</v>
      </c>
      <c r="AC96" s="115"/>
      <c r="AD96" s="126">
        <f>-C96*Hypotheses!$D$30*Hypotheses!H60+(O96+S96)/2</f>
        <v>-10.727599499999997</v>
      </c>
      <c r="AE96" s="126">
        <f>-C96*Hypotheses!$D$30*Hypotheses!I60+(P96+T96)/2</f>
        <v>-223.70960769678192</v>
      </c>
      <c r="AF96" s="126">
        <f>-C96*Hypotheses!$D$30*Hypotheses!J60+(Q96+U96)/2</f>
        <v>-489.93711794275913</v>
      </c>
      <c r="AG96" s="115"/>
      <c r="AH96" s="128">
        <f t="shared" si="6"/>
        <v>-733.9363648499999</v>
      </c>
      <c r="AI96" s="128">
        <f t="shared" si="7"/>
        <v>-2409.4784169736822</v>
      </c>
      <c r="AJ96" s="128">
        <f t="shared" si="8"/>
        <v>-4503.9059821282844</v>
      </c>
      <c r="AK96" s="126">
        <f t="shared" si="9"/>
        <v>-183.48409121249998</v>
      </c>
      <c r="AL96" s="126">
        <f t="shared" si="10"/>
        <v>-602.36960424342055</v>
      </c>
      <c r="AM96" s="126">
        <f t="shared" si="11"/>
        <v>-1125.9764955320711</v>
      </c>
      <c r="AN96" s="115"/>
      <c r="AO96" s="131">
        <f t="shared" si="12"/>
        <v>143.11759114575</v>
      </c>
      <c r="AP96" s="131">
        <f t="shared" si="13"/>
        <v>134.73988088513158</v>
      </c>
      <c r="AQ96" s="131">
        <f t="shared" si="14"/>
        <v>124.26774305935858</v>
      </c>
      <c r="AR96" s="115"/>
      <c r="AS96" s="131">
        <f t="shared" si="15"/>
        <v>154.12663661849999</v>
      </c>
      <c r="AT96" s="131">
        <f t="shared" si="16"/>
        <v>170.88205713973684</v>
      </c>
      <c r="AU96" s="131">
        <f t="shared" si="17"/>
        <v>191.82633279128282</v>
      </c>
      <c r="AV96" s="115"/>
      <c r="AW96" s="126">
        <f t="shared" si="18"/>
        <v>-40.366500066749978</v>
      </c>
      <c r="AX96" s="126">
        <f t="shared" si="19"/>
        <v>-467.62972335828897</v>
      </c>
      <c r="AY96" s="126">
        <f t="shared" si="20"/>
        <v>-1001.7087524727125</v>
      </c>
      <c r="AZ96" s="115"/>
      <c r="BA96" s="126">
        <f t="shared" si="21"/>
        <v>-29.357454593999989</v>
      </c>
      <c r="BB96" s="126">
        <f t="shared" si="22"/>
        <v>-431.48754710368371</v>
      </c>
      <c r="BC96" s="126">
        <f t="shared" si="23"/>
        <v>-934.15016274078835</v>
      </c>
      <c r="BD96" s="115"/>
    </row>
    <row r="97" spans="1:56" x14ac:dyDescent="0.25">
      <c r="A97" s="94">
        <v>2042</v>
      </c>
      <c r="B97" s="139" cm="1">
        <f t="array" ref="B97">SUMPRODUCT((PARIS!$AA$4:'PARIS'!$AA$103=A97)*PARIS!$AD$4:$AD$103)+SUMPRODUCT((PARIS!$AB$4:'PARIS'!$AB$103=A97)*PARIS!$AD$4:$AD$103)+SUMPRODUCT((PARIS!$AU$4:'PARIS'!$AU$103=A97)*PARIS!$AX$4:$AX$103)</f>
        <v>20829.439999999999</v>
      </c>
      <c r="C97" s="139" cm="1">
        <f t="array" ref="C97">SUMPRODUCT((PARIS!$AA$4:'PARIS'!$AA$103=A97)*PARIS!$AE$4:$AE$103)+SUMPRODUCT((PARIS!$AB$4:'PARIS'!$AB$103=A97)*PARIS!$AE$4:$AE$103)+SUMPRODUCT((PARIS!$AU$4:'PARIS'!$AU$103=A97)*PARIS!$AY$4:$AY$103)</f>
        <v>400.94499999999999</v>
      </c>
      <c r="D97" s="136" cm="1">
        <f t="array" ref="D97">SUMPRODUCT((PARIS!$AA$4:'PARIS'!$AA$103=A97)*PARIS!$AF$4:$AF$103)+SUMPRODUCT((PARIS!$AB$4:'PARIS'!$AB$103=A97)*PARIS!$AF$4:$AF$103)+SUMPRODUCT((PARIS!$AU$4:'PARIS'!$AU$103=A97)*PARIS!$AV$4:$AV$103)</f>
        <v>0</v>
      </c>
      <c r="E97" s="136" cm="1">
        <f t="array" ref="E97">SUMPRODUCT((PARIS!$AA$4:'PARIS'!$AA$103=A97)*PARIS!$AG$4:$AG$103)+SUMPRODUCT((PARIS!$AB$4:'PARIS'!$AB$103=A97)*PARIS!$AG$4:$AG$103)+SUMPRODUCT((PARIS!$AU$4:'PARIS'!$AU$103=A97)*PARIS!$AW$4:$AW$103)</f>
        <v>400.94499999999999</v>
      </c>
      <c r="F97" s="136" cm="1">
        <f t="array" ref="F97">SUMPRODUCT((PARIS!$AA$4:'PARIS'!$AA$103=A97)*PARIS!$AH$4:$AH$103)+SUMPRODUCT((PARIS!$AB$4:'PARIS'!$AB$103=A97)*PARIS!$AH$4:$AH$103)+SUMPRODUCT((PARIS!$AU$4:'PARIS'!$AU$103=A97)*PARIS!$AZ$4:$AZ$103)</f>
        <v>29.929600000000001</v>
      </c>
      <c r="G97" s="136" cm="1">
        <f t="array" ref="G97">SUMPRODUCT((PARIS!$AA$4:'PARIS'!$AA$103=A97)*PARIS!$AI$4:$AI$103)+SUMPRODUCT((PARIS!$AB$4:'PARIS'!$AB$103=A97)*PARIS!$AI$4:$AI$103)+SUMPRODUCT((PARIS!$AU$4:'PARIS'!$AU$103=A97)*PARIS!$BA$4:$BA$103)</f>
        <v>29.929600000000001</v>
      </c>
      <c r="H97" s="115"/>
      <c r="I97" s="139">
        <f t="shared" si="5"/>
        <v>29535.603117499999</v>
      </c>
      <c r="J97" s="136">
        <f t="shared" si="4"/>
        <v>8845.3150999999998</v>
      </c>
      <c r="K97" s="136">
        <f t="shared" si="4"/>
        <v>20690.288017499995</v>
      </c>
      <c r="L97" s="136">
        <f t="shared" si="4"/>
        <v>2140.7990407324041</v>
      </c>
      <c r="M97" s="136">
        <f t="shared" si="4"/>
        <v>1326.0911910287748</v>
      </c>
      <c r="N97" s="115"/>
      <c r="O97" s="131">
        <f>C97*(Hypotheses!H61*Hypotheses!$D$19+Hypotheses!$D$14*(1-Hypotheses!H61))</f>
        <v>4.6910565000000002</v>
      </c>
      <c r="P97" s="131">
        <f>C97*(Hypotheses!I61*Hypotheses!$D$19+Hypotheses!$D$14*(1-Hypotheses!I61))</f>
        <v>4.2240256108303225</v>
      </c>
      <c r="Q97" s="131">
        <f>C97*(Hypotheses!J61*Hypotheses!$D$19+Hypotheses!$D$14*(1-Hypotheses!J61))</f>
        <v>3.6402369993682266</v>
      </c>
      <c r="R97" s="115"/>
      <c r="S97" s="131">
        <f>C97*(Hypotheses!H61*Hypotheses!$D$21+Hypotheses!$D$14*(1-Hypotheses!H61))</f>
        <v>5.0519069999999999</v>
      </c>
      <c r="T97" s="131">
        <f>C97*(Hypotheses!I61*Hypotheses!$D$21+Hypotheses!$D$14*(1-Hypotheses!I61))</f>
        <v>5.9859687783393536</v>
      </c>
      <c r="U97" s="131">
        <f>C97*(Hypotheses!J61*Hypotheses!$D$21+Hypotheses!$D$14*(1-Hypotheses!J61))</f>
        <v>7.1535460012635461</v>
      </c>
      <c r="V97" s="115"/>
      <c r="W97" s="128">
        <f>-C97*Hypotheses!$D$31*Hypotheses!H61</f>
        <v>-24.056699999999999</v>
      </c>
      <c r="X97" s="128">
        <f>-C97*Hypotheses!$D$31*Hypotheses!I61</f>
        <v>-117.46287783393538</v>
      </c>
      <c r="Y97" s="128">
        <f>-C97*Hypotheses!$D$31*Hypotheses!J61</f>
        <v>-234.22060012635458</v>
      </c>
      <c r="Z97" s="126">
        <f>-C97*Hypotheses!$D$30*Hypotheses!H61</f>
        <v>-6.0141749999999998</v>
      </c>
      <c r="AA97" s="126">
        <f>-C97*Hypotheses!$D$30*Hypotheses!I61</f>
        <v>-29.365719458483845</v>
      </c>
      <c r="AB97" s="126">
        <f>-C97*Hypotheses!$D$30*Hypotheses!J61</f>
        <v>-58.555150031588646</v>
      </c>
      <c r="AC97" s="115"/>
      <c r="AD97" s="126">
        <f>-C97*Hypotheses!$D$30*Hypotheses!H61+(O97+S97)/2</f>
        <v>-1.1426932499999998</v>
      </c>
      <c r="AE97" s="126">
        <f>-C97*Hypotheses!$D$30*Hypotheses!I61+(P97+T97)/2</f>
        <v>-24.260722263899005</v>
      </c>
      <c r="AF97" s="126">
        <f>-C97*Hypotheses!$D$30*Hypotheses!J61+(Q97+U97)/2</f>
        <v>-53.158258531272757</v>
      </c>
      <c r="AG97" s="115"/>
      <c r="AH97" s="128">
        <f t="shared" si="6"/>
        <v>-757.99306484999988</v>
      </c>
      <c r="AI97" s="128">
        <f t="shared" si="7"/>
        <v>-2526.9412948076174</v>
      </c>
      <c r="AJ97" s="128">
        <f t="shared" si="8"/>
        <v>-4738.1265822546393</v>
      </c>
      <c r="AK97" s="126">
        <f t="shared" si="9"/>
        <v>-189.49826621249997</v>
      </c>
      <c r="AL97" s="126">
        <f t="shared" si="10"/>
        <v>-631.73532370190435</v>
      </c>
      <c r="AM97" s="126">
        <f t="shared" si="11"/>
        <v>-1184.5316455636598</v>
      </c>
      <c r="AN97" s="115"/>
      <c r="AO97" s="131">
        <f t="shared" si="12"/>
        <v>147.80864764575</v>
      </c>
      <c r="AP97" s="131">
        <f t="shared" si="13"/>
        <v>138.96390649596191</v>
      </c>
      <c r="AQ97" s="131">
        <f t="shared" si="14"/>
        <v>127.90798005872681</v>
      </c>
      <c r="AR97" s="115"/>
      <c r="AS97" s="131">
        <f t="shared" si="15"/>
        <v>159.17854361849999</v>
      </c>
      <c r="AT97" s="131">
        <f t="shared" si="16"/>
        <v>176.8680259180762</v>
      </c>
      <c r="AU97" s="131">
        <f t="shared" si="17"/>
        <v>198.97987879254637</v>
      </c>
      <c r="AV97" s="115"/>
      <c r="AW97" s="126">
        <f t="shared" si="18"/>
        <v>-41.689618566749971</v>
      </c>
      <c r="AX97" s="126">
        <f t="shared" si="19"/>
        <v>-492.77141720594244</v>
      </c>
      <c r="AY97" s="126">
        <f t="shared" si="20"/>
        <v>-1056.6236655049331</v>
      </c>
      <c r="AZ97" s="115"/>
      <c r="BA97" s="126">
        <f t="shared" si="21"/>
        <v>-30.319722593999984</v>
      </c>
      <c r="BB97" s="126">
        <f t="shared" si="22"/>
        <v>-454.86729778382812</v>
      </c>
      <c r="BC97" s="126">
        <f t="shared" si="23"/>
        <v>-985.55176677111342</v>
      </c>
      <c r="BD97" s="115"/>
    </row>
    <row r="98" spans="1:56" x14ac:dyDescent="0.25">
      <c r="A98" s="94">
        <v>2043</v>
      </c>
      <c r="B98" s="139" cm="1">
        <f t="array" ref="B98">SUMPRODUCT((PARIS!$AA$4:'PARIS'!$AA$103=A98)*PARIS!$AD$4:$AD$103)+SUMPRODUCT((PARIS!$AB$4:'PARIS'!$AB$103=A98)*PARIS!$AD$4:$AD$103)+SUMPRODUCT((PARIS!$AU$4:'PARIS'!$AU$103=A98)*PARIS!$AX$4:$AX$103)</f>
        <v>34921.360000000001</v>
      </c>
      <c r="C98" s="139" cm="1">
        <f t="array" ref="C98">SUMPRODUCT((PARIS!$AA$4:'PARIS'!$AA$103=A98)*PARIS!$AE$4:$AE$103)+SUMPRODUCT((PARIS!$AB$4:'PARIS'!$AB$103=A98)*PARIS!$AE$4:$AE$103)+SUMPRODUCT((PARIS!$AU$4:'PARIS'!$AU$103=A98)*PARIS!$AY$4:$AY$103)</f>
        <v>678.06319999999994</v>
      </c>
      <c r="D98" s="136" cm="1">
        <f t="array" ref="D98">SUMPRODUCT((PARIS!$AA$4:'PARIS'!$AA$103=A98)*PARIS!$AF$4:$AF$103)+SUMPRODUCT((PARIS!$AB$4:'PARIS'!$AB$103=A98)*PARIS!$AF$4:$AF$103)+SUMPRODUCT((PARIS!$AU$4:'PARIS'!$AU$103=A98)*PARIS!$AV$4:$AV$103)</f>
        <v>118.2456</v>
      </c>
      <c r="E98" s="136" cm="1">
        <f t="array" ref="E98">SUMPRODUCT((PARIS!$AA$4:'PARIS'!$AA$103=A98)*PARIS!$AG$4:$AG$103)+SUMPRODUCT((PARIS!$AB$4:'PARIS'!$AB$103=A98)*PARIS!$AG$4:$AG$103)+SUMPRODUCT((PARIS!$AU$4:'PARIS'!$AU$103=A98)*PARIS!$AW$4:$AW$103)</f>
        <v>559.81759999999997</v>
      </c>
      <c r="F98" s="136" cm="1">
        <f t="array" ref="F98">SUMPRODUCT((PARIS!$AA$4:'PARIS'!$AA$103=A98)*PARIS!$AH$4:$AH$103)+SUMPRODUCT((PARIS!$AB$4:'PARIS'!$AB$103=A98)*PARIS!$AH$4:$AH$103)+SUMPRODUCT((PARIS!$AU$4:'PARIS'!$AU$103=A98)*PARIS!$AZ$4:$AZ$103)</f>
        <v>47.788000000000004</v>
      </c>
      <c r="G98" s="136" cm="1">
        <f t="array" ref="G98">SUMPRODUCT((PARIS!$AA$4:'PARIS'!$AA$103=A98)*PARIS!$AI$4:$AI$103)+SUMPRODUCT((PARIS!$AB$4:'PARIS'!$AB$103=A98)*PARIS!$AI$4:$AI$103)+SUMPRODUCT((PARIS!$AU$4:'PARIS'!$AU$103=A98)*PARIS!$BA$4:$BA$103)</f>
        <v>34.619733333333336</v>
      </c>
      <c r="H98" s="115"/>
      <c r="I98" s="139">
        <f t="shared" si="5"/>
        <v>30213.666317499999</v>
      </c>
      <c r="J98" s="136">
        <f t="shared" si="4"/>
        <v>8963.5607</v>
      </c>
      <c r="K98" s="136">
        <f t="shared" si="4"/>
        <v>21250.105617499994</v>
      </c>
      <c r="L98" s="136">
        <f t="shared" si="4"/>
        <v>2188.5870407324041</v>
      </c>
      <c r="M98" s="136">
        <f t="shared" si="4"/>
        <v>1360.7109243621082</v>
      </c>
      <c r="N98" s="115"/>
      <c r="O98" s="131">
        <f>C98*(Hypotheses!H62*Hypotheses!$D$19+Hypotheses!$D$14*(1-Hypotheses!H62))</f>
        <v>7.9333394399999992</v>
      </c>
      <c r="P98" s="131">
        <f>C98*(Hypotheses!I62*Hypotheses!$D$19+Hypotheses!$D$14*(1-Hypotheses!I62))</f>
        <v>7.1342985444993205</v>
      </c>
      <c r="Q98" s="131">
        <f>C98*(Hypotheses!J62*Hypotheses!$D$19+Hypotheses!$D$14*(1-Hypotheses!J62))</f>
        <v>6.1354974251234715</v>
      </c>
      <c r="R98" s="115"/>
      <c r="S98" s="131">
        <f>C98*(Hypotheses!H62*Hypotheses!$D$21+Hypotheses!$D$14*(1-Hypotheses!H62))</f>
        <v>8.5435963199999989</v>
      </c>
      <c r="T98" s="131">
        <f>C98*(Hypotheses!I62*Hypotheses!$D$21+Hypotheses!$D$14*(1-Hypotheses!I62))</f>
        <v>10.141678111001356</v>
      </c>
      <c r="U98" s="131">
        <f>C98*(Hypotheses!J62*Hypotheses!$D$21+Hypotheses!$D$14*(1-Hypotheses!J62))</f>
        <v>12.139280349753054</v>
      </c>
      <c r="V98" s="115"/>
      <c r="W98" s="128">
        <f>-C98*Hypotheses!$D$31*Hypotheses!H62</f>
        <v>-40.683791999999997</v>
      </c>
      <c r="X98" s="128">
        <f>-C98*Hypotheses!$D$31*Hypotheses!I62</f>
        <v>-200.49197110013574</v>
      </c>
      <c r="Y98" s="128">
        <f>-C98*Hypotheses!$D$31*Hypotheses!J62</f>
        <v>-400.25219497530543</v>
      </c>
      <c r="Z98" s="126">
        <f>-C98*Hypotheses!$D$30*Hypotheses!H62</f>
        <v>-10.170947999999999</v>
      </c>
      <c r="AA98" s="126">
        <f>-C98*Hypotheses!$D$30*Hypotheses!I62</f>
        <v>-50.122992775033936</v>
      </c>
      <c r="AB98" s="126">
        <f>-C98*Hypotheses!$D$30*Hypotheses!J62</f>
        <v>-100.06304874382636</v>
      </c>
      <c r="AC98" s="115"/>
      <c r="AD98" s="126">
        <f>-C98*Hypotheses!$D$30*Hypotheses!H62+(O98+S98)/2</f>
        <v>-1.932480120000001</v>
      </c>
      <c r="AE98" s="126">
        <f>-C98*Hypotheses!$D$30*Hypotheses!I62+(P98+T98)/2</f>
        <v>-41.4850044472836</v>
      </c>
      <c r="AF98" s="126">
        <f>-C98*Hypotheses!$D$30*Hypotheses!J62+(Q98+U98)/2</f>
        <v>-90.925659856388094</v>
      </c>
      <c r="AG98" s="115"/>
      <c r="AH98" s="128">
        <f t="shared" si="6"/>
        <v>-798.67685684999992</v>
      </c>
      <c r="AI98" s="128">
        <f t="shared" si="7"/>
        <v>-2727.4332659077531</v>
      </c>
      <c r="AJ98" s="128">
        <f t="shared" si="8"/>
        <v>-5138.3787772299447</v>
      </c>
      <c r="AK98" s="126">
        <f t="shared" si="9"/>
        <v>-199.66921421249998</v>
      </c>
      <c r="AL98" s="126">
        <f t="shared" si="10"/>
        <v>-681.85831647693828</v>
      </c>
      <c r="AM98" s="126">
        <f t="shared" si="11"/>
        <v>-1284.5946943074862</v>
      </c>
      <c r="AN98" s="115"/>
      <c r="AO98" s="131">
        <f t="shared" si="12"/>
        <v>155.74198708575</v>
      </c>
      <c r="AP98" s="131">
        <f t="shared" si="13"/>
        <v>146.09820504046124</v>
      </c>
      <c r="AQ98" s="131">
        <f t="shared" si="14"/>
        <v>134.04347748385027</v>
      </c>
      <c r="AR98" s="115"/>
      <c r="AS98" s="131">
        <f t="shared" si="15"/>
        <v>167.72213993849999</v>
      </c>
      <c r="AT98" s="131">
        <f t="shared" si="16"/>
        <v>187.00970402907757</v>
      </c>
      <c r="AU98" s="131">
        <f t="shared" si="17"/>
        <v>211.11915914229942</v>
      </c>
      <c r="AV98" s="115"/>
      <c r="AW98" s="126">
        <f t="shared" si="18"/>
        <v>-43.927227126749983</v>
      </c>
      <c r="AX98" s="126">
        <f t="shared" si="19"/>
        <v>-535.76011143647702</v>
      </c>
      <c r="AY98" s="126">
        <f t="shared" si="20"/>
        <v>-1150.551216823636</v>
      </c>
      <c r="AZ98" s="115"/>
      <c r="BA98" s="126">
        <f t="shared" si="21"/>
        <v>-31.947074273999988</v>
      </c>
      <c r="BB98" s="126">
        <f t="shared" si="22"/>
        <v>-494.84861244786072</v>
      </c>
      <c r="BC98" s="126">
        <f t="shared" si="23"/>
        <v>-1073.4755351651868</v>
      </c>
      <c r="BD98" s="115"/>
    </row>
    <row r="99" spans="1:56" x14ac:dyDescent="0.25">
      <c r="A99" s="94">
        <v>2044</v>
      </c>
      <c r="B99" s="139" cm="1">
        <f t="array" ref="B99">SUMPRODUCT((PARIS!$AA$4:'PARIS'!$AA$103=A99)*PARIS!$AD$4:$AD$103)+SUMPRODUCT((PARIS!$AB$4:'PARIS'!$AB$103=A99)*PARIS!$AD$4:$AD$103)+SUMPRODUCT((PARIS!$AU$4:'PARIS'!$AU$103=A99)*PARIS!$AX$4:$AX$103)</f>
        <v>54318</v>
      </c>
      <c r="C99" s="139" cm="1">
        <f t="array" ref="C99">SUMPRODUCT((PARIS!$AA$4:'PARIS'!$AA$103=A99)*PARIS!$AE$4:$AE$103)+SUMPRODUCT((PARIS!$AB$4:'PARIS'!$AB$103=A99)*PARIS!$AE$4:$AE$103)+SUMPRODUCT((PARIS!$AU$4:'PARIS'!$AU$103=A99)*PARIS!$AY$4:$AY$103)</f>
        <v>1182.3800000000001</v>
      </c>
      <c r="D99" s="136" cm="1">
        <f t="array" ref="D99">SUMPRODUCT((PARIS!$AA$4:'PARIS'!$AA$103=A99)*PARIS!$AF$4:$AF$103)+SUMPRODUCT((PARIS!$AB$4:'PARIS'!$AB$103=A99)*PARIS!$AF$4:$AF$103)+SUMPRODUCT((PARIS!$AU$4:'PARIS'!$AU$103=A99)*PARIS!$AV$4:$AV$103)</f>
        <v>19.350000000000001</v>
      </c>
      <c r="E99" s="136" cm="1">
        <f t="array" ref="E99">SUMPRODUCT((PARIS!$AA$4:'PARIS'!$AA$103=A99)*PARIS!$AG$4:$AG$103)+SUMPRODUCT((PARIS!$AB$4:'PARIS'!$AB$103=A99)*PARIS!$AG$4:$AG$103)+SUMPRODUCT((PARIS!$AU$4:'PARIS'!$AU$103=A99)*PARIS!$AW$4:$AW$103)</f>
        <v>1163.03</v>
      </c>
      <c r="F99" s="136" cm="1">
        <f t="array" ref="F99">SUMPRODUCT((PARIS!$AA$4:'PARIS'!$AA$103=A99)*PARIS!$AH$4:$AH$103)+SUMPRODUCT((PARIS!$AB$4:'PARIS'!$AB$103=A99)*PARIS!$AH$4:$AH$103)+SUMPRODUCT((PARIS!$AU$4:'PARIS'!$AU$103=A99)*PARIS!$AZ$4:$AZ$103)</f>
        <v>49.853333333333339</v>
      </c>
      <c r="G99" s="136" cm="1">
        <f t="array" ref="G99">SUMPRODUCT((PARIS!$AA$4:'PARIS'!$AA$103=A99)*PARIS!$AI$4:$AI$103)+SUMPRODUCT((PARIS!$AB$4:'PARIS'!$AB$103=A99)*PARIS!$AI$4:$AI$103)+SUMPRODUCT((PARIS!$AU$4:'PARIS'!$AU$103=A99)*PARIS!$BA$4:$BA$103)</f>
        <v>49.853333333333339</v>
      </c>
      <c r="H99" s="115"/>
      <c r="I99" s="139">
        <f t="shared" si="5"/>
        <v>31396.0463175</v>
      </c>
      <c r="J99" s="136">
        <f t="shared" si="4"/>
        <v>8982.9107000000004</v>
      </c>
      <c r="K99" s="136">
        <f t="shared" si="4"/>
        <v>22413.135617499993</v>
      </c>
      <c r="L99" s="136">
        <f t="shared" si="4"/>
        <v>2238.4403740657376</v>
      </c>
      <c r="M99" s="136">
        <f t="shared" si="4"/>
        <v>1410.5642576954415</v>
      </c>
      <c r="N99" s="115"/>
      <c r="O99" s="131">
        <f>C99*(Hypotheses!H63*Hypotheses!$D$19+Hypotheses!$D$14*(1-Hypotheses!H63))</f>
        <v>13.833846000000001</v>
      </c>
      <c r="P99" s="131">
        <f>C99*(Hypotheses!I63*Hypotheses!$D$19+Hypotheses!$D$14*(1-Hypotheses!I63))</f>
        <v>12.430578889473074</v>
      </c>
      <c r="Q99" s="131">
        <f>C99*(Hypotheses!J63*Hypotheses!$D$19+Hypotheses!$D$14*(1-Hypotheses!J63))</f>
        <v>10.676495001314414</v>
      </c>
      <c r="R99" s="115"/>
      <c r="S99" s="131">
        <f>C99*(Hypotheses!H63*Hypotheses!$D$21+Hypotheses!$D$14*(1-Hypotheses!H63))</f>
        <v>14.897988000000002</v>
      </c>
      <c r="T99" s="131">
        <f>C99*(Hypotheses!I63*Hypotheses!$D$21+Hypotheses!$D$14*(1-Hypotheses!I63))</f>
        <v>17.704522221053857</v>
      </c>
      <c r="U99" s="131">
        <f>C99*(Hypotheses!J63*Hypotheses!$D$21+Hypotheses!$D$14*(1-Hypotheses!J63))</f>
        <v>21.212689997371172</v>
      </c>
      <c r="V99" s="115"/>
      <c r="W99" s="128">
        <f>-C99*Hypotheses!$D$31*Hypotheses!H63</f>
        <v>-70.942800000000005</v>
      </c>
      <c r="X99" s="128">
        <f>-C99*Hypotheses!$D$31*Hypotheses!I63</f>
        <v>-351.59622210538544</v>
      </c>
      <c r="Y99" s="128">
        <f>-C99*Hypotheses!$D$31*Hypotheses!J63</f>
        <v>-702.41299973711716</v>
      </c>
      <c r="Z99" s="126">
        <f>-C99*Hypotheses!$D$30*Hypotheses!H63</f>
        <v>-17.735700000000001</v>
      </c>
      <c r="AA99" s="126">
        <f>-C99*Hypotheses!$D$30*Hypotheses!I63</f>
        <v>-87.899055526346359</v>
      </c>
      <c r="AB99" s="126">
        <f>-C99*Hypotheses!$D$30*Hypotheses!J63</f>
        <v>-175.60324993427929</v>
      </c>
      <c r="AC99" s="115"/>
      <c r="AD99" s="126">
        <f>-C99*Hypotheses!$D$30*Hypotheses!H63+(O99+S99)/2</f>
        <v>-3.369783</v>
      </c>
      <c r="AE99" s="126">
        <f>-C99*Hypotheses!$D$30*Hypotheses!I63+(P99+T99)/2</f>
        <v>-72.831504971082893</v>
      </c>
      <c r="AF99" s="126">
        <f>-C99*Hypotheses!$D$30*Hypotheses!J63+(Q99+U99)/2</f>
        <v>-159.65865743493649</v>
      </c>
      <c r="AG99" s="115"/>
      <c r="AH99" s="128">
        <f t="shared" si="6"/>
        <v>-869.61965684999996</v>
      </c>
      <c r="AI99" s="128">
        <f t="shared" si="7"/>
        <v>-3079.0294880131387</v>
      </c>
      <c r="AJ99" s="128">
        <f t="shared" si="8"/>
        <v>-5840.7917769670621</v>
      </c>
      <c r="AK99" s="126">
        <f t="shared" si="9"/>
        <v>-217.40491421249999</v>
      </c>
      <c r="AL99" s="126">
        <f t="shared" si="10"/>
        <v>-769.75737200328467</v>
      </c>
      <c r="AM99" s="126">
        <f t="shared" si="11"/>
        <v>-1460.1979442417655</v>
      </c>
      <c r="AN99" s="115"/>
      <c r="AO99" s="131">
        <f t="shared" si="12"/>
        <v>169.57583308574999</v>
      </c>
      <c r="AP99" s="131">
        <f t="shared" si="13"/>
        <v>158.52878392993432</v>
      </c>
      <c r="AQ99" s="131">
        <f t="shared" si="14"/>
        <v>144.71997248516467</v>
      </c>
      <c r="AR99" s="115"/>
      <c r="AS99" s="131">
        <f t="shared" si="15"/>
        <v>182.62012793849999</v>
      </c>
      <c r="AT99" s="131">
        <f t="shared" si="16"/>
        <v>204.71422625013142</v>
      </c>
      <c r="AU99" s="131">
        <f t="shared" si="17"/>
        <v>232.3318491396706</v>
      </c>
      <c r="AV99" s="115"/>
      <c r="AW99" s="126">
        <f t="shared" si="18"/>
        <v>-47.829081126749998</v>
      </c>
      <c r="AX99" s="126">
        <f t="shared" si="19"/>
        <v>-611.22858807335035</v>
      </c>
      <c r="AY99" s="126">
        <f t="shared" si="20"/>
        <v>-1315.4779717566009</v>
      </c>
      <c r="AZ99" s="115"/>
      <c r="BA99" s="126">
        <f t="shared" si="21"/>
        <v>-34.784786273999998</v>
      </c>
      <c r="BB99" s="126">
        <f t="shared" si="22"/>
        <v>-565.04314575315323</v>
      </c>
      <c r="BC99" s="126">
        <f t="shared" si="23"/>
        <v>-1227.866095102095</v>
      </c>
      <c r="BD99" s="115"/>
    </row>
    <row r="100" spans="1:56" x14ac:dyDescent="0.25">
      <c r="A100" s="94">
        <v>2045</v>
      </c>
      <c r="B100" s="139" cm="1">
        <f t="array" ref="B100">SUMPRODUCT((PARIS!$AA$4:'PARIS'!$AA$103=A100)*PARIS!$AD$4:$AD$103)+SUMPRODUCT((PARIS!$AB$4:'PARIS'!$AB$103=A100)*PARIS!$AD$4:$AD$103)+SUMPRODUCT((PARIS!$AU$4:'PARIS'!$AU$103=A100)*PARIS!$AX$4:$AX$103)</f>
        <v>47241.576000000001</v>
      </c>
      <c r="C100" s="139" cm="1">
        <f t="array" ref="C100">SUMPRODUCT((PARIS!$AA$4:'PARIS'!$AA$103=A100)*PARIS!$AE$4:$AE$103)+SUMPRODUCT((PARIS!$AB$4:'PARIS'!$AB$103=A100)*PARIS!$AE$4:$AE$103)+SUMPRODUCT((PARIS!$AU$4:'PARIS'!$AU$103=A100)*PARIS!$AY$4:$AY$103)</f>
        <v>1130.5197000000001</v>
      </c>
      <c r="D100" s="136" cm="1">
        <f t="array" ref="D100">SUMPRODUCT((PARIS!$AA$4:'PARIS'!$AA$103=A100)*PARIS!$AF$4:$AF$103)+SUMPRODUCT((PARIS!$AB$4:'PARIS'!$AB$103=A100)*PARIS!$AF$4:$AF$103)+SUMPRODUCT((PARIS!$AU$4:'PARIS'!$AU$103=A100)*PARIS!$AV$4:$AV$103)</f>
        <v>140.5197</v>
      </c>
      <c r="E100" s="136" cm="1">
        <f t="array" ref="E100">SUMPRODUCT((PARIS!$AA$4:'PARIS'!$AA$103=A100)*PARIS!$AG$4:$AG$103)+SUMPRODUCT((PARIS!$AB$4:'PARIS'!$AB$103=A100)*PARIS!$AG$4:$AG$103)+SUMPRODUCT((PARIS!$AU$4:'PARIS'!$AU$103=A100)*PARIS!$AW$4:$AW$103)</f>
        <v>990</v>
      </c>
      <c r="F100" s="136" cm="1">
        <f t="array" ref="F100">SUMPRODUCT((PARIS!$AA$4:'PARIS'!$AA$103=A100)*PARIS!$AH$4:$AH$103)+SUMPRODUCT((PARIS!$AB$4:'PARIS'!$AB$103=A100)*PARIS!$AH$4:$AH$103)+SUMPRODUCT((PARIS!$AU$4:'PARIS'!$AU$103=A100)*PARIS!$AZ$4:$AZ$103)</f>
        <v>36.875280000000004</v>
      </c>
      <c r="G100" s="136" cm="1">
        <f t="array" ref="G100">SUMPRODUCT((PARIS!$AA$4:'PARIS'!$AA$103=A100)*PARIS!$AI$4:$AI$103)+SUMPRODUCT((PARIS!$AB$4:'PARIS'!$AB$103=A100)*PARIS!$AI$4:$AI$103)+SUMPRODUCT((PARIS!$AU$4:'PARIS'!$AU$103=A100)*PARIS!$BA$4:$BA$103)</f>
        <v>17.625</v>
      </c>
      <c r="H100" s="115"/>
      <c r="I100" s="139">
        <f t="shared" si="5"/>
        <v>32526.566017500001</v>
      </c>
      <c r="J100" s="136">
        <f t="shared" si="4"/>
        <v>9123.4304000000011</v>
      </c>
      <c r="K100" s="136">
        <f t="shared" si="4"/>
        <v>23403.135617499993</v>
      </c>
      <c r="L100" s="136">
        <f t="shared" si="4"/>
        <v>2275.3156540657378</v>
      </c>
      <c r="M100" s="136">
        <f t="shared" si="4"/>
        <v>1428.1892576954415</v>
      </c>
      <c r="N100" s="115"/>
      <c r="O100" s="131">
        <f>C100*(Hypotheses!H64*Hypotheses!$D$19+Hypotheses!$D$14*(1-Hypotheses!H64))</f>
        <v>13.227080490000001</v>
      </c>
      <c r="P100" s="131">
        <f>C100*(Hypotheses!I64*Hypotheses!$D$19+Hypotheses!$D$14*(1-Hypotheses!I64))</f>
        <v>11.879536529782881</v>
      </c>
      <c r="Q100" s="131">
        <f>C100*(Hypotheses!J64*Hypotheses!$D$19+Hypotheses!$D$14*(1-Hypotheses!J64))</f>
        <v>10.195106579511483</v>
      </c>
      <c r="R100" s="115"/>
      <c r="S100" s="131">
        <f>C100*(Hypotheses!H64*Hypotheses!$D$21+Hypotheses!$D$14*(1-Hypotheses!H64))</f>
        <v>14.24454822</v>
      </c>
      <c r="T100" s="131">
        <f>C100*(Hypotheses!I64*Hypotheses!$D$21+Hypotheses!$D$14*(1-Hypotheses!I64))</f>
        <v>16.939636140434242</v>
      </c>
      <c r="U100" s="131">
        <f>C100*(Hypotheses!J64*Hypotheses!$D$21+Hypotheses!$D$14*(1-Hypotheses!J64))</f>
        <v>20.308496040977037</v>
      </c>
      <c r="V100" s="115"/>
      <c r="W100" s="128">
        <f>-C100*Hypotheses!$D$31*Hypotheses!H64</f>
        <v>-67.831181999999998</v>
      </c>
      <c r="X100" s="128">
        <f>-C100*Hypotheses!$D$31*Hypotheses!I64</f>
        <v>-337.33997404342392</v>
      </c>
      <c r="Y100" s="128">
        <f>-C100*Hypotheses!$D$31*Hypotheses!J64</f>
        <v>-674.22596409770381</v>
      </c>
      <c r="Z100" s="126">
        <f>-C100*Hypotheses!$D$30*Hypotheses!H64</f>
        <v>-16.9577955</v>
      </c>
      <c r="AA100" s="126">
        <f>-C100*Hypotheses!$D$30*Hypotheses!I64</f>
        <v>-84.334993510855981</v>
      </c>
      <c r="AB100" s="126">
        <f>-C100*Hypotheses!$D$30*Hypotheses!J64</f>
        <v>-168.55649102442595</v>
      </c>
      <c r="AC100" s="115"/>
      <c r="AD100" s="126">
        <f>-C100*Hypotheses!$D$30*Hypotheses!H64+(O100+S100)/2</f>
        <v>-3.2219811449999991</v>
      </c>
      <c r="AE100" s="126">
        <f>-C100*Hypotheses!$D$30*Hypotheses!I64+(P100+T100)/2</f>
        <v>-69.925407175747424</v>
      </c>
      <c r="AF100" s="126">
        <f>-C100*Hypotheses!$D$30*Hypotheses!J64+(Q100+U100)/2</f>
        <v>-153.30468971418168</v>
      </c>
      <c r="AG100" s="115"/>
      <c r="AH100" s="128">
        <f t="shared" si="6"/>
        <v>-937.45083884999997</v>
      </c>
      <c r="AI100" s="128">
        <f t="shared" si="7"/>
        <v>-3416.3694620565625</v>
      </c>
      <c r="AJ100" s="128">
        <f t="shared" si="8"/>
        <v>-6515.0177410647657</v>
      </c>
      <c r="AK100" s="126">
        <f t="shared" si="9"/>
        <v>-234.36270971249999</v>
      </c>
      <c r="AL100" s="126">
        <f t="shared" si="10"/>
        <v>-854.09236551414062</v>
      </c>
      <c r="AM100" s="126">
        <f t="shared" si="11"/>
        <v>-1628.7544352661914</v>
      </c>
      <c r="AN100" s="115"/>
      <c r="AO100" s="131">
        <f t="shared" si="12"/>
        <v>182.80291357574998</v>
      </c>
      <c r="AP100" s="131">
        <f t="shared" si="13"/>
        <v>170.4083204597172</v>
      </c>
      <c r="AQ100" s="131">
        <f t="shared" si="14"/>
        <v>154.91507906467615</v>
      </c>
      <c r="AR100" s="115"/>
      <c r="AS100" s="131">
        <f t="shared" si="15"/>
        <v>196.8646761585</v>
      </c>
      <c r="AT100" s="131">
        <f t="shared" si="16"/>
        <v>221.65386239056565</v>
      </c>
      <c r="AU100" s="131">
        <f t="shared" si="17"/>
        <v>252.64034518064764</v>
      </c>
      <c r="AV100" s="115"/>
      <c r="AW100" s="126">
        <f t="shared" si="18"/>
        <v>-51.559796136750009</v>
      </c>
      <c r="AX100" s="126">
        <f t="shared" si="19"/>
        <v>-683.68404505442345</v>
      </c>
      <c r="AY100" s="126">
        <f t="shared" si="20"/>
        <v>-1473.8393562015153</v>
      </c>
      <c r="AZ100" s="115"/>
      <c r="BA100" s="126">
        <f t="shared" si="21"/>
        <v>-37.498033553999988</v>
      </c>
      <c r="BB100" s="126">
        <f t="shared" si="22"/>
        <v>-632.43850312357495</v>
      </c>
      <c r="BC100" s="126">
        <f t="shared" si="23"/>
        <v>-1376.1140900855437</v>
      </c>
      <c r="BD100" s="115"/>
    </row>
    <row r="101" spans="1:56" x14ac:dyDescent="0.25">
      <c r="A101" s="94">
        <v>2046</v>
      </c>
      <c r="B101" s="139" cm="1">
        <f t="array" ref="B101">SUMPRODUCT((PARIS!$AA$4:'PARIS'!$AA$103=A101)*PARIS!$AD$4:$AD$103)+SUMPRODUCT((PARIS!$AB$4:'PARIS'!$AB$103=A101)*PARIS!$AD$4:$AD$103)+SUMPRODUCT((PARIS!$AU$4:'PARIS'!$AU$103=A101)*PARIS!$AX$4:$AX$103)</f>
        <v>26170.073999999997</v>
      </c>
      <c r="C101" s="139" cm="1">
        <f t="array" ref="C101">SUMPRODUCT((PARIS!$AA$4:'PARIS'!$AA$103=A101)*PARIS!$AE$4:$AE$103)+SUMPRODUCT((PARIS!$AB$4:'PARIS'!$AB$103=A101)*PARIS!$AE$4:$AE$103)+SUMPRODUCT((PARIS!$AU$4:'PARIS'!$AU$103=A101)*PARIS!$AY$4:$AY$103)</f>
        <v>517.49522999999999</v>
      </c>
      <c r="D101" s="136" cm="1">
        <f t="array" ref="D101">SUMPRODUCT((PARIS!$AA$4:'PARIS'!$AA$103=A101)*PARIS!$AF$4:$AF$103)+SUMPRODUCT((PARIS!$AB$4:'PARIS'!$AB$103=A101)*PARIS!$AF$4:$AF$103)+SUMPRODUCT((PARIS!$AU$4:'PARIS'!$AU$103=A101)*PARIS!$AV$4:$AV$103)</f>
        <v>86.907870000000003</v>
      </c>
      <c r="E101" s="136" cm="1">
        <f t="array" ref="E101">SUMPRODUCT((PARIS!$AA$4:'PARIS'!$AA$103=A101)*PARIS!$AG$4:$AG$103)+SUMPRODUCT((PARIS!$AB$4:'PARIS'!$AB$103=A101)*PARIS!$AG$4:$AG$103)+SUMPRODUCT((PARIS!$AU$4:'PARIS'!$AU$103=A101)*PARIS!$AW$4:$AW$103)</f>
        <v>430.58735999999993</v>
      </c>
      <c r="F101" s="136" cm="1">
        <f t="array" ref="F101">SUMPRODUCT((PARIS!$AA$4:'PARIS'!$AA$103=A101)*PARIS!$AH$4:$AH$103)+SUMPRODUCT((PARIS!$AB$4:'PARIS'!$AB$103=A101)*PARIS!$AH$4:$AH$103)+SUMPRODUCT((PARIS!$AU$4:'PARIS'!$AU$103=A101)*PARIS!$AZ$4:$AZ$103)</f>
        <v>45.430199999999999</v>
      </c>
      <c r="G101" s="136" cm="1">
        <f t="array" ref="G101">SUMPRODUCT((PARIS!$AA$4:'PARIS'!$AA$103=A101)*PARIS!$AI$4:$AI$103)+SUMPRODUCT((PARIS!$AB$4:'PARIS'!$AB$103=A101)*PARIS!$AI$4:$AI$103)+SUMPRODUCT((PARIS!$AU$4:'PARIS'!$AU$103=A101)*PARIS!$BA$4:$BA$103)</f>
        <v>29.086800000000004</v>
      </c>
      <c r="H101" s="115"/>
      <c r="I101" s="139">
        <f t="shared" si="5"/>
        <v>33044.061247500002</v>
      </c>
      <c r="J101" s="136">
        <f t="shared" si="4"/>
        <v>9210.3382700000002</v>
      </c>
      <c r="K101" s="136">
        <f t="shared" si="4"/>
        <v>23833.722977499994</v>
      </c>
      <c r="L101" s="136">
        <f t="shared" si="4"/>
        <v>2320.7458540657376</v>
      </c>
      <c r="M101" s="136">
        <f t="shared" si="4"/>
        <v>1457.2760576954415</v>
      </c>
      <c r="N101" s="115"/>
      <c r="O101" s="131">
        <f>C101*(Hypotheses!H65*Hypotheses!$D$19+Hypotheses!$D$14*(1-Hypotheses!H65))</f>
        <v>6.0546941910000003</v>
      </c>
      <c r="P101" s="131">
        <f>C101*(Hypotheses!I65*Hypotheses!$D$19+Hypotheses!$D$14*(1-Hypotheses!I65))</f>
        <v>5.4362274472241037</v>
      </c>
      <c r="Q101" s="131">
        <f>C101*(Hypotheses!J65*Hypotheses!$D$19+Hypotheses!$D$14*(1-Hypotheses!J65))</f>
        <v>4.6631440175042318</v>
      </c>
      <c r="R101" s="115"/>
      <c r="S101" s="131">
        <f>C101*(Hypotheses!H65*Hypotheses!$D$21+Hypotheses!$D$14*(1-Hypotheses!H65))</f>
        <v>6.5204398980000002</v>
      </c>
      <c r="T101" s="131">
        <f>C101*(Hypotheses!I65*Hypotheses!$D$21+Hypotheses!$D$14*(1-Hypotheses!I65))</f>
        <v>7.7573733855517935</v>
      </c>
      <c r="U101" s="131">
        <f>C101*(Hypotheses!J65*Hypotheses!$D$21+Hypotheses!$D$14*(1-Hypotheses!J65))</f>
        <v>9.3035402449915345</v>
      </c>
      <c r="V101" s="115"/>
      <c r="W101" s="128">
        <f>-C101*Hypotheses!$D$31*Hypotheses!H65</f>
        <v>-31.049713800000003</v>
      </c>
      <c r="X101" s="128">
        <f>-C101*Hypotheses!$D$31*Hypotheses!I65</f>
        <v>-154.74306255517936</v>
      </c>
      <c r="Y101" s="128">
        <f>-C101*Hypotheses!$D$31*Hypotheses!J65</f>
        <v>-309.35974849915357</v>
      </c>
      <c r="Z101" s="126">
        <f>-C101*Hypotheses!$D$30*Hypotheses!H65</f>
        <v>-7.7624284500000007</v>
      </c>
      <c r="AA101" s="126">
        <f>-C101*Hypotheses!$D$30*Hypotheses!I65</f>
        <v>-38.685765638794841</v>
      </c>
      <c r="AB101" s="126">
        <f>-C101*Hypotheses!$D$30*Hypotheses!J65</f>
        <v>-77.339937124788392</v>
      </c>
      <c r="AC101" s="115"/>
      <c r="AD101" s="126">
        <f>-C101*Hypotheses!$D$30*Hypotheses!H65+(O101+S101)/2</f>
        <v>-1.4748614055000004</v>
      </c>
      <c r="AE101" s="126">
        <f>-C101*Hypotheses!$D$30*Hypotheses!I65+(P101+T101)/2</f>
        <v>-32.088965222406891</v>
      </c>
      <c r="AF101" s="126">
        <f>-C101*Hypotheses!$D$30*Hypotheses!J65+(Q101+U101)/2</f>
        <v>-70.356594993540511</v>
      </c>
      <c r="AG101" s="115"/>
      <c r="AH101" s="128">
        <f t="shared" si="6"/>
        <v>-968.50055264999992</v>
      </c>
      <c r="AI101" s="128">
        <f t="shared" si="7"/>
        <v>-3571.1125246117417</v>
      </c>
      <c r="AJ101" s="128">
        <f t="shared" si="8"/>
        <v>-6824.377489563919</v>
      </c>
      <c r="AK101" s="126">
        <f t="shared" si="9"/>
        <v>-242.12513816249998</v>
      </c>
      <c r="AL101" s="126">
        <f t="shared" si="10"/>
        <v>-892.77813115293543</v>
      </c>
      <c r="AM101" s="126">
        <f t="shared" si="11"/>
        <v>-1706.0943723909797</v>
      </c>
      <c r="AN101" s="115"/>
      <c r="AO101" s="131">
        <f t="shared" si="12"/>
        <v>188.85760776674999</v>
      </c>
      <c r="AP101" s="131">
        <f t="shared" si="13"/>
        <v>175.8445479069413</v>
      </c>
      <c r="AQ101" s="131">
        <f t="shared" si="14"/>
        <v>159.57822308218039</v>
      </c>
      <c r="AR101" s="115"/>
      <c r="AS101" s="131">
        <f t="shared" si="15"/>
        <v>203.38511605650001</v>
      </c>
      <c r="AT101" s="131">
        <f t="shared" si="16"/>
        <v>229.41123577611745</v>
      </c>
      <c r="AU101" s="131">
        <f t="shared" si="17"/>
        <v>261.94388542563917</v>
      </c>
      <c r="AV101" s="115"/>
      <c r="AW101" s="126">
        <f t="shared" si="18"/>
        <v>-53.267530395749986</v>
      </c>
      <c r="AX101" s="126">
        <f t="shared" si="19"/>
        <v>-716.9335832459941</v>
      </c>
      <c r="AY101" s="126">
        <f t="shared" si="20"/>
        <v>-1546.5161493087994</v>
      </c>
      <c r="AZ101" s="115"/>
      <c r="BA101" s="126">
        <f t="shared" si="21"/>
        <v>-38.740022105999969</v>
      </c>
      <c r="BB101" s="126">
        <f t="shared" si="22"/>
        <v>-663.36689537681798</v>
      </c>
      <c r="BC101" s="126">
        <f t="shared" si="23"/>
        <v>-1444.1504869653406</v>
      </c>
      <c r="BD101" s="115"/>
    </row>
    <row r="102" spans="1:56" x14ac:dyDescent="0.25">
      <c r="A102" s="94">
        <v>2047</v>
      </c>
      <c r="B102" s="139" cm="1">
        <f t="array" ref="B102">SUMPRODUCT((PARIS!$AA$4:'PARIS'!$AA$103=A102)*PARIS!$AD$4:$AD$103)+SUMPRODUCT((PARIS!$AB$4:'PARIS'!$AB$103=A102)*PARIS!$AD$4:$AD$103)+SUMPRODUCT((PARIS!$AU$4:'PARIS'!$AU$103=A102)*PARIS!$AX$4:$AX$103)</f>
        <v>33717.800000000003</v>
      </c>
      <c r="C102" s="139" cm="1">
        <f t="array" ref="C102">SUMPRODUCT((PARIS!$AA$4:'PARIS'!$AA$103=A102)*PARIS!$AE$4:$AE$103)+SUMPRODUCT((PARIS!$AB$4:'PARIS'!$AB$103=A102)*PARIS!$AE$4:$AE$103)+SUMPRODUCT((PARIS!$AU$4:'PARIS'!$AU$103=A102)*PARIS!$AY$4:$AY$103)</f>
        <v>672.59749999999997</v>
      </c>
      <c r="D102" s="136" cm="1">
        <f t="array" ref="D102">SUMPRODUCT((PARIS!$AA$4:'PARIS'!$AA$103=A102)*PARIS!$AF$4:$AF$103)+SUMPRODUCT((PARIS!$AB$4:'PARIS'!$AB$103=A102)*PARIS!$AF$4:$AF$103)+SUMPRODUCT((PARIS!$AU$4:'PARIS'!$AU$103=A102)*PARIS!$AV$4:$AV$103)</f>
        <v>29.4375</v>
      </c>
      <c r="E102" s="136" cm="1">
        <f t="array" ref="E102">SUMPRODUCT((PARIS!$AA$4:'PARIS'!$AA$103=A102)*PARIS!$AG$4:$AG$103)+SUMPRODUCT((PARIS!$AB$4:'PARIS'!$AB$103=A102)*PARIS!$AG$4:$AG$103)+SUMPRODUCT((PARIS!$AU$4:'PARIS'!$AU$103=A102)*PARIS!$AW$4:$AW$103)</f>
        <v>643.16</v>
      </c>
      <c r="F102" s="136" cm="1">
        <f t="array" ref="F102">SUMPRODUCT((PARIS!$AA$4:'PARIS'!$AA$103=A102)*PARIS!$AH$4:$AH$103)+SUMPRODUCT((PARIS!$AB$4:'PARIS'!$AB$103=A102)*PARIS!$AH$4:$AH$103)+SUMPRODUCT((PARIS!$AU$4:'PARIS'!$AU$103=A102)*PARIS!$AZ$4:$AZ$103)</f>
        <v>42.804020512820507</v>
      </c>
      <c r="G102" s="136" cm="1">
        <f t="array" ref="G102">SUMPRODUCT((PARIS!$AA$4:'PARIS'!$AA$103=A102)*PARIS!$AI$4:$AI$103)+SUMPRODUCT((PARIS!$AB$4:'PARIS'!$AB$103=A102)*PARIS!$AI$4:$AI$103)+SUMPRODUCT((PARIS!$AU$4:'PARIS'!$AU$103=A102)*PARIS!$BA$4:$BA$103)</f>
        <v>35.557866666666669</v>
      </c>
      <c r="H102" s="115"/>
      <c r="I102" s="139">
        <f t="shared" si="5"/>
        <v>33716.658747500005</v>
      </c>
      <c r="J102" s="136">
        <f t="shared" si="4"/>
        <v>9239.7757700000002</v>
      </c>
      <c r="K102" s="136">
        <f t="shared" si="4"/>
        <v>24476.882977499994</v>
      </c>
      <c r="L102" s="136">
        <f t="shared" si="4"/>
        <v>2363.549874578558</v>
      </c>
      <c r="M102" s="136">
        <f t="shared" si="4"/>
        <v>1492.8339243621083</v>
      </c>
      <c r="N102" s="115"/>
      <c r="O102" s="131">
        <f>C102*(Hypotheses!H66*Hypotheses!$D$19+Hypotheses!$D$14*(1-Hypotheses!H66))</f>
        <v>7.86939075</v>
      </c>
      <c r="P102" s="131">
        <f>C102*(Hypotheses!I66*Hypotheses!$D$19+Hypotheses!$D$14*(1-Hypotheses!I66))</f>
        <v>7.064269446184313</v>
      </c>
      <c r="Q102" s="131">
        <f>C102*(Hypotheses!J66*Hypotheses!$D$19+Hypotheses!$D$14*(1-Hypotheses!J66))</f>
        <v>6.0578678164147055</v>
      </c>
      <c r="R102" s="115"/>
      <c r="S102" s="131">
        <f>C102*(Hypotheses!H66*Hypotheses!$D$21+Hypotheses!$D$14*(1-Hypotheses!H66))</f>
        <v>8.4747284999999994</v>
      </c>
      <c r="T102" s="131">
        <f>C102*(Hypotheses!I66*Hypotheses!$D$21+Hypotheses!$D$14*(1-Hypotheses!I66))</f>
        <v>10.084971107631373</v>
      </c>
      <c r="U102" s="131">
        <f>C102*(Hypotheses!J66*Hypotheses!$D$21+Hypotheses!$D$14*(1-Hypotheses!J66))</f>
        <v>12.097774367170588</v>
      </c>
      <c r="V102" s="115"/>
      <c r="W102" s="128">
        <f>-C102*Hypotheses!$D$31*Hypotheses!H66</f>
        <v>-40.355850000000004</v>
      </c>
      <c r="X102" s="128">
        <f>-C102*Hypotheses!$D$31*Hypotheses!I66</f>
        <v>-201.38011076313728</v>
      </c>
      <c r="Y102" s="128">
        <f>-C102*Hypotheses!$D$31*Hypotheses!J66</f>
        <v>-402.66043671705887</v>
      </c>
      <c r="Z102" s="126">
        <f>-C102*Hypotheses!$D$30*Hypotheses!H66</f>
        <v>-10.088962500000001</v>
      </c>
      <c r="AA102" s="126">
        <f>-C102*Hypotheses!$D$30*Hypotheses!I66</f>
        <v>-50.34502769078432</v>
      </c>
      <c r="AB102" s="126">
        <f>-C102*Hypotheses!$D$30*Hypotheses!J66</f>
        <v>-100.66510917926472</v>
      </c>
      <c r="AC102" s="115"/>
      <c r="AD102" s="126">
        <f>-C102*Hypotheses!$D$30*Hypotheses!H66+(O102+S102)/2</f>
        <v>-1.9169028750000017</v>
      </c>
      <c r="AE102" s="126">
        <f>-C102*Hypotheses!$D$30*Hypotheses!I66+(P102+T102)/2</f>
        <v>-41.770407413876477</v>
      </c>
      <c r="AF102" s="126">
        <f>-C102*Hypotheses!$D$30*Hypotheses!J66+(Q102+U102)/2</f>
        <v>-91.587288087472075</v>
      </c>
      <c r="AG102" s="115"/>
      <c r="AH102" s="128">
        <f t="shared" si="6"/>
        <v>-1008.8564026499999</v>
      </c>
      <c r="AI102" s="128">
        <f t="shared" si="7"/>
        <v>-3772.4926353748788</v>
      </c>
      <c r="AJ102" s="128">
        <f t="shared" si="8"/>
        <v>-7227.0379262809774</v>
      </c>
      <c r="AK102" s="126">
        <f t="shared" si="9"/>
        <v>-252.21410066249999</v>
      </c>
      <c r="AL102" s="126">
        <f t="shared" si="10"/>
        <v>-943.12315884371969</v>
      </c>
      <c r="AM102" s="126">
        <f t="shared" si="11"/>
        <v>-1806.7594815702444</v>
      </c>
      <c r="AN102" s="115"/>
      <c r="AO102" s="131">
        <f t="shared" si="12"/>
        <v>196.72699851675</v>
      </c>
      <c r="AP102" s="131">
        <f t="shared" si="13"/>
        <v>182.90881735312561</v>
      </c>
      <c r="AQ102" s="131">
        <f t="shared" si="14"/>
        <v>165.63609089859509</v>
      </c>
      <c r="AR102" s="115"/>
      <c r="AS102" s="131">
        <f t="shared" si="15"/>
        <v>211.85984455650001</v>
      </c>
      <c r="AT102" s="131">
        <f t="shared" si="16"/>
        <v>239.49620688374881</v>
      </c>
      <c r="AU102" s="131">
        <f t="shared" si="17"/>
        <v>274.04165979280975</v>
      </c>
      <c r="AV102" s="115"/>
      <c r="AW102" s="126">
        <f t="shared" si="18"/>
        <v>-55.487102145749986</v>
      </c>
      <c r="AX102" s="126">
        <f t="shared" si="19"/>
        <v>-760.21434149059405</v>
      </c>
      <c r="AY102" s="126">
        <f t="shared" si="20"/>
        <v>-1641.1233906716493</v>
      </c>
      <c r="AZ102" s="115"/>
      <c r="BA102" s="126">
        <f t="shared" si="21"/>
        <v>-40.35425610599998</v>
      </c>
      <c r="BB102" s="126">
        <f t="shared" si="22"/>
        <v>-703.62695195997094</v>
      </c>
      <c r="BC102" s="126">
        <f t="shared" si="23"/>
        <v>-1532.7178217774347</v>
      </c>
      <c r="BD102" s="115"/>
    </row>
    <row r="103" spans="1:56" x14ac:dyDescent="0.25">
      <c r="A103" s="94">
        <v>2048</v>
      </c>
      <c r="B103" s="139" cm="1">
        <f t="array" ref="B103">SUMPRODUCT((PARIS!$AA$4:'PARIS'!$AA$103=A103)*PARIS!$AD$4:$AD$103)+SUMPRODUCT((PARIS!$AB$4:'PARIS'!$AB$103=A103)*PARIS!$AD$4:$AD$103)+SUMPRODUCT((PARIS!$AU$4:'PARIS'!$AU$103=A103)*PARIS!$AX$4:$AX$103)</f>
        <v>100104</v>
      </c>
      <c r="C103" s="139" cm="1">
        <f t="array" ref="C103">SUMPRODUCT((PARIS!$AA$4:'PARIS'!$AA$103=A103)*PARIS!$AE$4:$AE$103)+SUMPRODUCT((PARIS!$AB$4:'PARIS'!$AB$103=A103)*PARIS!$AE$4:$AE$103)+SUMPRODUCT((PARIS!$AU$4:'PARIS'!$AU$103=A103)*PARIS!$AY$4:$AY$103)</f>
        <v>2118.4650000000001</v>
      </c>
      <c r="D103" s="136" cm="1">
        <f t="array" ref="D103">SUMPRODUCT((PARIS!$AA$4:'PARIS'!$AA$103=A103)*PARIS!$AF$4:$AF$103)+SUMPRODUCT((PARIS!$AB$4:'PARIS'!$AB$103=A103)*PARIS!$AF$4:$AF$103)+SUMPRODUCT((PARIS!$AU$4:'PARIS'!$AU$103=A103)*PARIS!$AV$4:$AV$103)</f>
        <v>351</v>
      </c>
      <c r="E103" s="136" cm="1">
        <f t="array" ref="E103">SUMPRODUCT((PARIS!$AA$4:'PARIS'!$AA$103=A103)*PARIS!$AG$4:$AG$103)+SUMPRODUCT((PARIS!$AB$4:'PARIS'!$AB$103=A103)*PARIS!$AG$4:$AG$103)+SUMPRODUCT((PARIS!$AU$4:'PARIS'!$AU$103=A103)*PARIS!$AW$4:$AW$103)</f>
        <v>1767.4649999999999</v>
      </c>
      <c r="F103" s="136" cm="1">
        <f t="array" ref="F103">SUMPRODUCT((PARIS!$AA$4:'PARIS'!$AA$103=A103)*PARIS!$AH$4:$AH$103)+SUMPRODUCT((PARIS!$AB$4:'PARIS'!$AB$103=A103)*PARIS!$AH$4:$AH$103)+SUMPRODUCT((PARIS!$AU$4:'PARIS'!$AU$103=A103)*PARIS!$AZ$4:$AZ$103)</f>
        <v>137.2839619047619</v>
      </c>
      <c r="G103" s="136" cm="1">
        <f t="array" ref="G103">SUMPRODUCT((PARIS!$AA$4:'PARIS'!$AA$103=A103)*PARIS!$AI$4:$AI$103)+SUMPRODUCT((PARIS!$AB$4:'PARIS'!$AB$103=A103)*PARIS!$AI$4:$AI$103)+SUMPRODUCT((PARIS!$AU$4:'PARIS'!$AU$103=A103)*PARIS!$BA$4:$BA$103)</f>
        <v>84.560152380952388</v>
      </c>
      <c r="H103" s="115"/>
      <c r="I103" s="139">
        <f t="shared" ref="I103:I125" si="24">C103+I102</f>
        <v>35835.123747500009</v>
      </c>
      <c r="J103" s="136">
        <f t="shared" si="4"/>
        <v>9590.7757700000002</v>
      </c>
      <c r="K103" s="136">
        <f t="shared" si="4"/>
        <v>26244.347977499994</v>
      </c>
      <c r="L103" s="136">
        <f t="shared" si="4"/>
        <v>2500.8338364833198</v>
      </c>
      <c r="M103" s="136">
        <f t="shared" si="4"/>
        <v>1577.3940767430606</v>
      </c>
      <c r="N103" s="115"/>
      <c r="O103" s="131">
        <f>C103*(Hypotheses!H67*Hypotheses!$D$19+Hypotheses!$D$14*(1-Hypotheses!H67))</f>
        <v>24.786040500000002</v>
      </c>
      <c r="P103" s="131">
        <f>C103*(Hypotheses!I67*Hypotheses!$D$19+Hypotheses!$D$14*(1-Hypotheses!I67))</f>
        <v>22.247698742483422</v>
      </c>
      <c r="Q103" s="131">
        <f>C103*(Hypotheses!J67*Hypotheses!$D$19+Hypotheses!$D$14*(1-Hypotheses!J67))</f>
        <v>19.074771545587701</v>
      </c>
      <c r="R103" s="115"/>
      <c r="S103" s="131">
        <f>C103*(Hypotheses!H67*Hypotheses!$D$21+Hypotheses!$D$14*(1-Hypotheses!H67))</f>
        <v>26.692659000000003</v>
      </c>
      <c r="T103" s="131">
        <f>C103*(Hypotheses!I67*Hypotheses!$D$21+Hypotheses!$D$14*(1-Hypotheses!I67))</f>
        <v>31.769342515033156</v>
      </c>
      <c r="U103" s="131">
        <f>C103*(Hypotheses!J67*Hypotheses!$D$21+Hypotheses!$D$14*(1-Hypotheses!J67))</f>
        <v>38.115196908824608</v>
      </c>
      <c r="V103" s="115"/>
      <c r="W103" s="128">
        <f>-C103*Hypotheses!$D$31*Hypotheses!H67</f>
        <v>-127.1079</v>
      </c>
      <c r="X103" s="128">
        <f>-C103*Hypotheses!$D$31*Hypotheses!I67</f>
        <v>-634.77625150331551</v>
      </c>
      <c r="Y103" s="128">
        <f>-C103*Hypotheses!$D$31*Hypotheses!J67</f>
        <v>-1269.3616908824599</v>
      </c>
      <c r="Z103" s="126">
        <f>-C103*Hypotheses!$D$30*Hypotheses!H67</f>
        <v>-31.776975</v>
      </c>
      <c r="AA103" s="126">
        <f>-C103*Hypotheses!$D$30*Hypotheses!I67</f>
        <v>-158.69406287582888</v>
      </c>
      <c r="AB103" s="126">
        <f>-C103*Hypotheses!$D$30*Hypotheses!J67</f>
        <v>-317.34042272061498</v>
      </c>
      <c r="AC103" s="115"/>
      <c r="AD103" s="126">
        <f>-C103*Hypotheses!$D$30*Hypotheses!H67+(O103+S103)/2</f>
        <v>-6.0376252499999978</v>
      </c>
      <c r="AE103" s="126">
        <f>-C103*Hypotheses!$D$30*Hypotheses!I67+(P103+T103)/2</f>
        <v>-131.6855422470706</v>
      </c>
      <c r="AF103" s="126">
        <f>-C103*Hypotheses!$D$30*Hypotheses!J67+(Q103+U103)/2</f>
        <v>-288.74543849340881</v>
      </c>
      <c r="AG103" s="115"/>
      <c r="AH103" s="128">
        <f t="shared" si="6"/>
        <v>-1135.96430265</v>
      </c>
      <c r="AI103" s="128">
        <f t="shared" si="7"/>
        <v>-4407.2688868781943</v>
      </c>
      <c r="AJ103" s="128">
        <f t="shared" si="8"/>
        <v>-8496.3996171634371</v>
      </c>
      <c r="AK103" s="126">
        <f t="shared" si="9"/>
        <v>-283.99107566250001</v>
      </c>
      <c r="AL103" s="126">
        <f t="shared" si="10"/>
        <v>-1101.8172217195486</v>
      </c>
      <c r="AM103" s="126">
        <f t="shared" si="11"/>
        <v>-2124.0999042908593</v>
      </c>
      <c r="AN103" s="115"/>
      <c r="AO103" s="131">
        <f t="shared" si="12"/>
        <v>221.51303901675001</v>
      </c>
      <c r="AP103" s="131">
        <f t="shared" si="13"/>
        <v>205.15651609560905</v>
      </c>
      <c r="AQ103" s="131">
        <f t="shared" si="14"/>
        <v>184.71086244418279</v>
      </c>
      <c r="AR103" s="115"/>
      <c r="AS103" s="131">
        <f t="shared" si="15"/>
        <v>238.5525035565</v>
      </c>
      <c r="AT103" s="131">
        <f t="shared" si="16"/>
        <v>271.26554939878196</v>
      </c>
      <c r="AU103" s="131">
        <f t="shared" si="17"/>
        <v>312.15685670163435</v>
      </c>
      <c r="AV103" s="115"/>
      <c r="AW103" s="126">
        <f t="shared" si="18"/>
        <v>-62.478036645749995</v>
      </c>
      <c r="AX103" s="126">
        <f t="shared" si="19"/>
        <v>-896.66070562393952</v>
      </c>
      <c r="AY103" s="126">
        <f t="shared" si="20"/>
        <v>-1939.3890418466765</v>
      </c>
      <c r="AZ103" s="115"/>
      <c r="BA103" s="126">
        <f t="shared" si="21"/>
        <v>-45.438572106000009</v>
      </c>
      <c r="BB103" s="126">
        <f t="shared" si="22"/>
        <v>-830.55167232076656</v>
      </c>
      <c r="BC103" s="126">
        <f t="shared" si="23"/>
        <v>-1811.943047589225</v>
      </c>
      <c r="BD103" s="115"/>
    </row>
    <row r="104" spans="1:56" x14ac:dyDescent="0.25">
      <c r="A104" s="94">
        <v>2049</v>
      </c>
      <c r="B104" s="139" cm="1">
        <f t="array" ref="B104">SUMPRODUCT((PARIS!$AA$4:'PARIS'!$AA$103=A104)*PARIS!$AD$4:$AD$103)+SUMPRODUCT((PARIS!$AB$4:'PARIS'!$AB$103=A104)*PARIS!$AD$4:$AD$103)+SUMPRODUCT((PARIS!$AU$4:'PARIS'!$AU$103=A104)*PARIS!$AX$4:$AX$103)</f>
        <v>9864</v>
      </c>
      <c r="C104" s="139" cm="1">
        <f t="array" ref="C104">SUMPRODUCT((PARIS!$AA$4:'PARIS'!$AA$103=A104)*PARIS!$AE$4:$AE$103)+SUMPRODUCT((PARIS!$AB$4:'PARIS'!$AB$103=A104)*PARIS!$AE$4:$AE$103)+SUMPRODUCT((PARIS!$AU$4:'PARIS'!$AU$103=A104)*PARIS!$AY$4:$AY$103)</f>
        <v>221.94</v>
      </c>
      <c r="D104" s="136" cm="1">
        <f t="array" ref="D104">SUMPRODUCT((PARIS!$AA$4:'PARIS'!$AA$103=A104)*PARIS!$AF$4:$AF$103)+SUMPRODUCT((PARIS!$AB$4:'PARIS'!$AB$103=A104)*PARIS!$AF$4:$AF$103)+SUMPRODUCT((PARIS!$AU$4:'PARIS'!$AU$103=A104)*PARIS!$AV$4:$AV$103)</f>
        <v>0</v>
      </c>
      <c r="E104" s="136" cm="1">
        <f t="array" ref="E104">SUMPRODUCT((PARIS!$AA$4:'PARIS'!$AA$103=A104)*PARIS!$AG$4:$AG$103)+SUMPRODUCT((PARIS!$AB$4:'PARIS'!$AB$103=A104)*PARIS!$AG$4:$AG$103)+SUMPRODUCT((PARIS!$AU$4:'PARIS'!$AU$103=A104)*PARIS!$AW$4:$AW$103)</f>
        <v>221.94</v>
      </c>
      <c r="F104" s="136" cm="1">
        <f t="array" ref="F104">SUMPRODUCT((PARIS!$AA$4:'PARIS'!$AA$103=A104)*PARIS!$AH$4:$AH$103)+SUMPRODUCT((PARIS!$AB$4:'PARIS'!$AB$103=A104)*PARIS!$AH$4:$AH$103)+SUMPRODUCT((PARIS!$AU$4:'PARIS'!$AU$103=A104)*PARIS!$AZ$4:$AZ$103)</f>
        <v>10.521600000000001</v>
      </c>
      <c r="G104" s="136" cm="1">
        <f t="array" ref="G104">SUMPRODUCT((PARIS!$AA$4:'PARIS'!$AA$103=A104)*PARIS!$AI$4:$AI$103)+SUMPRODUCT((PARIS!$AB$4:'PARIS'!$AB$103=A104)*PARIS!$AI$4:$AI$103)+SUMPRODUCT((PARIS!$AU$4:'PARIS'!$AU$103=A104)*PARIS!$BA$4:$BA$103)</f>
        <v>10.521600000000001</v>
      </c>
      <c r="H104" s="115"/>
      <c r="I104" s="139">
        <f t="shared" si="24"/>
        <v>36057.063747500011</v>
      </c>
      <c r="J104" s="136">
        <f t="shared" si="4"/>
        <v>9590.7757700000002</v>
      </c>
      <c r="K104" s="136">
        <f t="shared" si="4"/>
        <v>26466.287977499993</v>
      </c>
      <c r="L104" s="136">
        <f t="shared" si="4"/>
        <v>2511.3554364833199</v>
      </c>
      <c r="M104" s="136">
        <f t="shared" si="4"/>
        <v>1587.9156767430607</v>
      </c>
      <c r="N104" s="115"/>
      <c r="O104" s="131">
        <f>C104*(Hypotheses!H68*Hypotheses!$D$19+Hypotheses!$D$14*(1-Hypotheses!H68))</f>
        <v>2.596698</v>
      </c>
      <c r="P104" s="131">
        <f>C104*(Hypotheses!I68*Hypotheses!$D$19+Hypotheses!$D$14*(1-Hypotheses!I68))</f>
        <v>2.3306126384425023</v>
      </c>
      <c r="Q104" s="131">
        <f>C104*(Hypotheses!J68*Hypotheses!$D$19+Hypotheses!$D$14*(1-Hypotheses!J68))</f>
        <v>1.9980059364956304</v>
      </c>
      <c r="R104" s="115"/>
      <c r="S104" s="131">
        <f>C104*(Hypotheses!H68*Hypotheses!$D$21+Hypotheses!$D$14*(1-Hypotheses!H68))</f>
        <v>2.7964440000000002</v>
      </c>
      <c r="T104" s="131">
        <f>C104*(Hypotheses!I68*Hypotheses!$D$21+Hypotheses!$D$14*(1-Hypotheses!I68))</f>
        <v>3.3286147231149954</v>
      </c>
      <c r="U104" s="131">
        <f>C104*(Hypotheses!J68*Hypotheses!$D$21+Hypotheses!$D$14*(1-Hypotheses!J68))</f>
        <v>3.9938281270087401</v>
      </c>
      <c r="V104" s="115"/>
      <c r="W104" s="128">
        <f>-C104*Hypotheses!$D$31*Hypotheses!H68</f>
        <v>-13.3164</v>
      </c>
      <c r="X104" s="128">
        <f>-C104*Hypotheses!$D$31*Hypotheses!I68</f>
        <v>-66.533472311499537</v>
      </c>
      <c r="Y104" s="128">
        <f>-C104*Hypotheses!$D$31*Hypotheses!J68</f>
        <v>-133.05481270087395</v>
      </c>
      <c r="Z104" s="126">
        <f>-C104*Hypotheses!$D$30*Hypotheses!H68</f>
        <v>-3.3290999999999999</v>
      </c>
      <c r="AA104" s="126">
        <f>-C104*Hypotheses!$D$30*Hypotheses!I68</f>
        <v>-16.633368077874884</v>
      </c>
      <c r="AB104" s="126">
        <f>-C104*Hypotheses!$D$30*Hypotheses!J68</f>
        <v>-33.263703175218488</v>
      </c>
      <c r="AC104" s="115"/>
      <c r="AD104" s="126">
        <f>-C104*Hypotheses!$D$30*Hypotheses!H68+(O104+S104)/2</f>
        <v>-0.6325289999999999</v>
      </c>
      <c r="AE104" s="126">
        <f>-C104*Hypotheses!$D$30*Hypotheses!I68+(P104+T104)/2</f>
        <v>-13.803754397096135</v>
      </c>
      <c r="AF104" s="126">
        <f>-C104*Hypotheses!$D$30*Hypotheses!J68+(Q104+U104)/2</f>
        <v>-30.267786143466303</v>
      </c>
      <c r="AG104" s="115"/>
      <c r="AH104" s="128">
        <f t="shared" si="6"/>
        <v>-1149.28070265</v>
      </c>
      <c r="AI104" s="128">
        <f t="shared" si="7"/>
        <v>-4473.8023591896936</v>
      </c>
      <c r="AJ104" s="128">
        <f t="shared" si="8"/>
        <v>-8629.4544298643104</v>
      </c>
      <c r="AK104" s="126">
        <f t="shared" si="9"/>
        <v>-287.32017566249999</v>
      </c>
      <c r="AL104" s="126">
        <f t="shared" si="10"/>
        <v>-1118.4505897974234</v>
      </c>
      <c r="AM104" s="126">
        <f t="shared" si="11"/>
        <v>-2157.3636074660776</v>
      </c>
      <c r="AN104" s="115"/>
      <c r="AO104" s="131">
        <f t="shared" si="12"/>
        <v>224.10973701675002</v>
      </c>
      <c r="AP104" s="131">
        <f t="shared" si="13"/>
        <v>207.48712873405154</v>
      </c>
      <c r="AQ104" s="131">
        <f t="shared" si="14"/>
        <v>186.70886838067844</v>
      </c>
      <c r="AR104" s="115"/>
      <c r="AS104" s="131">
        <f t="shared" si="15"/>
        <v>241.34894755650001</v>
      </c>
      <c r="AT104" s="131">
        <f t="shared" si="16"/>
        <v>274.59416412189694</v>
      </c>
      <c r="AU104" s="131">
        <f t="shared" si="17"/>
        <v>316.15068482864308</v>
      </c>
      <c r="AV104" s="115"/>
      <c r="AW104" s="126">
        <f t="shared" si="18"/>
        <v>-63.210438645749974</v>
      </c>
      <c r="AX104" s="126">
        <f t="shared" si="19"/>
        <v>-910.96346106337182</v>
      </c>
      <c r="AY104" s="126">
        <f t="shared" si="20"/>
        <v>-1970.6547390853991</v>
      </c>
      <c r="AZ104" s="115"/>
      <c r="BA104" s="126">
        <f t="shared" si="21"/>
        <v>-45.971228105999984</v>
      </c>
      <c r="BB104" s="126">
        <f t="shared" si="22"/>
        <v>-843.85642567552645</v>
      </c>
      <c r="BC104" s="126">
        <f t="shared" si="23"/>
        <v>-1841.2129226374345</v>
      </c>
      <c r="BD104" s="115"/>
    </row>
    <row r="105" spans="1:56" x14ac:dyDescent="0.25">
      <c r="A105" s="94">
        <v>2050</v>
      </c>
      <c r="B105" s="139" cm="1">
        <f t="array" ref="B105">SUMPRODUCT((PARIS!$AA$4:'PARIS'!$AA$103=A105)*PARIS!$AD$4:$AD$103)+SUMPRODUCT((PARIS!$AB$4:'PARIS'!$AB$103=A105)*PARIS!$AD$4:$AD$103)+SUMPRODUCT((PARIS!$AU$4:'PARIS'!$AU$103=A105)*PARIS!$AX$4:$AX$103)</f>
        <v>46547.62</v>
      </c>
      <c r="C105" s="139" cm="1">
        <f t="array" ref="C105">SUMPRODUCT((PARIS!$AA$4:'PARIS'!$AA$103=A105)*PARIS!$AE$4:$AE$103)+SUMPRODUCT((PARIS!$AB$4:'PARIS'!$AB$103=A105)*PARIS!$AE$4:$AE$103)+SUMPRODUCT((PARIS!$AU$4:'PARIS'!$AU$103=A105)*PARIS!$AY$4:$AY$103)</f>
        <v>982.51334999999995</v>
      </c>
      <c r="D105" s="136" cm="1">
        <f t="array" ref="D105">SUMPRODUCT((PARIS!$AA$4:'PARIS'!$AA$103=A105)*PARIS!$AF$4:$AF$103)+SUMPRODUCT((PARIS!$AB$4:'PARIS'!$AB$103=A105)*PARIS!$AF$4:$AF$103)+SUMPRODUCT((PARIS!$AU$4:'PARIS'!$AU$103=A105)*PARIS!$AV$4:$AV$103)</f>
        <v>129.61619999999999</v>
      </c>
      <c r="E105" s="136" cm="1">
        <f t="array" ref="E105">SUMPRODUCT((PARIS!$AA$4:'PARIS'!$AA$103=A105)*PARIS!$AG$4:$AG$103)+SUMPRODUCT((PARIS!$AB$4:'PARIS'!$AB$103=A105)*PARIS!$AG$4:$AG$103)+SUMPRODUCT((PARIS!$AU$4:'PARIS'!$AU$103=A105)*PARIS!$AW$4:$AW$103)</f>
        <v>852.89715000000001</v>
      </c>
      <c r="F105" s="136" cm="1">
        <f t="array" ref="F105">SUMPRODUCT((PARIS!$AA$4:'PARIS'!$AA$103=A105)*PARIS!$AH$4:$AH$103)+SUMPRODUCT((PARIS!$AB$4:'PARIS'!$AB$103=A105)*PARIS!$AH$4:$AH$103)+SUMPRODUCT((PARIS!$AU$4:'PARIS'!$AU$103=A105)*PARIS!$AZ$4:$AZ$103)</f>
        <v>79.408000000000001</v>
      </c>
      <c r="G105" s="136" cm="1">
        <f t="array" ref="G105">SUMPRODUCT((PARIS!$AA$4:'PARIS'!$AA$103=A105)*PARIS!$AI$4:$AI$103)+SUMPRODUCT((PARIS!$AB$4:'PARIS'!$AB$103=A105)*PARIS!$AI$4:$AI$103)+SUMPRODUCT((PARIS!$AU$4:'PARIS'!$AU$103=A105)*PARIS!$BA$4:$BA$103)</f>
        <v>47.404000000000003</v>
      </c>
      <c r="H105" s="115"/>
      <c r="I105" s="139">
        <f t="shared" si="24"/>
        <v>37039.577097500012</v>
      </c>
      <c r="J105" s="136">
        <f t="shared" si="4"/>
        <v>9720.3919700000006</v>
      </c>
      <c r="K105" s="136">
        <f t="shared" si="4"/>
        <v>27319.185127499994</v>
      </c>
      <c r="L105" s="136">
        <f t="shared" si="4"/>
        <v>2590.7634364833198</v>
      </c>
      <c r="M105" s="136">
        <f t="shared" si="4"/>
        <v>1635.3196767430607</v>
      </c>
      <c r="N105" s="115"/>
      <c r="O105" s="131">
        <f>C105*(Hypotheses!H69*Hypotheses!$D$19+Hypotheses!$D$14*(1-Hypotheses!H69))</f>
        <v>11.495406194999999</v>
      </c>
      <c r="P105" s="131">
        <f>C105*(Hypotheses!I69*Hypotheses!$D$19+Hypotheses!$D$14*(1-Hypotheses!I69))</f>
        <v>10.317041909868445</v>
      </c>
      <c r="Q105" s="131">
        <f>C105*(Hypotheses!J69*Hypotheses!$D$19+Hypotheses!$D$14*(1-Hypotheses!J69))</f>
        <v>8.8440865534540034</v>
      </c>
      <c r="R105" s="115"/>
      <c r="S105" s="131">
        <f>C105*(Hypotheses!H69*Hypotheses!$D$21+Hypotheses!$D$14*(1-Hypotheses!H69))</f>
        <v>12.37966821</v>
      </c>
      <c r="T105" s="131">
        <f>C105*(Hypotheses!I69*Hypotheses!$D$21+Hypotheses!$D$14*(1-Hypotheses!I69))</f>
        <v>14.736396780263105</v>
      </c>
      <c r="U105" s="131">
        <f>C105*(Hypotheses!J69*Hypotheses!$D$21+Hypotheses!$D$14*(1-Hypotheses!J69))</f>
        <v>17.68230749309199</v>
      </c>
      <c r="V105" s="115"/>
      <c r="W105" s="128">
        <f>-C105*Hypotheses!$D$31*Hypotheses!H69</f>
        <v>-58.950800999999991</v>
      </c>
      <c r="X105" s="128">
        <f>-C105*Hypotheses!$D$31*Hypotheses!I69</f>
        <v>-294.62365802631064</v>
      </c>
      <c r="Y105" s="128">
        <f>-C105*Hypotheses!$D$31*Hypotheses!J69</f>
        <v>-589.2147293091989</v>
      </c>
      <c r="Z105" s="126">
        <f>-C105*Hypotheses!$D$30*Hypotheses!H69</f>
        <v>-14.737700249999998</v>
      </c>
      <c r="AA105" s="126">
        <f>-C105*Hypotheses!$D$30*Hypotheses!I69</f>
        <v>-73.655914506577659</v>
      </c>
      <c r="AB105" s="126">
        <f>-C105*Hypotheses!$D$30*Hypotheses!J69</f>
        <v>-147.30368232729973</v>
      </c>
      <c r="AC105" s="115"/>
      <c r="AD105" s="126">
        <f>-C105*Hypotheses!$D$30*Hypotheses!H69+(O105+S105)/2</f>
        <v>-2.8001630474999981</v>
      </c>
      <c r="AE105" s="126">
        <f>-C105*Hypotheses!$D$30*Hypotheses!I69+(P105+T105)/2</f>
        <v>-61.129195161511888</v>
      </c>
      <c r="AF105" s="126">
        <f>-C105*Hypotheses!$D$30*Hypotheses!J69+(Q105+U105)/2</f>
        <v>-134.04048530402673</v>
      </c>
      <c r="AG105" s="115"/>
      <c r="AH105" s="128">
        <f t="shared" si="6"/>
        <v>-1208.2315036499999</v>
      </c>
      <c r="AI105" s="128">
        <f t="shared" si="7"/>
        <v>-4768.4260172160039</v>
      </c>
      <c r="AJ105" s="128">
        <f t="shared" si="8"/>
        <v>-9218.6691591735089</v>
      </c>
      <c r="AK105" s="126">
        <f t="shared" si="9"/>
        <v>-302.05787591249998</v>
      </c>
      <c r="AL105" s="126">
        <f t="shared" si="10"/>
        <v>-1192.106504304001</v>
      </c>
      <c r="AM105" s="126">
        <f t="shared" si="11"/>
        <v>-2304.6672897933772</v>
      </c>
      <c r="AN105" s="115"/>
      <c r="AO105" s="131">
        <f t="shared" si="12"/>
        <v>235.60514321175</v>
      </c>
      <c r="AP105" s="131">
        <f t="shared" si="13"/>
        <v>217.80417064391997</v>
      </c>
      <c r="AQ105" s="131">
        <f t="shared" si="14"/>
        <v>195.55295493413243</v>
      </c>
      <c r="AR105" s="115"/>
      <c r="AS105" s="131">
        <f t="shared" si="15"/>
        <v>253.72861576650001</v>
      </c>
      <c r="AT105" s="131">
        <f t="shared" si="16"/>
        <v>289.33056090216002</v>
      </c>
      <c r="AU105" s="131">
        <f t="shared" si="17"/>
        <v>333.83299232173505</v>
      </c>
      <c r="AV105" s="115"/>
      <c r="AW105" s="126">
        <f t="shared" si="18"/>
        <v>-66.452732700749976</v>
      </c>
      <c r="AX105" s="126">
        <f t="shared" si="19"/>
        <v>-974.30233366008099</v>
      </c>
      <c r="AY105" s="126">
        <f t="shared" si="20"/>
        <v>-2109.114334859245</v>
      </c>
      <c r="AZ105" s="115"/>
      <c r="BA105" s="126">
        <f t="shared" si="21"/>
        <v>-48.329260145999967</v>
      </c>
      <c r="BB105" s="126">
        <f t="shared" si="22"/>
        <v>-902.775943401841</v>
      </c>
      <c r="BC105" s="126">
        <f t="shared" si="23"/>
        <v>-1970.8342974716422</v>
      </c>
      <c r="BD105" s="115"/>
    </row>
    <row r="106" spans="1:56" x14ac:dyDescent="0.25">
      <c r="A106" s="94">
        <v>2051</v>
      </c>
      <c r="B106" s="139" cm="1">
        <f t="array" ref="B106">SUMPRODUCT((PARIS!$AA$4:'PARIS'!$AA$103=A106)*PARIS!$AD$4:$AD$103)+SUMPRODUCT((PARIS!$AB$4:'PARIS'!$AB$103=A106)*PARIS!$AD$4:$AD$103)+SUMPRODUCT((PARIS!$AU$4:'PARIS'!$AU$103=A106)*PARIS!$AX$4:$AX$103)</f>
        <v>84400</v>
      </c>
      <c r="C106" s="139" cm="1">
        <f t="array" ref="C106">SUMPRODUCT((PARIS!$AA$4:'PARIS'!$AA$103=A106)*PARIS!$AE$4:$AE$103)+SUMPRODUCT((PARIS!$AB$4:'PARIS'!$AB$103=A106)*PARIS!$AE$4:$AE$103)+SUMPRODUCT((PARIS!$AU$4:'PARIS'!$AU$103=A106)*PARIS!$AY$4:$AY$103)</f>
        <v>1966.4999999999998</v>
      </c>
      <c r="D106" s="136" cm="1">
        <f t="array" ref="D106">SUMPRODUCT((PARIS!$AA$4:'PARIS'!$AA$103=A106)*PARIS!$AF$4:$AF$103)+SUMPRODUCT((PARIS!$AB$4:'PARIS'!$AB$103=A106)*PARIS!$AF$4:$AF$103)+SUMPRODUCT((PARIS!$AU$4:'PARIS'!$AU$103=A106)*PARIS!$AV$4:$AV$103)</f>
        <v>675</v>
      </c>
      <c r="E106" s="136" cm="1">
        <f t="array" ref="E106">SUMPRODUCT((PARIS!$AA$4:'PARIS'!$AA$103=A106)*PARIS!$AG$4:$AG$103)+SUMPRODUCT((PARIS!$AB$4:'PARIS'!$AB$103=A106)*PARIS!$AG$4:$AG$103)+SUMPRODUCT((PARIS!$AU$4:'PARIS'!$AU$103=A106)*PARIS!$AW$4:$AW$103)</f>
        <v>1291.4999999999998</v>
      </c>
      <c r="F106" s="136" cm="1">
        <f t="array" ref="F106">SUMPRODUCT((PARIS!$AA$4:'PARIS'!$AA$103=A106)*PARIS!$AH$4:$AH$103)+SUMPRODUCT((PARIS!$AB$4:'PARIS'!$AB$103=A106)*PARIS!$AH$4:$AH$103)+SUMPRODUCT((PARIS!$AU$4:'PARIS'!$AU$103=A106)*PARIS!$AZ$4:$AZ$103)</f>
        <v>119.05185185185184</v>
      </c>
      <c r="G106" s="136" cm="1">
        <f t="array" ref="G106">SUMPRODUCT((PARIS!$AA$4:'PARIS'!$AA$103=A106)*PARIS!$AI$4:$AI$103)+SUMPRODUCT((PARIS!$AB$4:'PARIS'!$AB$103=A106)*PARIS!$AI$4:$AI$103)+SUMPRODUCT((PARIS!$AU$4:'PARIS'!$AU$103=A106)*PARIS!$BA$4:$BA$103)</f>
        <v>59.525925925925918</v>
      </c>
      <c r="H106" s="115"/>
      <c r="I106" s="139">
        <f t="shared" si="24"/>
        <v>39006.077097500012</v>
      </c>
      <c r="J106" s="136">
        <f t="shared" si="4"/>
        <v>10395.391970000001</v>
      </c>
      <c r="K106" s="136">
        <f t="shared" si="4"/>
        <v>28610.685127499994</v>
      </c>
      <c r="L106" s="136">
        <f t="shared" si="4"/>
        <v>2709.8152883351718</v>
      </c>
      <c r="M106" s="136">
        <f t="shared" si="4"/>
        <v>1694.8456026689867</v>
      </c>
      <c r="N106" s="115"/>
      <c r="O106" s="131">
        <f>C106*(Hypotheses!H70*Hypotheses!$D$19+Hypotheses!$D$14*(1-Hypotheses!H70))</f>
        <v>23.008049999999997</v>
      </c>
      <c r="P106" s="131">
        <f>C106*(Hypotheses!I70*Hypotheses!$D$19+Hypotheses!$D$14*(1-Hypotheses!I70))</f>
        <v>20.649041359237874</v>
      </c>
      <c r="Q106" s="131">
        <f>C106*(Hypotheses!J70*Hypotheses!$D$19+Hypotheses!$D$14*(1-Hypotheses!J70))</f>
        <v>17.700280558285215</v>
      </c>
      <c r="R106" s="115"/>
      <c r="S106" s="131">
        <f>C106*(Hypotheses!H70*Hypotheses!$D$21+Hypotheses!$D$14*(1-Hypotheses!H70))</f>
        <v>24.777899999999999</v>
      </c>
      <c r="T106" s="131">
        <f>C106*(Hypotheses!I70*Hypotheses!$D$21+Hypotheses!$D$14*(1-Hypotheses!I70))</f>
        <v>29.49591728152425</v>
      </c>
      <c r="U106" s="131">
        <f>C106*(Hypotheses!J70*Hypotheses!$D$21+Hypotheses!$D$14*(1-Hypotheses!J70))</f>
        <v>35.39343888342956</v>
      </c>
      <c r="V106" s="115"/>
      <c r="W106" s="128">
        <f>-C106*Hypotheses!$D$31*Hypotheses!H70</f>
        <v>-117.99</v>
      </c>
      <c r="X106" s="128">
        <f>-C106*Hypotheses!$D$31*Hypotheses!I70</f>
        <v>-589.79172815242509</v>
      </c>
      <c r="Y106" s="128">
        <f>-C106*Hypotheses!$D$31*Hypotheses!J70</f>
        <v>-1179.5438883429563</v>
      </c>
      <c r="Z106" s="126">
        <f>-C106*Hypotheses!$D$30*Hypotheses!H70</f>
        <v>-29.497499999999999</v>
      </c>
      <c r="AA106" s="126">
        <f>-C106*Hypotheses!$D$30*Hypotheses!I70</f>
        <v>-147.44793203810627</v>
      </c>
      <c r="AB106" s="126">
        <f>-C106*Hypotheses!$D$30*Hypotheses!J70</f>
        <v>-294.88597208573907</v>
      </c>
      <c r="AC106" s="115"/>
      <c r="AD106" s="126">
        <f>-C106*Hypotheses!$D$30*Hypotheses!H70+(O106+S106)/2</f>
        <v>-5.6045249999999989</v>
      </c>
      <c r="AE106" s="126">
        <f>-C106*Hypotheses!$D$30*Hypotheses!I70+(P106+T106)/2</f>
        <v>-122.37545271772521</v>
      </c>
      <c r="AF106" s="126">
        <f>-C106*Hypotheses!$D$30*Hypotheses!J70+(Q106+U106)/2</f>
        <v>-268.33911236488166</v>
      </c>
      <c r="AG106" s="115"/>
      <c r="AH106" s="128">
        <f t="shared" si="6"/>
        <v>-1326.2215036499999</v>
      </c>
      <c r="AI106" s="128">
        <f t="shared" si="7"/>
        <v>-5358.217745368429</v>
      </c>
      <c r="AJ106" s="128">
        <f t="shared" si="8"/>
        <v>-10398.213047516465</v>
      </c>
      <c r="AK106" s="126">
        <f t="shared" si="9"/>
        <v>-331.55537591249998</v>
      </c>
      <c r="AL106" s="126">
        <f t="shared" si="10"/>
        <v>-1339.5544363421072</v>
      </c>
      <c r="AM106" s="126">
        <f t="shared" si="11"/>
        <v>-2599.5532618791162</v>
      </c>
      <c r="AN106" s="115"/>
      <c r="AO106" s="131">
        <f t="shared" si="12"/>
        <v>258.61319321175</v>
      </c>
      <c r="AP106" s="131">
        <f t="shared" si="13"/>
        <v>238.45321200315786</v>
      </c>
      <c r="AQ106" s="131">
        <f t="shared" si="14"/>
        <v>213.25323549241764</v>
      </c>
      <c r="AR106" s="115"/>
      <c r="AS106" s="131">
        <f t="shared" si="15"/>
        <v>278.5065157665</v>
      </c>
      <c r="AT106" s="131">
        <f t="shared" si="16"/>
        <v>318.82647818368429</v>
      </c>
      <c r="AU106" s="131">
        <f t="shared" si="17"/>
        <v>369.2264312051646</v>
      </c>
      <c r="AV106" s="115"/>
      <c r="AW106" s="126">
        <f t="shared" si="18"/>
        <v>-72.942182700749981</v>
      </c>
      <c r="AX106" s="126">
        <f t="shared" si="19"/>
        <v>-1101.1012243389494</v>
      </c>
      <c r="AY106" s="126">
        <f t="shared" si="20"/>
        <v>-2386.3000263866984</v>
      </c>
      <c r="AZ106" s="115"/>
      <c r="BA106" s="126">
        <f t="shared" si="21"/>
        <v>-53.048860145999981</v>
      </c>
      <c r="BB106" s="126">
        <f t="shared" si="22"/>
        <v>-1020.727958158423</v>
      </c>
      <c r="BC106" s="126">
        <f t="shared" si="23"/>
        <v>-2230.3268306739515</v>
      </c>
      <c r="BD106" s="115"/>
    </row>
    <row r="107" spans="1:56" x14ac:dyDescent="0.25">
      <c r="A107" s="94">
        <v>2052</v>
      </c>
      <c r="B107" s="139" cm="1">
        <f t="array" ref="B107">SUMPRODUCT((PARIS!$AA$4:'PARIS'!$AA$103=A107)*PARIS!$AD$4:$AD$103)+SUMPRODUCT((PARIS!$AB$4:'PARIS'!$AB$103=A107)*PARIS!$AD$4:$AD$103)+SUMPRODUCT((PARIS!$AU$4:'PARIS'!$AU$103=A107)*PARIS!$AX$4:$AX$103)</f>
        <v>34870.5</v>
      </c>
      <c r="C107" s="139" cm="1">
        <f t="array" ref="C107">SUMPRODUCT((PARIS!$AA$4:'PARIS'!$AA$103=A107)*PARIS!$AE$4:$AE$103)+SUMPRODUCT((PARIS!$AB$4:'PARIS'!$AB$103=A107)*PARIS!$AE$4:$AE$103)+SUMPRODUCT((PARIS!$AU$4:'PARIS'!$AU$103=A107)*PARIS!$AY$4:$AY$103)</f>
        <v>755.52749999999992</v>
      </c>
      <c r="D107" s="136" cm="1">
        <f t="array" ref="D107">SUMPRODUCT((PARIS!$AA$4:'PARIS'!$AA$103=A107)*PARIS!$AF$4:$AF$103)+SUMPRODUCT((PARIS!$AB$4:'PARIS'!$AB$103=A107)*PARIS!$AF$4:$AF$103)+SUMPRODUCT((PARIS!$AU$4:'PARIS'!$AU$103=A107)*PARIS!$AV$4:$AV$103)</f>
        <v>290.58749999999998</v>
      </c>
      <c r="E107" s="136" cm="1">
        <f t="array" ref="E107">SUMPRODUCT((PARIS!$AA$4:'PARIS'!$AA$103=A107)*PARIS!$AG$4:$AG$103)+SUMPRODUCT((PARIS!$AB$4:'PARIS'!$AB$103=A107)*PARIS!$AG$4:$AG$103)+SUMPRODUCT((PARIS!$AU$4:'PARIS'!$AU$103=A107)*PARIS!$AW$4:$AW$103)</f>
        <v>464.94</v>
      </c>
      <c r="F107" s="136" cm="1">
        <f t="array" ref="F107">SUMPRODUCT((PARIS!$AA$4:'PARIS'!$AA$103=A107)*PARIS!$AH$4:$AH$103)+SUMPRODUCT((PARIS!$AB$4:'PARIS'!$AB$103=A107)*PARIS!$AH$4:$AH$103)+SUMPRODUCT((PARIS!$AU$4:'PARIS'!$AU$103=A107)*PARIS!$AZ$4:$AZ$103)</f>
        <v>66.42</v>
      </c>
      <c r="G107" s="136" cm="1">
        <f t="array" ref="G107">SUMPRODUCT((PARIS!$AA$4:'PARIS'!$AA$103=A107)*PARIS!$AI$4:$AI$103)+SUMPRODUCT((PARIS!$AB$4:'PARIS'!$AB$103=A107)*PARIS!$AI$4:$AI$103)+SUMPRODUCT((PARIS!$AU$4:'PARIS'!$AU$103=A107)*PARIS!$BA$4:$BA$103)</f>
        <v>33.21</v>
      </c>
      <c r="H107" s="115"/>
      <c r="I107" s="139">
        <f t="shared" si="24"/>
        <v>39761.604597500009</v>
      </c>
      <c r="J107" s="136">
        <f t="shared" si="4"/>
        <v>10685.97947</v>
      </c>
      <c r="K107" s="136">
        <f t="shared" si="4"/>
        <v>29075.625127499992</v>
      </c>
      <c r="L107" s="136">
        <f t="shared" si="4"/>
        <v>2776.2352883351718</v>
      </c>
      <c r="M107" s="136">
        <f t="shared" si="4"/>
        <v>1728.0556026689867</v>
      </c>
      <c r="N107" s="115"/>
      <c r="O107" s="131">
        <f>C107*(Hypotheses!H71*Hypotheses!$D$19+Hypotheses!$D$14*(1-Hypotheses!H71))</f>
        <v>8.8396717499999991</v>
      </c>
      <c r="P107" s="131">
        <f>C107*(Hypotheses!I71*Hypotheses!$D$19+Hypotheses!$D$14*(1-Hypotheses!I71))</f>
        <v>7.9332231836113936</v>
      </c>
      <c r="Q107" s="131">
        <f>C107*(Hypotheses!J71*Hypotheses!$D$19+Hypotheses!$D$14*(1-Hypotheses!J71))</f>
        <v>6.8001624756256378</v>
      </c>
      <c r="R107" s="115"/>
      <c r="S107" s="131">
        <f>C107*(Hypotheses!H71*Hypotheses!$D$21+Hypotheses!$D$14*(1-Hypotheses!H71))</f>
        <v>9.5196464999999986</v>
      </c>
      <c r="T107" s="131">
        <f>C107*(Hypotheses!I71*Hypotheses!$D$21+Hypotheses!$D$14*(1-Hypotheses!I71))</f>
        <v>11.33254363277721</v>
      </c>
      <c r="U107" s="131">
        <f>C107*(Hypotheses!J71*Hypotheses!$D$21+Hypotheses!$D$14*(1-Hypotheses!J71))</f>
        <v>13.598665048748719</v>
      </c>
      <c r="V107" s="115"/>
      <c r="W107" s="128">
        <f>-C107*Hypotheses!$D$31*Hypotheses!H71</f>
        <v>-45.331649999999996</v>
      </c>
      <c r="X107" s="128">
        <f>-C107*Hypotheses!$D$31*Hypotheses!I71</f>
        <v>-226.62136327772097</v>
      </c>
      <c r="Y107" s="128">
        <f>-C107*Hypotheses!$D$31*Hypotheses!J71</f>
        <v>-453.23350487487215</v>
      </c>
      <c r="Z107" s="126">
        <f>-C107*Hypotheses!$D$30*Hypotheses!H71</f>
        <v>-11.332912499999999</v>
      </c>
      <c r="AA107" s="126">
        <f>-C107*Hypotheses!$D$30*Hypotheses!I71</f>
        <v>-56.655340819430243</v>
      </c>
      <c r="AB107" s="126">
        <f>-C107*Hypotheses!$D$30*Hypotheses!J71</f>
        <v>-113.30837621871804</v>
      </c>
      <c r="AC107" s="115"/>
      <c r="AD107" s="126">
        <f>-C107*Hypotheses!$D$30*Hypotheses!H71+(O107+S107)/2</f>
        <v>-2.1532533750000002</v>
      </c>
      <c r="AE107" s="126">
        <f>-C107*Hypotheses!$D$30*Hypotheses!I71+(P107+T107)/2</f>
        <v>-47.022457411235941</v>
      </c>
      <c r="AF107" s="126">
        <f>-C107*Hypotheses!$D$30*Hypotheses!J71+(Q107+U107)/2</f>
        <v>-103.10896245653086</v>
      </c>
      <c r="AG107" s="115"/>
      <c r="AH107" s="128">
        <f t="shared" si="6"/>
        <v>-1371.55315365</v>
      </c>
      <c r="AI107" s="128">
        <f t="shared" si="7"/>
        <v>-5584.8391086461497</v>
      </c>
      <c r="AJ107" s="128">
        <f t="shared" si="8"/>
        <v>-10851.446552391337</v>
      </c>
      <c r="AK107" s="126">
        <f t="shared" si="9"/>
        <v>-342.8882884125</v>
      </c>
      <c r="AL107" s="126">
        <f t="shared" si="10"/>
        <v>-1396.2097771615374</v>
      </c>
      <c r="AM107" s="126">
        <f t="shared" si="11"/>
        <v>-2712.8616380978342</v>
      </c>
      <c r="AN107" s="115"/>
      <c r="AO107" s="131">
        <f t="shared" si="12"/>
        <v>267.45286496174998</v>
      </c>
      <c r="AP107" s="131">
        <f t="shared" si="13"/>
        <v>246.38643518676926</v>
      </c>
      <c r="AQ107" s="131">
        <f t="shared" si="14"/>
        <v>220.05339796804327</v>
      </c>
      <c r="AR107" s="115"/>
      <c r="AS107" s="131">
        <f t="shared" si="15"/>
        <v>288.02616226650002</v>
      </c>
      <c r="AT107" s="131">
        <f t="shared" si="16"/>
        <v>330.15902181646152</v>
      </c>
      <c r="AU107" s="131">
        <f t="shared" si="17"/>
        <v>382.82509625391333</v>
      </c>
      <c r="AV107" s="115"/>
      <c r="AW107" s="126">
        <f t="shared" si="18"/>
        <v>-75.435423450750022</v>
      </c>
      <c r="AX107" s="126">
        <f t="shared" si="19"/>
        <v>-1149.8233419747683</v>
      </c>
      <c r="AY107" s="126">
        <f t="shared" si="20"/>
        <v>-2492.8082401297911</v>
      </c>
      <c r="AZ107" s="115"/>
      <c r="BA107" s="126">
        <f t="shared" si="21"/>
        <v>-54.86212614599998</v>
      </c>
      <c r="BB107" s="126">
        <f t="shared" si="22"/>
        <v>-1066.0507553450759</v>
      </c>
      <c r="BC107" s="126">
        <f t="shared" si="23"/>
        <v>-2330.036541843921</v>
      </c>
      <c r="BD107" s="115"/>
    </row>
    <row r="108" spans="1:56" x14ac:dyDescent="0.25">
      <c r="A108" s="94">
        <v>2053</v>
      </c>
      <c r="B108" s="139" cm="1">
        <f t="array" ref="B108">SUMPRODUCT((PARIS!$AA$4:'PARIS'!$AA$103=A108)*PARIS!$AD$4:$AD$103)+SUMPRODUCT((PARIS!$AB$4:'PARIS'!$AB$103=A108)*PARIS!$AD$4:$AD$103)+SUMPRODUCT((PARIS!$AU$4:'PARIS'!$AU$103=A108)*PARIS!$AX$4:$AX$103)</f>
        <v>64480</v>
      </c>
      <c r="C108" s="139" cm="1">
        <f t="array" ref="C108">SUMPRODUCT((PARIS!$AA$4:'PARIS'!$AA$103=A108)*PARIS!$AE$4:$AE$103)+SUMPRODUCT((PARIS!$AB$4:'PARIS'!$AB$103=A108)*PARIS!$AE$4:$AE$103)+SUMPRODUCT((PARIS!$AU$4:'PARIS'!$AU$103=A108)*PARIS!$AY$4:$AY$103)</f>
        <v>1289.6000000000001</v>
      </c>
      <c r="D108" s="136" cm="1">
        <f t="array" ref="D108">SUMPRODUCT((PARIS!$AA$4:'PARIS'!$AA$103=A108)*PARIS!$AF$4:$AF$103)+SUMPRODUCT((PARIS!$AB$4:'PARIS'!$AB$103=A108)*PARIS!$AF$4:$AF$103)+SUMPRODUCT((PARIS!$AU$4:'PARIS'!$AU$103=A108)*PARIS!$AV$4:$AV$103)</f>
        <v>231.20000000000002</v>
      </c>
      <c r="E108" s="136" cm="1">
        <f t="array" ref="E108">SUMPRODUCT((PARIS!$AA$4:'PARIS'!$AA$103=A108)*PARIS!$AG$4:$AG$103)+SUMPRODUCT((PARIS!$AB$4:'PARIS'!$AB$103=A108)*PARIS!$AG$4:$AG$103)+SUMPRODUCT((PARIS!$AU$4:'PARIS'!$AU$103=A108)*PARIS!$AW$4:$AW$103)</f>
        <v>0</v>
      </c>
      <c r="F108" s="136" cm="1">
        <f t="array" ref="F108">SUMPRODUCT((PARIS!$AA$4:'PARIS'!$AA$103=A108)*PARIS!$AH$4:$AH$103)+SUMPRODUCT((PARIS!$AB$4:'PARIS'!$AB$103=A108)*PARIS!$AH$4:$AH$103)+SUMPRODUCT((PARIS!$AU$4:'PARIS'!$AU$103=A108)*PARIS!$AZ$4:$AZ$103)</f>
        <v>22.819555555555553</v>
      </c>
      <c r="G108" s="136" cm="1">
        <f t="array" ref="G108">SUMPRODUCT((PARIS!$AA$4:'PARIS'!$AA$103=A108)*PARIS!$AI$4:$AI$103)+SUMPRODUCT((PARIS!$AB$4:'PARIS'!$AB$103=A108)*PARIS!$AI$4:$AI$103)+SUMPRODUCT((PARIS!$AU$4:'PARIS'!$AU$103=A108)*PARIS!$BA$4:$BA$103)</f>
        <v>34.229333333333329</v>
      </c>
      <c r="H108" s="115"/>
      <c r="I108" s="139">
        <f t="shared" si="24"/>
        <v>41051.204597500007</v>
      </c>
      <c r="J108" s="136">
        <f t="shared" si="4"/>
        <v>10917.179470000001</v>
      </c>
      <c r="K108" s="136">
        <f t="shared" si="4"/>
        <v>29075.625127499992</v>
      </c>
      <c r="L108" s="136">
        <f t="shared" si="4"/>
        <v>2799.0548438907272</v>
      </c>
      <c r="M108" s="136">
        <f t="shared" si="4"/>
        <v>1762.2849360023201</v>
      </c>
      <c r="N108" s="115"/>
      <c r="O108" s="131">
        <f>C108*(Hypotheses!H72*Hypotheses!$D$19+Hypotheses!$D$14*(1-Hypotheses!H72))</f>
        <v>15.088320000000001</v>
      </c>
      <c r="P108" s="131">
        <f>C108*(Hypotheses!I72*Hypotheses!$D$19+Hypotheses!$D$14*(1-Hypotheses!I72))</f>
        <v>13.54099095557423</v>
      </c>
      <c r="Q108" s="131">
        <f>C108*(Hypotheses!J72*Hypotheses!$D$19+Hypotheses!$D$14*(1-Hypotheses!J72))</f>
        <v>11.60682965004202</v>
      </c>
      <c r="R108" s="115"/>
      <c r="S108" s="131">
        <f>C108*(Hypotheses!H72*Hypotheses!$D$21+Hypotheses!$D$14*(1-Hypotheses!H72))</f>
        <v>16.24896</v>
      </c>
      <c r="T108" s="131">
        <f>C108*(Hypotheses!I72*Hypotheses!$D$21+Hypotheses!$D$14*(1-Hypotheses!I72))</f>
        <v>19.343618088851539</v>
      </c>
      <c r="U108" s="131">
        <f>C108*(Hypotheses!J72*Hypotheses!$D$21+Hypotheses!$D$14*(1-Hypotheses!J72))</f>
        <v>23.211940699915964</v>
      </c>
      <c r="V108" s="115"/>
      <c r="W108" s="128">
        <f>-C108*Hypotheses!$D$31*Hypotheses!H72</f>
        <v>-77.376000000000019</v>
      </c>
      <c r="X108" s="128">
        <f>-C108*Hypotheses!$D$31*Hypotheses!I72</f>
        <v>-386.84180888515402</v>
      </c>
      <c r="Y108" s="128">
        <f>-C108*Hypotheses!$D$31*Hypotheses!J72</f>
        <v>-773.67406999159641</v>
      </c>
      <c r="Z108" s="126">
        <f>-C108*Hypotheses!$D$30*Hypotheses!H72</f>
        <v>-19.344000000000005</v>
      </c>
      <c r="AA108" s="126">
        <f>-C108*Hypotheses!$D$30*Hypotheses!I72</f>
        <v>-96.710452221288506</v>
      </c>
      <c r="AB108" s="126">
        <f>-C108*Hypotheses!$D$30*Hypotheses!J72</f>
        <v>-193.4185174978991</v>
      </c>
      <c r="AC108" s="115"/>
      <c r="AD108" s="126">
        <f>-C108*Hypotheses!$D$30*Hypotheses!H72+(O108+S108)/2</f>
        <v>-3.6753600000000048</v>
      </c>
      <c r="AE108" s="126">
        <f>-C108*Hypotheses!$D$30*Hypotheses!I72+(P108+T108)/2</f>
        <v>-80.268147699075627</v>
      </c>
      <c r="AF108" s="126">
        <f>-C108*Hypotheses!$D$30*Hypotheses!J72+(Q108+U108)/2</f>
        <v>-176.0091323229201</v>
      </c>
      <c r="AG108" s="115"/>
      <c r="AH108" s="128">
        <f t="shared" si="6"/>
        <v>-1448.92915365</v>
      </c>
      <c r="AI108" s="128">
        <f t="shared" si="7"/>
        <v>-5971.6809175313037</v>
      </c>
      <c r="AJ108" s="128">
        <f t="shared" si="8"/>
        <v>-11625.120622382934</v>
      </c>
      <c r="AK108" s="126">
        <f t="shared" si="9"/>
        <v>-362.2322884125</v>
      </c>
      <c r="AL108" s="126">
        <f t="shared" si="10"/>
        <v>-1492.9202293828259</v>
      </c>
      <c r="AM108" s="126">
        <f t="shared" si="11"/>
        <v>-2906.2801555957335</v>
      </c>
      <c r="AN108" s="115"/>
      <c r="AO108" s="131">
        <f t="shared" si="12"/>
        <v>282.54118496174999</v>
      </c>
      <c r="AP108" s="131">
        <f t="shared" si="13"/>
        <v>259.92742614234351</v>
      </c>
      <c r="AQ108" s="131">
        <f t="shared" si="14"/>
        <v>231.66022761808529</v>
      </c>
      <c r="AR108" s="115"/>
      <c r="AS108" s="131">
        <f t="shared" si="15"/>
        <v>304.27512226650003</v>
      </c>
      <c r="AT108" s="131">
        <f t="shared" si="16"/>
        <v>349.50263990531306</v>
      </c>
      <c r="AU108" s="131">
        <f t="shared" si="17"/>
        <v>406.03703695382927</v>
      </c>
      <c r="AV108" s="115"/>
      <c r="AW108" s="126">
        <f t="shared" si="18"/>
        <v>-79.691103450750006</v>
      </c>
      <c r="AX108" s="126">
        <f t="shared" si="19"/>
        <v>-1232.9928032404823</v>
      </c>
      <c r="AY108" s="126">
        <f t="shared" si="20"/>
        <v>-2674.6199279776483</v>
      </c>
      <c r="AZ108" s="115"/>
      <c r="BA108" s="126">
        <f t="shared" si="21"/>
        <v>-57.957166145999963</v>
      </c>
      <c r="BB108" s="126">
        <f t="shared" si="22"/>
        <v>-1143.4175894775128</v>
      </c>
      <c r="BC108" s="126">
        <f t="shared" si="23"/>
        <v>-2500.2431186419044</v>
      </c>
      <c r="BD108" s="115"/>
    </row>
    <row r="109" spans="1:56" x14ac:dyDescent="0.25">
      <c r="A109" s="94">
        <v>2054</v>
      </c>
      <c r="B109" s="139" cm="1">
        <f t="array" ref="B109">SUMPRODUCT((PARIS!$AA$4:'PARIS'!$AA$103=A109)*PARIS!$AD$4:$AD$103)+SUMPRODUCT((PARIS!$AB$4:'PARIS'!$AB$103=A109)*PARIS!$AD$4:$AD$103)+SUMPRODUCT((PARIS!$AU$4:'PARIS'!$AU$103=A109)*PARIS!$AX$4:$AX$103)</f>
        <v>102661.6</v>
      </c>
      <c r="C109" s="139" cm="1">
        <f t="array" ref="C109">SUMPRODUCT((PARIS!$AA$4:'PARIS'!$AA$103=A109)*PARIS!$AE$4:$AE$103)+SUMPRODUCT((PARIS!$AB$4:'PARIS'!$AB$103=A109)*PARIS!$AE$4:$AE$103)+SUMPRODUCT((PARIS!$AU$4:'PARIS'!$AU$103=A109)*PARIS!$AY$4:$AY$103)</f>
        <v>2377.5119999999997</v>
      </c>
      <c r="D109" s="136" cm="1">
        <f t="array" ref="D109">SUMPRODUCT((PARIS!$AA$4:'PARIS'!$AA$103=A109)*PARIS!$AF$4:$AF$103)+SUMPRODUCT((PARIS!$AB$4:'PARIS'!$AB$103=A109)*PARIS!$AF$4:$AF$103)+SUMPRODUCT((PARIS!$AU$4:'PARIS'!$AU$103=A109)*PARIS!$AV$4:$AV$103)</f>
        <v>848.81600000000003</v>
      </c>
      <c r="E109" s="136" cm="1">
        <f t="array" ref="E109">SUMPRODUCT((PARIS!$AA$4:'PARIS'!$AA$103=A109)*PARIS!$AG$4:$AG$103)+SUMPRODUCT((PARIS!$AB$4:'PARIS'!$AB$103=A109)*PARIS!$AG$4:$AG$103)+SUMPRODUCT((PARIS!$AU$4:'PARIS'!$AU$103=A109)*PARIS!$AW$4:$AW$103)</f>
        <v>1528.6959999999999</v>
      </c>
      <c r="F109" s="136" cm="1">
        <f t="array" ref="F109">SUMPRODUCT((PARIS!$AA$4:'PARIS'!$AA$103=A109)*PARIS!$AH$4:$AH$103)+SUMPRODUCT((PARIS!$AB$4:'PARIS'!$AB$103=A109)*PARIS!$AH$4:$AH$103)+SUMPRODUCT((PARIS!$AU$4:'PARIS'!$AU$103=A109)*PARIS!$AZ$4:$AZ$103)</f>
        <v>91.780888888888882</v>
      </c>
      <c r="G109" s="136" cm="1">
        <f t="array" ref="G109">SUMPRODUCT((PARIS!$AA$4:'PARIS'!$AA$103=A109)*PARIS!$AI$4:$AI$103)+SUMPRODUCT((PARIS!$AB$4:'PARIS'!$AB$103=A109)*PARIS!$AI$4:$AI$103)+SUMPRODUCT((PARIS!$AU$4:'PARIS'!$AU$103=A109)*PARIS!$BA$4:$BA$103)</f>
        <v>72.557733333333331</v>
      </c>
      <c r="H109" s="115"/>
      <c r="I109" s="139">
        <f t="shared" si="24"/>
        <v>43428.71659750001</v>
      </c>
      <c r="J109" s="136">
        <f t="shared" ref="J109:M125" si="25">D109+J108</f>
        <v>11765.995470000002</v>
      </c>
      <c r="K109" s="136">
        <f t="shared" si="25"/>
        <v>30604.321127499992</v>
      </c>
      <c r="L109" s="136">
        <f t="shared" si="25"/>
        <v>2890.8357327796161</v>
      </c>
      <c r="M109" s="136">
        <f t="shared" si="25"/>
        <v>1834.8426693356535</v>
      </c>
      <c r="N109" s="115"/>
      <c r="O109" s="131">
        <f>C109*(Hypotheses!H73*Hypotheses!$D$19+Hypotheses!$D$14*(1-Hypotheses!H73))</f>
        <v>27.816890399999998</v>
      </c>
      <c r="P109" s="131">
        <f>C109*(Hypotheses!I73*Hypotheses!$D$19+Hypotheses!$D$14*(1-Hypotheses!I73))</f>
        <v>24.96408953736487</v>
      </c>
      <c r="Q109" s="131">
        <f>C109*(Hypotheses!J73*Hypotheses!$D$19+Hypotheses!$D$14*(1-Hypotheses!J73))</f>
        <v>21.398088459070966</v>
      </c>
      <c r="R109" s="115"/>
      <c r="S109" s="131">
        <f>C109*(Hypotheses!H73*Hypotheses!$D$21+Hypotheses!$D$14*(1-Hypotheses!H73))</f>
        <v>29.956651199999996</v>
      </c>
      <c r="T109" s="131">
        <f>C109*(Hypotheses!I73*Hypotheses!$D$21+Hypotheses!$D$14*(1-Hypotheses!I73))</f>
        <v>35.662252925270252</v>
      </c>
      <c r="U109" s="131">
        <f>C109*(Hypotheses!J73*Hypotheses!$D$21+Hypotheses!$D$14*(1-Hypotheses!J73))</f>
        <v>42.794255081858068</v>
      </c>
      <c r="V109" s="115"/>
      <c r="W109" s="128">
        <f>-C109*Hypotheses!$D$31*Hypotheses!H73</f>
        <v>-142.65071999999998</v>
      </c>
      <c r="X109" s="128">
        <f>-C109*Hypotheses!$D$31*Hypotheses!I73</f>
        <v>-713.21089252702529</v>
      </c>
      <c r="Y109" s="128">
        <f>-C109*Hypotheses!$D$31*Hypotheses!J73</f>
        <v>-1426.4111081858068</v>
      </c>
      <c r="Z109" s="126">
        <f>-C109*Hypotheses!$D$30*Hypotheses!H73</f>
        <v>-35.662679999999995</v>
      </c>
      <c r="AA109" s="126">
        <f>-C109*Hypotheses!$D$30*Hypotheses!I73</f>
        <v>-178.30272313175632</v>
      </c>
      <c r="AB109" s="126">
        <f>-C109*Hypotheses!$D$30*Hypotheses!J73</f>
        <v>-356.60277704645171</v>
      </c>
      <c r="AC109" s="115"/>
      <c r="AD109" s="126">
        <f>-C109*Hypotheses!$D$30*Hypotheses!H73+(O109+S109)/2</f>
        <v>-6.7759091999999974</v>
      </c>
      <c r="AE109" s="126">
        <f>-C109*Hypotheses!$D$30*Hypotheses!I73+(P109+T109)/2</f>
        <v>-147.98955190043876</v>
      </c>
      <c r="AF109" s="126">
        <f>-C109*Hypotheses!$D$30*Hypotheses!J73+(Q109+U109)/2</f>
        <v>-324.50660527598717</v>
      </c>
      <c r="AG109" s="115"/>
      <c r="AH109" s="128">
        <f t="shared" si="6"/>
        <v>-1591.5798736500001</v>
      </c>
      <c r="AI109" s="128">
        <f t="shared" si="7"/>
        <v>-6684.8918100583287</v>
      </c>
      <c r="AJ109" s="128">
        <f t="shared" si="8"/>
        <v>-13051.53173056874</v>
      </c>
      <c r="AK109" s="126">
        <f t="shared" si="9"/>
        <v>-397.89496841250002</v>
      </c>
      <c r="AL109" s="126">
        <f t="shared" si="10"/>
        <v>-1671.2229525145822</v>
      </c>
      <c r="AM109" s="126">
        <f t="shared" si="11"/>
        <v>-3262.8829326421851</v>
      </c>
      <c r="AN109" s="115"/>
      <c r="AO109" s="131">
        <f t="shared" si="12"/>
        <v>310.35807536174997</v>
      </c>
      <c r="AP109" s="131">
        <f t="shared" si="13"/>
        <v>284.89151567970839</v>
      </c>
      <c r="AQ109" s="131">
        <f t="shared" si="14"/>
        <v>253.05831607715626</v>
      </c>
      <c r="AR109" s="115"/>
      <c r="AS109" s="131">
        <f t="shared" si="15"/>
        <v>334.23177346650004</v>
      </c>
      <c r="AT109" s="131">
        <f t="shared" si="16"/>
        <v>385.16489283058331</v>
      </c>
      <c r="AU109" s="131">
        <f t="shared" si="17"/>
        <v>448.83129203568734</v>
      </c>
      <c r="AV109" s="115"/>
      <c r="AW109" s="126">
        <f t="shared" si="18"/>
        <v>-87.536893050750052</v>
      </c>
      <c r="AX109" s="126">
        <f t="shared" si="19"/>
        <v>-1386.3314368348738</v>
      </c>
      <c r="AY109" s="126">
        <f t="shared" si="20"/>
        <v>-3009.8246165650289</v>
      </c>
      <c r="AZ109" s="115"/>
      <c r="BA109" s="126">
        <f t="shared" si="21"/>
        <v>-63.663194945999976</v>
      </c>
      <c r="BB109" s="126">
        <f t="shared" si="22"/>
        <v>-1286.0580596839989</v>
      </c>
      <c r="BC109" s="126">
        <f t="shared" si="23"/>
        <v>-2814.0516406064976</v>
      </c>
      <c r="BD109" s="115"/>
    </row>
    <row r="110" spans="1:56" x14ac:dyDescent="0.25">
      <c r="A110" s="94">
        <v>2055</v>
      </c>
      <c r="B110" s="139" cm="1">
        <f t="array" ref="B110">SUMPRODUCT((PARIS!$AA$4:'PARIS'!$AA$103=A110)*PARIS!$AD$4:$AD$103)+SUMPRODUCT((PARIS!$AB$4:'PARIS'!$AB$103=A110)*PARIS!$AD$4:$AD$103)+SUMPRODUCT((PARIS!$AU$4:'PARIS'!$AU$103=A110)*PARIS!$AX$4:$AX$103)</f>
        <v>25400</v>
      </c>
      <c r="C110" s="139" cm="1">
        <f t="array" ref="C110">SUMPRODUCT((PARIS!$AA$4:'PARIS'!$AA$103=A110)*PARIS!$AE$4:$AE$103)+SUMPRODUCT((PARIS!$AB$4:'PARIS'!$AB$103=A110)*PARIS!$AE$4:$AE$103)+SUMPRODUCT((PARIS!$AU$4:'PARIS'!$AU$103=A110)*PARIS!$AY$4:$AY$103)</f>
        <v>476</v>
      </c>
      <c r="D110" s="136" cm="1">
        <f t="array" ref="D110">SUMPRODUCT((PARIS!$AA$4:'PARIS'!$AA$103=A110)*PARIS!$AF$4:$AF$103)+SUMPRODUCT((PARIS!$AB$4:'PARIS'!$AB$103=A110)*PARIS!$AF$4:$AF$103)+SUMPRODUCT((PARIS!$AU$4:'PARIS'!$AU$103=A110)*PARIS!$AV$4:$AV$103)</f>
        <v>96</v>
      </c>
      <c r="E110" s="136" cm="1">
        <f t="array" ref="E110">SUMPRODUCT((PARIS!$AA$4:'PARIS'!$AA$103=A110)*PARIS!$AG$4:$AG$103)+SUMPRODUCT((PARIS!$AB$4:'PARIS'!$AB$103=A110)*PARIS!$AG$4:$AG$103)+SUMPRODUCT((PARIS!$AU$4:'PARIS'!$AU$103=A110)*PARIS!$AW$4:$AW$103)</f>
        <v>380</v>
      </c>
      <c r="F110" s="136" cm="1">
        <f t="array" ref="F110">SUMPRODUCT((PARIS!$AA$4:'PARIS'!$AA$103=A110)*PARIS!$AH$4:$AH$103)+SUMPRODUCT((PARIS!$AB$4:'PARIS'!$AB$103=A110)*PARIS!$AH$4:$AH$103)+SUMPRODUCT((PARIS!$AU$4:'PARIS'!$AU$103=A110)*PARIS!$AZ$4:$AZ$103)</f>
        <v>22</v>
      </c>
      <c r="G110" s="136" cm="1">
        <f t="array" ref="G110">SUMPRODUCT((PARIS!$AA$4:'PARIS'!$AA$103=A110)*PARIS!$AI$4:$AI$103)+SUMPRODUCT((PARIS!$AB$4:'PARIS'!$AB$103=A110)*PARIS!$AI$4:$AI$103)+SUMPRODUCT((PARIS!$AU$4:'PARIS'!$AU$103=A110)*PARIS!$BA$4:$BA$103)</f>
        <v>22</v>
      </c>
      <c r="H110" s="115"/>
      <c r="I110" s="139">
        <f t="shared" si="24"/>
        <v>43904.71659750001</v>
      </c>
      <c r="J110" s="136">
        <f t="shared" si="25"/>
        <v>11861.995470000002</v>
      </c>
      <c r="K110" s="136">
        <f t="shared" si="25"/>
        <v>30984.321127499992</v>
      </c>
      <c r="L110" s="136">
        <f t="shared" si="25"/>
        <v>2912.8357327796161</v>
      </c>
      <c r="M110" s="136">
        <f t="shared" si="25"/>
        <v>1856.8426693356535</v>
      </c>
      <c r="N110" s="115"/>
      <c r="O110" s="131">
        <f>C110*(Hypotheses!H74*Hypotheses!$D$19+Hypotheses!$D$14*(1-Hypotheses!H74))</f>
        <v>5.5692000000000004</v>
      </c>
      <c r="P110" s="131">
        <f>C110*(Hypotheses!I74*Hypotheses!$D$19+Hypotheses!$D$14*(1-Hypotheses!I74))</f>
        <v>4.9980259312626023</v>
      </c>
      <c r="Q110" s="131">
        <f>C110*(Hypotheses!J74*Hypotheses!$D$19+Hypotheses!$D$14*(1-Hypotheses!J74))</f>
        <v>4.2840583453408563</v>
      </c>
      <c r="R110" s="115"/>
      <c r="S110" s="131">
        <f>C110*(Hypotheses!H74*Hypotheses!$D$21+Hypotheses!$D$14*(1-Hypotheses!H74))</f>
        <v>5.9976000000000003</v>
      </c>
      <c r="T110" s="131">
        <f>C110*(Hypotheses!I74*Hypotheses!$D$21+Hypotheses!$D$14*(1-Hypotheses!I74))</f>
        <v>7.1399481374747946</v>
      </c>
      <c r="U110" s="131">
        <f>C110*(Hypotheses!J74*Hypotheses!$D$21+Hypotheses!$D$14*(1-Hypotheses!J74))</f>
        <v>8.5678833093182867</v>
      </c>
      <c r="V110" s="115"/>
      <c r="W110" s="128">
        <f>-C110*Hypotheses!$D$31*Hypotheses!H74</f>
        <v>-28.56</v>
      </c>
      <c r="X110" s="128">
        <f>-C110*Hypotheses!$D$31*Hypotheses!I74</f>
        <v>-142.79481374747942</v>
      </c>
      <c r="Y110" s="128">
        <f>-C110*Hypotheses!$D$31*Hypotheses!J74</f>
        <v>-285.58833093182869</v>
      </c>
      <c r="Z110" s="126">
        <f>-C110*Hypotheses!$D$30*Hypotheses!H74</f>
        <v>-7.14</v>
      </c>
      <c r="AA110" s="126">
        <f>-C110*Hypotheses!$D$30*Hypotheses!I74</f>
        <v>-35.698703436869856</v>
      </c>
      <c r="AB110" s="126">
        <f>-C110*Hypotheses!$D$30*Hypotheses!J74</f>
        <v>-71.397082732957173</v>
      </c>
      <c r="AC110" s="115"/>
      <c r="AD110" s="126">
        <f>-C110*Hypotheses!$D$30*Hypotheses!H74+(O110+S110)/2</f>
        <v>-1.3565999999999994</v>
      </c>
      <c r="AE110" s="126">
        <f>-C110*Hypotheses!$D$30*Hypotheses!I74+(P110+T110)/2</f>
        <v>-29.62971640250116</v>
      </c>
      <c r="AF110" s="126">
        <f>-C110*Hypotheses!$D$30*Hypotheses!J74+(Q110+U110)/2</f>
        <v>-64.971111905627595</v>
      </c>
      <c r="AG110" s="115"/>
      <c r="AH110" s="128">
        <f t="shared" si="6"/>
        <v>-1620.13987365</v>
      </c>
      <c r="AI110" s="128">
        <f t="shared" si="7"/>
        <v>-6827.6866238058083</v>
      </c>
      <c r="AJ110" s="128">
        <f t="shared" si="8"/>
        <v>-13337.120061500569</v>
      </c>
      <c r="AK110" s="126">
        <f t="shared" si="9"/>
        <v>-405.03496841250001</v>
      </c>
      <c r="AL110" s="126">
        <f t="shared" si="10"/>
        <v>-1706.9216559514521</v>
      </c>
      <c r="AM110" s="126">
        <f t="shared" si="11"/>
        <v>-3334.2800153751423</v>
      </c>
      <c r="AN110" s="115"/>
      <c r="AO110" s="131">
        <f t="shared" si="12"/>
        <v>315.92727536174999</v>
      </c>
      <c r="AP110" s="131">
        <f t="shared" si="13"/>
        <v>289.88954161097098</v>
      </c>
      <c r="AQ110" s="131">
        <f t="shared" si="14"/>
        <v>257.34237442249713</v>
      </c>
      <c r="AR110" s="115"/>
      <c r="AS110" s="131">
        <f t="shared" si="15"/>
        <v>340.22937346650002</v>
      </c>
      <c r="AT110" s="131">
        <f t="shared" si="16"/>
        <v>392.3048409680581</v>
      </c>
      <c r="AU110" s="131">
        <f t="shared" si="17"/>
        <v>457.39917534500563</v>
      </c>
      <c r="AV110" s="115"/>
      <c r="AW110" s="126">
        <f t="shared" si="18"/>
        <v>-89.107693050750015</v>
      </c>
      <c r="AX110" s="126">
        <f t="shared" si="19"/>
        <v>-1417.032114340481</v>
      </c>
      <c r="AY110" s="126">
        <f t="shared" si="20"/>
        <v>-3076.9376409526453</v>
      </c>
      <c r="AZ110" s="115"/>
      <c r="BA110" s="126">
        <f t="shared" si="21"/>
        <v>-64.805594945999985</v>
      </c>
      <c r="BB110" s="126">
        <f t="shared" si="22"/>
        <v>-1314.6168149833939</v>
      </c>
      <c r="BC110" s="126">
        <f t="shared" si="23"/>
        <v>-2876.8808400301368</v>
      </c>
      <c r="BD110" s="115"/>
    </row>
    <row r="111" spans="1:56" x14ac:dyDescent="0.25">
      <c r="A111" s="94">
        <v>2056</v>
      </c>
      <c r="B111" s="139" cm="1">
        <f t="array" ref="B111">SUMPRODUCT((PARIS!$AA$4:'PARIS'!$AA$103=A111)*PARIS!$AD$4:$AD$103)+SUMPRODUCT((PARIS!$AB$4:'PARIS'!$AB$103=A111)*PARIS!$AD$4:$AD$103)+SUMPRODUCT((PARIS!$AU$4:'PARIS'!$AU$103=A111)*PARIS!$AX$4:$AX$103)</f>
        <v>6120</v>
      </c>
      <c r="C111" s="139" cm="1">
        <f t="array" ref="C111">SUMPRODUCT((PARIS!$AA$4:'PARIS'!$AA$103=A111)*PARIS!$AE$4:$AE$103)+SUMPRODUCT((PARIS!$AB$4:'PARIS'!$AB$103=A111)*PARIS!$AE$4:$AE$103)+SUMPRODUCT((PARIS!$AU$4:'PARIS'!$AU$103=A111)*PARIS!$AY$4:$AY$103)</f>
        <v>137.69999999999999</v>
      </c>
      <c r="D111" s="136" cm="1">
        <f t="array" ref="D111">SUMPRODUCT((PARIS!$AA$4:'PARIS'!$AA$103=A111)*PARIS!$AF$4:$AF$103)+SUMPRODUCT((PARIS!$AB$4:'PARIS'!$AB$103=A111)*PARIS!$AF$4:$AF$103)+SUMPRODUCT((PARIS!$AU$4:'PARIS'!$AU$103=A111)*PARIS!$AV$4:$AV$103)</f>
        <v>0</v>
      </c>
      <c r="E111" s="136" cm="1">
        <f t="array" ref="E111">SUMPRODUCT((PARIS!$AA$4:'PARIS'!$AA$103=A111)*PARIS!$AG$4:$AG$103)+SUMPRODUCT((PARIS!$AB$4:'PARIS'!$AB$103=A111)*PARIS!$AG$4:$AG$103)+SUMPRODUCT((PARIS!$AU$4:'PARIS'!$AU$103=A111)*PARIS!$AW$4:$AW$103)</f>
        <v>137.69999999999999</v>
      </c>
      <c r="F111" s="136" cm="1">
        <f t="array" ref="F111">SUMPRODUCT((PARIS!$AA$4:'PARIS'!$AA$103=A111)*PARIS!$AH$4:$AH$103)+SUMPRODUCT((PARIS!$AB$4:'PARIS'!$AB$103=A111)*PARIS!$AH$4:$AH$103)+SUMPRODUCT((PARIS!$AU$4:'PARIS'!$AU$103=A111)*PARIS!$AZ$4:$AZ$103)</f>
        <v>10.44</v>
      </c>
      <c r="G111" s="136" cm="1">
        <f t="array" ref="G111">SUMPRODUCT((PARIS!$AA$4:'PARIS'!$AA$103=A111)*PARIS!$AI$4:$AI$103)+SUMPRODUCT((PARIS!$AB$4:'PARIS'!$AB$103=A111)*PARIS!$AI$4:$AI$103)+SUMPRODUCT((PARIS!$AU$4:'PARIS'!$AU$103=A111)*PARIS!$BA$4:$BA$103)</f>
        <v>10.44</v>
      </c>
      <c r="H111" s="115"/>
      <c r="I111" s="139">
        <f t="shared" si="24"/>
        <v>44042.416597500007</v>
      </c>
      <c r="J111" s="136">
        <f t="shared" si="25"/>
        <v>11861.995470000002</v>
      </c>
      <c r="K111" s="136">
        <f t="shared" si="25"/>
        <v>31122.021127499993</v>
      </c>
      <c r="L111" s="136">
        <f t="shared" si="25"/>
        <v>2923.2757327796162</v>
      </c>
      <c r="M111" s="136">
        <f t="shared" si="25"/>
        <v>1867.2826693356535</v>
      </c>
      <c r="N111" s="115"/>
      <c r="O111" s="131">
        <f>C111*(Hypotheses!H75*Hypotheses!$D$19+Hypotheses!$D$14*(1-Hypotheses!H75))</f>
        <v>1.6110899999999999</v>
      </c>
      <c r="P111" s="131">
        <f>C111*(Hypotheses!I75*Hypotheses!$D$19+Hypotheses!$D$14*(1-Hypotheses!I75))</f>
        <v>1.4458545499975997</v>
      </c>
      <c r="Q111" s="131">
        <f>C111*(Hypotheses!J75*Hypotheses!$D$19+Hypotheses!$D$14*(1-Hypotheses!J75))</f>
        <v>1.2393102374945995</v>
      </c>
      <c r="R111" s="115"/>
      <c r="S111" s="131">
        <f>C111*(Hypotheses!H75*Hypotheses!$D$21+Hypotheses!$D$14*(1-Hypotheses!H75))</f>
        <v>1.7350199999999998</v>
      </c>
      <c r="T111" s="131">
        <f>C111*(Hypotheses!I75*Hypotheses!$D$21+Hypotheses!$D$14*(1-Hypotheses!I75))</f>
        <v>2.0654909000048001</v>
      </c>
      <c r="U111" s="131">
        <f>C111*(Hypotheses!J75*Hypotheses!$D$21+Hypotheses!$D$14*(1-Hypotheses!J75))</f>
        <v>2.4785795250108005</v>
      </c>
      <c r="V111" s="115"/>
      <c r="W111" s="128">
        <f>-C111*Hypotheses!$D$31*Hypotheses!H75</f>
        <v>-8.2619999999999987</v>
      </c>
      <c r="X111" s="128">
        <f>-C111*Hypotheses!$D$31*Hypotheses!I75</f>
        <v>-41.309090000480033</v>
      </c>
      <c r="Y111" s="128">
        <f>-C111*Hypotheses!$D$31*Hypotheses!J75</f>
        <v>-82.617952501080083</v>
      </c>
      <c r="Z111" s="126">
        <f>-C111*Hypotheses!$D$30*Hypotheses!H75</f>
        <v>-2.0654999999999997</v>
      </c>
      <c r="AA111" s="126">
        <f>-C111*Hypotheses!$D$30*Hypotheses!I75</f>
        <v>-10.327272500120008</v>
      </c>
      <c r="AB111" s="126">
        <f>-C111*Hypotheses!$D$30*Hypotheses!J75</f>
        <v>-20.654488125270021</v>
      </c>
      <c r="AC111" s="115"/>
      <c r="AD111" s="126">
        <f>-C111*Hypotheses!$D$30*Hypotheses!H75+(O111+S111)/2</f>
        <v>-0.39244499999999993</v>
      </c>
      <c r="AE111" s="126">
        <f>-C111*Hypotheses!$D$30*Hypotheses!I75+(P111+T111)/2</f>
        <v>-8.5715997751188091</v>
      </c>
      <c r="AF111" s="126">
        <f>-C111*Hypotheses!$D$30*Hypotheses!J75+(Q111+U111)/2</f>
        <v>-18.79554324401732</v>
      </c>
      <c r="AG111" s="115"/>
      <c r="AH111" s="128">
        <f t="shared" si="6"/>
        <v>-1628.40187365</v>
      </c>
      <c r="AI111" s="128">
        <f t="shared" si="7"/>
        <v>-6868.9957138062882</v>
      </c>
      <c r="AJ111" s="128">
        <f t="shared" si="8"/>
        <v>-13419.738014001648</v>
      </c>
      <c r="AK111" s="126">
        <f t="shared" si="9"/>
        <v>-407.10046841249999</v>
      </c>
      <c r="AL111" s="126">
        <f t="shared" si="10"/>
        <v>-1717.2489284515721</v>
      </c>
      <c r="AM111" s="126">
        <f t="shared" si="11"/>
        <v>-3354.9345035004121</v>
      </c>
      <c r="AN111" s="115"/>
      <c r="AO111" s="131">
        <f t="shared" si="12"/>
        <v>317.53836536174998</v>
      </c>
      <c r="AP111" s="131">
        <f t="shared" si="13"/>
        <v>291.33539616096857</v>
      </c>
      <c r="AQ111" s="131">
        <f t="shared" si="14"/>
        <v>258.58168465999171</v>
      </c>
      <c r="AR111" s="115"/>
      <c r="AS111" s="131">
        <f t="shared" si="15"/>
        <v>341.96439346650004</v>
      </c>
      <c r="AT111" s="131">
        <f t="shared" si="16"/>
        <v>394.37033186806292</v>
      </c>
      <c r="AU111" s="131">
        <f t="shared" si="17"/>
        <v>459.87775487001642</v>
      </c>
      <c r="AV111" s="115"/>
      <c r="AW111" s="126">
        <f t="shared" si="18"/>
        <v>-89.562103050750011</v>
      </c>
      <c r="AX111" s="126">
        <f t="shared" si="19"/>
        <v>-1425.9135322906036</v>
      </c>
      <c r="AY111" s="126">
        <f t="shared" si="20"/>
        <v>-3096.3528188404202</v>
      </c>
      <c r="AZ111" s="115"/>
      <c r="BA111" s="126">
        <f t="shared" si="21"/>
        <v>-65.136074945999951</v>
      </c>
      <c r="BB111" s="126">
        <f t="shared" si="22"/>
        <v>-1322.8785965835091</v>
      </c>
      <c r="BC111" s="126">
        <f t="shared" si="23"/>
        <v>-2895.0567486303958</v>
      </c>
      <c r="BD111" s="115"/>
    </row>
    <row r="112" spans="1:56" x14ac:dyDescent="0.25">
      <c r="A112" s="94">
        <v>2057</v>
      </c>
      <c r="B112" s="139" cm="1">
        <f t="array" ref="B112">SUMPRODUCT((PARIS!$AA$4:'PARIS'!$AA$103=A112)*PARIS!$AD$4:$AD$103)+SUMPRODUCT((PARIS!$AB$4:'PARIS'!$AB$103=A112)*PARIS!$AD$4:$AD$103)+SUMPRODUCT((PARIS!$AU$4:'PARIS'!$AU$103=A112)*PARIS!$AX$4:$AX$103)</f>
        <v>30074.239999999998</v>
      </c>
      <c r="C112" s="139" cm="1">
        <f t="array" ref="C112">SUMPRODUCT((PARIS!$AA$4:'PARIS'!$AA$103=A112)*PARIS!$AE$4:$AE$103)+SUMPRODUCT((PARIS!$AB$4:'PARIS'!$AB$103=A112)*PARIS!$AE$4:$AE$103)+SUMPRODUCT((PARIS!$AU$4:'PARIS'!$AU$103=A112)*PARIS!$AY$4:$AY$103)</f>
        <v>1015.5347999999999</v>
      </c>
      <c r="D112" s="136" cm="1">
        <f t="array" ref="D112">SUMPRODUCT((PARIS!$AA$4:'PARIS'!$AA$103=A112)*PARIS!$AF$4:$AF$103)+SUMPRODUCT((PARIS!$AB$4:'PARIS'!$AB$103=A112)*PARIS!$AF$4:$AF$103)+SUMPRODUCT((PARIS!$AU$4:'PARIS'!$AU$103=A112)*PARIS!$AV$4:$AV$103)</f>
        <v>745.29</v>
      </c>
      <c r="E112" s="136" cm="1">
        <f t="array" ref="E112">SUMPRODUCT((PARIS!$AA$4:'PARIS'!$AA$103=A112)*PARIS!$AG$4:$AG$103)+SUMPRODUCT((PARIS!$AB$4:'PARIS'!$AB$103=A112)*PARIS!$AG$4:$AG$103)+SUMPRODUCT((PARIS!$AU$4:'PARIS'!$AU$103=A112)*PARIS!$AW$4:$AW$103)</f>
        <v>270.2448</v>
      </c>
      <c r="F112" s="136" cm="1">
        <f t="array" ref="F112">SUMPRODUCT((PARIS!$AA$4:'PARIS'!$AA$103=A112)*PARIS!$AH$4:$AH$103)+SUMPRODUCT((PARIS!$AB$4:'PARIS'!$AB$103=A112)*PARIS!$AH$4:$AH$103)+SUMPRODUCT((PARIS!$AU$4:'PARIS'!$AU$103=A112)*PARIS!$AZ$4:$AZ$103)</f>
        <v>77.212800000000001</v>
      </c>
      <c r="G112" s="136" cm="1">
        <f t="array" ref="G112">SUMPRODUCT((PARIS!$AA$4:'PARIS'!$AA$103=A112)*PARIS!$AI$4:$AI$103)+SUMPRODUCT((PARIS!$AB$4:'PARIS'!$AB$103=A112)*PARIS!$AI$4:$AI$103)+SUMPRODUCT((PARIS!$AU$4:'PARIS'!$AU$103=A112)*PARIS!$BA$4:$BA$103)</f>
        <v>38.606400000000001</v>
      </c>
      <c r="H112" s="115"/>
      <c r="I112" s="139">
        <f t="shared" si="24"/>
        <v>45057.951397500008</v>
      </c>
      <c r="J112" s="136">
        <f t="shared" si="25"/>
        <v>12607.285470000003</v>
      </c>
      <c r="K112" s="136">
        <f t="shared" si="25"/>
        <v>31392.265927499993</v>
      </c>
      <c r="L112" s="136">
        <f t="shared" si="25"/>
        <v>3000.488532779616</v>
      </c>
      <c r="M112" s="136">
        <f t="shared" si="25"/>
        <v>1905.8890693356534</v>
      </c>
      <c r="N112" s="115"/>
      <c r="O112" s="131">
        <f>C112*(Hypotheses!H76*Hypotheses!$D$19+Hypotheses!$D$14*(1-Hypotheses!H76))</f>
        <v>11.881757159999999</v>
      </c>
      <c r="P112" s="131">
        <f>C112*(Hypotheses!I76*Hypotheses!$D$19+Hypotheses!$D$14*(1-Hypotheses!I76))</f>
        <v>10.663135753050113</v>
      </c>
      <c r="Q112" s="131">
        <f>C112*(Hypotheses!J76*Hypotheses!$D$19+Hypotheses!$D$14*(1-Hypotheses!J76))</f>
        <v>9.1398589943627595</v>
      </c>
      <c r="R112" s="115"/>
      <c r="S112" s="131">
        <f>C112*(Hypotheses!H76*Hypotheses!$D$21+Hypotheses!$D$14*(1-Hypotheses!H76))</f>
        <v>12.795738479999999</v>
      </c>
      <c r="T112" s="131">
        <f>C112*(Hypotheses!I76*Hypotheses!$D$21+Hypotheses!$D$14*(1-Hypotheses!I76))</f>
        <v>15.232981293899766</v>
      </c>
      <c r="U112" s="131">
        <f>C112*(Hypotheses!J76*Hypotheses!$D$21+Hypotheses!$D$14*(1-Hypotheses!J76))</f>
        <v>18.279534811274477</v>
      </c>
      <c r="V112" s="115"/>
      <c r="W112" s="128">
        <f>-C112*Hypotheses!$D$31*Hypotheses!H76</f>
        <v>-60.932087999999993</v>
      </c>
      <c r="X112" s="128">
        <f>-C112*Hypotheses!$D$31*Hypotheses!I76</f>
        <v>-304.65636938997687</v>
      </c>
      <c r="Y112" s="128">
        <f>-C112*Hypotheses!$D$31*Hypotheses!J76</f>
        <v>-609.31172112744798</v>
      </c>
      <c r="Z112" s="126">
        <f>-C112*Hypotheses!$D$30*Hypotheses!H76</f>
        <v>-15.233021999999998</v>
      </c>
      <c r="AA112" s="126">
        <f>-C112*Hypotheses!$D$30*Hypotheses!I76</f>
        <v>-76.164092347494218</v>
      </c>
      <c r="AB112" s="126">
        <f>-C112*Hypotheses!$D$30*Hypotheses!J76</f>
        <v>-152.327930281862</v>
      </c>
      <c r="AC112" s="115"/>
      <c r="AD112" s="126">
        <f>-C112*Hypotheses!$D$30*Hypotheses!H76+(O112+S112)/2</f>
        <v>-2.89427418</v>
      </c>
      <c r="AE112" s="126">
        <f>-C112*Hypotheses!$D$30*Hypotheses!I76+(P112+T112)/2</f>
        <v>-63.216033824019277</v>
      </c>
      <c r="AF112" s="126">
        <f>-C112*Hypotheses!$D$30*Hypotheses!J76+(Q112+U112)/2</f>
        <v>-138.61823337904337</v>
      </c>
      <c r="AG112" s="115"/>
      <c r="AH112" s="128">
        <f t="shared" si="6"/>
        <v>-1689.33396165</v>
      </c>
      <c r="AI112" s="128">
        <f t="shared" si="7"/>
        <v>-7173.6520831962653</v>
      </c>
      <c r="AJ112" s="128">
        <f t="shared" si="8"/>
        <v>-14029.049735129096</v>
      </c>
      <c r="AK112" s="126">
        <f t="shared" si="9"/>
        <v>-422.3334904125</v>
      </c>
      <c r="AL112" s="126">
        <f t="shared" si="10"/>
        <v>-1793.4130207990663</v>
      </c>
      <c r="AM112" s="126">
        <f t="shared" si="11"/>
        <v>-3507.262433782274</v>
      </c>
      <c r="AN112" s="115"/>
      <c r="AO112" s="131">
        <f t="shared" si="12"/>
        <v>329.42012252174999</v>
      </c>
      <c r="AP112" s="131">
        <f t="shared" si="13"/>
        <v>301.99853191401871</v>
      </c>
      <c r="AQ112" s="131">
        <f t="shared" si="14"/>
        <v>267.72154365435449</v>
      </c>
      <c r="AR112" s="115"/>
      <c r="AS112" s="131">
        <f t="shared" si="15"/>
        <v>354.76013194650005</v>
      </c>
      <c r="AT112" s="131">
        <f t="shared" si="16"/>
        <v>409.60331316196266</v>
      </c>
      <c r="AU112" s="131">
        <f t="shared" si="17"/>
        <v>478.15728968129088</v>
      </c>
      <c r="AV112" s="115"/>
      <c r="AW112" s="126">
        <f t="shared" si="18"/>
        <v>-92.91336789075001</v>
      </c>
      <c r="AX112" s="126">
        <f t="shared" si="19"/>
        <v>-1491.4144888850476</v>
      </c>
      <c r="AY112" s="126">
        <f t="shared" si="20"/>
        <v>-3239.5408901279197</v>
      </c>
      <c r="AZ112" s="115"/>
      <c r="BA112" s="126">
        <f t="shared" si="21"/>
        <v>-67.573358465999945</v>
      </c>
      <c r="BB112" s="126">
        <f t="shared" si="22"/>
        <v>-1383.8097076371037</v>
      </c>
      <c r="BC112" s="126">
        <f t="shared" si="23"/>
        <v>-3029.1051441009831</v>
      </c>
      <c r="BD112" s="115"/>
    </row>
    <row r="113" spans="1:56" x14ac:dyDescent="0.25">
      <c r="A113" s="94">
        <v>2058</v>
      </c>
      <c r="B113" s="139" cm="1">
        <f t="array" ref="B113">SUMPRODUCT((PARIS!$AA$4:'PARIS'!$AA$103=A113)*PARIS!$AD$4:$AD$103)+SUMPRODUCT((PARIS!$AB$4:'PARIS'!$AB$103=A113)*PARIS!$AD$4:$AD$103)+SUMPRODUCT((PARIS!$AU$4:'PARIS'!$AU$103=A113)*PARIS!$AX$4:$AX$103)</f>
        <v>32643.599999999999</v>
      </c>
      <c r="C113" s="139" cm="1">
        <f t="array" ref="C113">SUMPRODUCT((PARIS!$AA$4:'PARIS'!$AA$103=A113)*PARIS!$AE$4:$AE$103)+SUMPRODUCT((PARIS!$AB$4:'PARIS'!$AB$103=A113)*PARIS!$AE$4:$AE$103)+SUMPRODUCT((PARIS!$AU$4:'PARIS'!$AU$103=A113)*PARIS!$AY$4:$AY$103)</f>
        <v>665.351</v>
      </c>
      <c r="D113" s="136" cm="1">
        <f t="array" ref="D113">SUMPRODUCT((PARIS!$AA$4:'PARIS'!$AA$103=A113)*PARIS!$AF$4:$AF$103)+SUMPRODUCT((PARIS!$AB$4:'PARIS'!$AB$103=A113)*PARIS!$AF$4:$AF$103)+SUMPRODUCT((PARIS!$AU$4:'PARIS'!$AU$103=A113)*PARIS!$AV$4:$AV$103)</f>
        <v>169.04</v>
      </c>
      <c r="E113" s="136" cm="1">
        <f t="array" ref="E113">SUMPRODUCT((PARIS!$AA$4:'PARIS'!$AA$103=A113)*PARIS!$AG$4:$AG$103)+SUMPRODUCT((PARIS!$AB$4:'PARIS'!$AB$103=A113)*PARIS!$AG$4:$AG$103)+SUMPRODUCT((PARIS!$AU$4:'PARIS'!$AU$103=A113)*PARIS!$AW$4:$AW$103)</f>
        <v>496.31099999999998</v>
      </c>
      <c r="F113" s="136" cm="1">
        <f t="array" ref="F113">SUMPRODUCT((PARIS!$AA$4:'PARIS'!$AA$103=A113)*PARIS!$AH$4:$AH$103)+SUMPRODUCT((PARIS!$AB$4:'PARIS'!$AB$103=A113)*PARIS!$AH$4:$AH$103)+SUMPRODUCT((PARIS!$AU$4:'PARIS'!$AU$103=A113)*PARIS!$AZ$4:$AZ$103)</f>
        <v>70.259205333333341</v>
      </c>
      <c r="G113" s="136" cm="1">
        <f t="array" ref="G113">SUMPRODUCT((PARIS!$AA$4:'PARIS'!$AA$103=A113)*PARIS!$AI$4:$AI$103)+SUMPRODUCT((PARIS!$AB$4:'PARIS'!$AB$103=A113)*PARIS!$AI$4:$AI$103)+SUMPRODUCT((PARIS!$AU$4:'PARIS'!$AU$103=A113)*PARIS!$BA$4:$BA$103)</f>
        <v>50.185146666666668</v>
      </c>
      <c r="H113" s="115"/>
      <c r="I113" s="139">
        <f t="shared" si="24"/>
        <v>45723.302397500011</v>
      </c>
      <c r="J113" s="136">
        <f t="shared" si="25"/>
        <v>12776.325470000003</v>
      </c>
      <c r="K113" s="136">
        <f t="shared" si="25"/>
        <v>31888.576927499995</v>
      </c>
      <c r="L113" s="136">
        <f t="shared" si="25"/>
        <v>3070.7477381129493</v>
      </c>
      <c r="M113" s="136">
        <f t="shared" si="25"/>
        <v>1956.0742160023201</v>
      </c>
      <c r="N113" s="115"/>
      <c r="O113" s="131">
        <f>C113*(Hypotheses!H77*Hypotheses!$D$19+Hypotheses!$D$14*(1-Hypotheses!H77))</f>
        <v>7.7846067000000003</v>
      </c>
      <c r="P113" s="131">
        <f>C113*(Hypotheses!I77*Hypotheses!$D$19+Hypotheses!$D$14*(1-Hypotheses!I77))</f>
        <v>6.986193587999554</v>
      </c>
      <c r="Q113" s="131">
        <f>C113*(Hypotheses!J77*Hypotheses!$D$19+Hypotheses!$D$14*(1-Hypotheses!J77))</f>
        <v>5.9881771979989988</v>
      </c>
      <c r="R113" s="115"/>
      <c r="S113" s="131">
        <f>C113*(Hypotheses!H77*Hypotheses!$D$21+Hypotheses!$D$14*(1-Hypotheses!H77))</f>
        <v>8.3834225999999994</v>
      </c>
      <c r="T113" s="131">
        <f>C113*(Hypotheses!I77*Hypotheses!$D$21+Hypotheses!$D$14*(1-Hypotheses!I77))</f>
        <v>9.9802488240008902</v>
      </c>
      <c r="U113" s="131">
        <f>C113*(Hypotheses!J77*Hypotheses!$D$21+Hypotheses!$D$14*(1-Hypotheses!J77))</f>
        <v>11.976281604002002</v>
      </c>
      <c r="V113" s="115"/>
      <c r="W113" s="128">
        <f>-C113*Hypotheses!$D$31*Hypotheses!H77</f>
        <v>-39.921060000000004</v>
      </c>
      <c r="X113" s="128">
        <f>-C113*Hypotheses!$D$31*Hypotheses!I77</f>
        <v>-199.60368240008904</v>
      </c>
      <c r="Y113" s="128">
        <f>-C113*Hypotheses!$D$31*Hypotheses!J77</f>
        <v>-399.20696040020027</v>
      </c>
      <c r="Z113" s="126">
        <f>-C113*Hypotheses!$D$30*Hypotheses!H77</f>
        <v>-9.9802650000000011</v>
      </c>
      <c r="AA113" s="126">
        <f>-C113*Hypotheses!$D$30*Hypotheses!I77</f>
        <v>-49.90092060002226</v>
      </c>
      <c r="AB113" s="126">
        <f>-C113*Hypotheses!$D$30*Hypotheses!J77</f>
        <v>-99.801740100050068</v>
      </c>
      <c r="AC113" s="115"/>
      <c r="AD113" s="126">
        <f>-C113*Hypotheses!$D$30*Hypotheses!H77+(O113+S113)/2</f>
        <v>-1.8962503500000008</v>
      </c>
      <c r="AE113" s="126">
        <f>-C113*Hypotheses!$D$30*Hypotheses!I77+(P113+T113)/2</f>
        <v>-41.417699394022037</v>
      </c>
      <c r="AF113" s="126">
        <f>-C113*Hypotheses!$D$30*Hypotheses!J77+(Q113+U113)/2</f>
        <v>-90.819510699049573</v>
      </c>
      <c r="AG113" s="115"/>
      <c r="AH113" s="128">
        <f t="shared" si="6"/>
        <v>-1729.2550216499999</v>
      </c>
      <c r="AI113" s="128">
        <f t="shared" si="7"/>
        <v>-7373.2557655963546</v>
      </c>
      <c r="AJ113" s="128">
        <f t="shared" si="8"/>
        <v>-14428.256695529297</v>
      </c>
      <c r="AK113" s="126">
        <f t="shared" si="9"/>
        <v>-432.31375541249997</v>
      </c>
      <c r="AL113" s="126">
        <f t="shared" si="10"/>
        <v>-1843.3139413990887</v>
      </c>
      <c r="AM113" s="126">
        <f t="shared" si="11"/>
        <v>-3607.0641738823242</v>
      </c>
      <c r="AN113" s="115"/>
      <c r="AO113" s="131">
        <f t="shared" si="12"/>
        <v>337.20472922174997</v>
      </c>
      <c r="AP113" s="131">
        <f t="shared" si="13"/>
        <v>308.98472550201825</v>
      </c>
      <c r="AQ113" s="131">
        <f t="shared" si="14"/>
        <v>273.70972085235348</v>
      </c>
      <c r="AR113" s="115"/>
      <c r="AS113" s="131">
        <f t="shared" si="15"/>
        <v>363.14355454650007</v>
      </c>
      <c r="AT113" s="131">
        <f t="shared" si="16"/>
        <v>419.58356198596357</v>
      </c>
      <c r="AU113" s="131">
        <f t="shared" si="17"/>
        <v>490.13357128529287</v>
      </c>
      <c r="AV113" s="115"/>
      <c r="AW113" s="126">
        <f t="shared" si="18"/>
        <v>-95.109026190750001</v>
      </c>
      <c r="AX113" s="126">
        <f t="shared" si="19"/>
        <v>-1534.3292158970703</v>
      </c>
      <c r="AY113" s="126">
        <f t="shared" si="20"/>
        <v>-3333.3544530299705</v>
      </c>
      <c r="AZ113" s="115"/>
      <c r="BA113" s="126">
        <f t="shared" si="21"/>
        <v>-69.170200865999902</v>
      </c>
      <c r="BB113" s="126">
        <f t="shared" si="22"/>
        <v>-1423.7303794131251</v>
      </c>
      <c r="BC113" s="126">
        <f t="shared" si="23"/>
        <v>-3116.9306025970313</v>
      </c>
      <c r="BD113" s="115"/>
    </row>
    <row r="114" spans="1:56" x14ac:dyDescent="0.25">
      <c r="A114" s="94">
        <v>2059</v>
      </c>
      <c r="B114" s="139" cm="1">
        <f t="array" ref="B114">SUMPRODUCT((PARIS!$AA$4:'PARIS'!$AA$103=A114)*PARIS!$AD$4:$AD$103)+SUMPRODUCT((PARIS!$AB$4:'PARIS'!$AB$103=A114)*PARIS!$AD$4:$AD$103)+SUMPRODUCT((PARIS!$AU$4:'PARIS'!$AU$103=A114)*PARIS!$AX$4:$AX$103)</f>
        <v>32384</v>
      </c>
      <c r="C114" s="139" cm="1">
        <f t="array" ref="C114">SUMPRODUCT((PARIS!$AA$4:'PARIS'!$AA$103=A114)*PARIS!$AE$4:$AE$103)+SUMPRODUCT((PARIS!$AB$4:'PARIS'!$AB$103=A114)*PARIS!$AE$4:$AE$103)+SUMPRODUCT((PARIS!$AU$4:'PARIS'!$AU$103=A114)*PARIS!$AY$4:$AY$103)</f>
        <v>647.68000000000006</v>
      </c>
      <c r="D114" s="136" cm="1">
        <f t="array" ref="D114">SUMPRODUCT((PARIS!$AA$4:'PARIS'!$AA$103=A114)*PARIS!$AF$4:$AF$103)+SUMPRODUCT((PARIS!$AB$4:'PARIS'!$AB$103=A114)*PARIS!$AF$4:$AF$103)+SUMPRODUCT((PARIS!$AU$4:'PARIS'!$AU$103=A114)*PARIS!$AV$4:$AV$103)</f>
        <v>0</v>
      </c>
      <c r="E114" s="136" cm="1">
        <f t="array" ref="E114">SUMPRODUCT((PARIS!$AA$4:'PARIS'!$AA$103=A114)*PARIS!$AG$4:$AG$103)+SUMPRODUCT((PARIS!$AB$4:'PARIS'!$AB$103=A114)*PARIS!$AG$4:$AG$103)+SUMPRODUCT((PARIS!$AU$4:'PARIS'!$AU$103=A114)*PARIS!$AW$4:$AW$103)</f>
        <v>647.68000000000006</v>
      </c>
      <c r="F114" s="136" cm="1">
        <f t="array" ref="F114">SUMPRODUCT((PARIS!$AA$4:'PARIS'!$AA$103=A114)*PARIS!$AH$4:$AH$103)+SUMPRODUCT((PARIS!$AB$4:'PARIS'!$AB$103=A114)*PARIS!$AH$4:$AH$103)+SUMPRODUCT((PARIS!$AU$4:'PARIS'!$AU$103=A114)*PARIS!$AZ$4:$AZ$103)</f>
        <v>53.061866666666667</v>
      </c>
      <c r="G114" s="136" cm="1">
        <f t="array" ref="G114">SUMPRODUCT((PARIS!$AA$4:'PARIS'!$AA$103=A114)*PARIS!$AI$4:$AI$103)+SUMPRODUCT((PARIS!$AB$4:'PARIS'!$AB$103=A114)*PARIS!$AI$4:$AI$103)+SUMPRODUCT((PARIS!$AU$4:'PARIS'!$AU$103=A114)*PARIS!$BA$4:$BA$103)</f>
        <v>37.901333333333334</v>
      </c>
      <c r="H114" s="115"/>
      <c r="I114" s="139">
        <f t="shared" si="24"/>
        <v>46370.982397500011</v>
      </c>
      <c r="J114" s="136">
        <f t="shared" si="25"/>
        <v>12776.325470000003</v>
      </c>
      <c r="K114" s="136">
        <f t="shared" si="25"/>
        <v>32536.256927499995</v>
      </c>
      <c r="L114" s="136">
        <f t="shared" si="25"/>
        <v>3123.8096047796157</v>
      </c>
      <c r="M114" s="136">
        <f t="shared" si="25"/>
        <v>1993.9755493356533</v>
      </c>
      <c r="N114" s="115"/>
      <c r="O114" s="131">
        <f>C114*(Hypotheses!H78*Hypotheses!$D$19+Hypotheses!$D$14*(1-Hypotheses!H78))</f>
        <v>7.5778560000000006</v>
      </c>
      <c r="P114" s="131">
        <f>C114*(Hypotheses!I78*Hypotheses!$D$19+Hypotheses!$D$14*(1-Hypotheses!I78))</f>
        <v>6.8006447753508086</v>
      </c>
      <c r="Q114" s="131">
        <f>C114*(Hypotheses!J78*Hypotheses!$D$19+Hypotheses!$D$14*(1-Hypotheses!J78))</f>
        <v>5.8291307445393183</v>
      </c>
      <c r="R114" s="115"/>
      <c r="S114" s="131">
        <f>C114*(Hypotheses!H78*Hypotheses!$D$21+Hypotheses!$D$14*(1-Hypotheses!H78))</f>
        <v>8.1607680000000009</v>
      </c>
      <c r="T114" s="131">
        <f>C114*(Hypotheses!I78*Hypotheses!$D$21+Hypotheses!$D$14*(1-Hypotheses!I78))</f>
        <v>9.7151904492983849</v>
      </c>
      <c r="U114" s="131">
        <f>C114*(Hypotheses!J78*Hypotheses!$D$21+Hypotheses!$D$14*(1-Hypotheses!J78))</f>
        <v>11.658218510921367</v>
      </c>
      <c r="V114" s="115"/>
      <c r="W114" s="128">
        <f>-C114*Hypotheses!$D$31*Hypotheses!H78</f>
        <v>-38.860800000000005</v>
      </c>
      <c r="X114" s="128">
        <f>-C114*Hypotheses!$D$31*Hypotheses!I78</f>
        <v>-194.30304492983848</v>
      </c>
      <c r="Y114" s="128">
        <f>-C114*Hypotheses!$D$31*Hypotheses!J78</f>
        <v>-388.60585109213656</v>
      </c>
      <c r="Z114" s="126">
        <f>-C114*Hypotheses!$D$30*Hypotheses!H78</f>
        <v>-9.7152000000000012</v>
      </c>
      <c r="AA114" s="126">
        <f>-C114*Hypotheses!$D$30*Hypotheses!I78</f>
        <v>-48.57576123245962</v>
      </c>
      <c r="AB114" s="126">
        <f>-C114*Hypotheses!$D$30*Hypotheses!J78</f>
        <v>-97.15146277303414</v>
      </c>
      <c r="AC114" s="115"/>
      <c r="AD114" s="126">
        <f>-C114*Hypotheses!$D$30*Hypotheses!H78+(O114+S114)/2</f>
        <v>-1.8458880000000004</v>
      </c>
      <c r="AE114" s="126">
        <f>-C114*Hypotheses!$D$30*Hypotheses!I78+(P114+T114)/2</f>
        <v>-40.317843620135022</v>
      </c>
      <c r="AF114" s="126">
        <f>-C114*Hypotheses!$D$30*Hypotheses!J78+(Q114+U114)/2</f>
        <v>-88.407788145303797</v>
      </c>
      <c r="AG114" s="115"/>
      <c r="AH114" s="128">
        <f t="shared" si="6"/>
        <v>-1768.1158216499998</v>
      </c>
      <c r="AI114" s="128">
        <f t="shared" si="7"/>
        <v>-7567.5588105261932</v>
      </c>
      <c r="AJ114" s="128">
        <f t="shared" si="8"/>
        <v>-14816.862546621433</v>
      </c>
      <c r="AK114" s="126">
        <f t="shared" si="9"/>
        <v>-442.02895541249995</v>
      </c>
      <c r="AL114" s="126">
        <f t="shared" si="10"/>
        <v>-1891.8897026315483</v>
      </c>
      <c r="AM114" s="126">
        <f t="shared" si="11"/>
        <v>-3704.2156366553581</v>
      </c>
      <c r="AN114" s="115"/>
      <c r="AO114" s="131">
        <f t="shared" si="12"/>
        <v>344.78258522174997</v>
      </c>
      <c r="AP114" s="131">
        <f t="shared" si="13"/>
        <v>315.78537027736905</v>
      </c>
      <c r="AQ114" s="131">
        <f t="shared" si="14"/>
        <v>279.53885159689281</v>
      </c>
      <c r="AR114" s="115"/>
      <c r="AS114" s="131">
        <f t="shared" si="15"/>
        <v>371.30432254650009</v>
      </c>
      <c r="AT114" s="131">
        <f t="shared" si="16"/>
        <v>429.29875243526197</v>
      </c>
      <c r="AU114" s="131">
        <f t="shared" si="17"/>
        <v>501.79178979621423</v>
      </c>
      <c r="AV114" s="115"/>
      <c r="AW114" s="126">
        <f t="shared" si="18"/>
        <v>-97.246370190749985</v>
      </c>
      <c r="AX114" s="126">
        <f t="shared" si="19"/>
        <v>-1576.1043323541792</v>
      </c>
      <c r="AY114" s="126">
        <f t="shared" si="20"/>
        <v>-3424.6767850584652</v>
      </c>
      <c r="AZ114" s="115"/>
      <c r="BA114" s="126">
        <f t="shared" si="21"/>
        <v>-70.724632865999865</v>
      </c>
      <c r="BB114" s="126">
        <f t="shared" si="22"/>
        <v>-1462.5909501962863</v>
      </c>
      <c r="BC114" s="126">
        <f t="shared" si="23"/>
        <v>-3202.4238468591439</v>
      </c>
      <c r="BD114" s="115"/>
    </row>
    <row r="115" spans="1:56" x14ac:dyDescent="0.25">
      <c r="A115" s="94">
        <v>2060</v>
      </c>
      <c r="B115" s="139" cm="1">
        <f t="array" ref="B115">SUMPRODUCT((PARIS!$AA$4:'PARIS'!$AA$103=A115)*PARIS!$AD$4:$AD$103)+SUMPRODUCT((PARIS!$AB$4:'PARIS'!$AB$103=A115)*PARIS!$AD$4:$AD$103)+SUMPRODUCT((PARIS!$AU$4:'PARIS'!$AU$103=A115)*PARIS!$AX$4:$AX$103)</f>
        <v>185997.72998</v>
      </c>
      <c r="C115" s="139" cm="1">
        <f t="array" ref="C115">SUMPRODUCT((PARIS!$AA$4:'PARIS'!$AA$103=A115)*PARIS!$AE$4:$AE$103)+SUMPRODUCT((PARIS!$AB$4:'PARIS'!$AB$103=A115)*PARIS!$AE$4:$AE$103)+SUMPRODUCT((PARIS!$AU$4:'PARIS'!$AU$103=A115)*PARIS!$AY$4:$AY$103)</f>
        <v>4223.6318700000002</v>
      </c>
      <c r="D115" s="136" cm="1">
        <f t="array" ref="D115">SUMPRODUCT((PARIS!$AA$4:'PARIS'!$AA$103=A115)*PARIS!$AF$4:$AF$103)+SUMPRODUCT((PARIS!$AB$4:'PARIS'!$AB$103=A115)*PARIS!$AF$4:$AF$103)+SUMPRODUCT((PARIS!$AU$4:'PARIS'!$AU$103=A115)*PARIS!$AV$4:$AV$103)</f>
        <v>1346.2497000000001</v>
      </c>
      <c r="E115" s="136" cm="1">
        <f t="array" ref="E115">SUMPRODUCT((PARIS!$AA$4:'PARIS'!$AA$103=A115)*PARIS!$AG$4:$AG$103)+SUMPRODUCT((PARIS!$AB$4:'PARIS'!$AB$103=A115)*PARIS!$AG$4:$AG$103)+SUMPRODUCT((PARIS!$AU$4:'PARIS'!$AU$103=A115)*PARIS!$AW$4:$AW$103)</f>
        <v>2877.3821699999999</v>
      </c>
      <c r="F115" s="136" cm="1">
        <f t="array" ref="F115">SUMPRODUCT((PARIS!$AA$4:'PARIS'!$AA$103=A115)*PARIS!$AH$4:$AH$103)+SUMPRODUCT((PARIS!$AB$4:'PARIS'!$AB$103=A115)*PARIS!$AH$4:$AH$103)+SUMPRODUCT((PARIS!$AU$4:'PARIS'!$AU$103=A115)*PARIS!$AZ$4:$AZ$103)</f>
        <v>298.24272000000002</v>
      </c>
      <c r="G115" s="136" cm="1">
        <f t="array" ref="G115">SUMPRODUCT((PARIS!$AA$4:'PARIS'!$AA$103=A115)*PARIS!$AI$4:$AI$103)+SUMPRODUCT((PARIS!$AB$4:'PARIS'!$AB$103=A115)*PARIS!$AI$4:$AI$103)+SUMPRODUCT((PARIS!$AU$4:'PARIS'!$AU$103=A115)*PARIS!$BA$4:$BA$103)</f>
        <v>149.12136000000001</v>
      </c>
      <c r="H115" s="115"/>
      <c r="I115" s="139">
        <f t="shared" si="24"/>
        <v>50594.614267500008</v>
      </c>
      <c r="J115" s="136">
        <f t="shared" si="25"/>
        <v>14122.575170000004</v>
      </c>
      <c r="K115" s="136">
        <f t="shared" si="25"/>
        <v>35413.639097499996</v>
      </c>
      <c r="L115" s="136">
        <f t="shared" si="25"/>
        <v>3422.0523247796159</v>
      </c>
      <c r="M115" s="136">
        <f t="shared" si="25"/>
        <v>2143.0969093356534</v>
      </c>
      <c r="N115" s="115"/>
      <c r="O115" s="131">
        <f>C115*(Hypotheses!H79*Hypotheses!$D$19+Hypotheses!$D$14*(1-Hypotheses!H79))</f>
        <v>49.416492879000003</v>
      </c>
      <c r="P115" s="131">
        <f>C115*(Hypotheses!I79*Hypotheses!$D$19+Hypotheses!$D$14*(1-Hypotheses!I79))</f>
        <v>44.348153522942937</v>
      </c>
      <c r="Q115" s="131">
        <f>C115*(Hypotheses!J79*Hypotheses!$D$19+Hypotheses!$D$14*(1-Hypotheses!J79))</f>
        <v>38.012729327871618</v>
      </c>
      <c r="R115" s="115"/>
      <c r="S115" s="131">
        <f>C115*(Hypotheses!H79*Hypotheses!$D$21+Hypotheses!$D$14*(1-Hypotheses!H79))</f>
        <v>53.217761562</v>
      </c>
      <c r="T115" s="131">
        <f>C115*(Hypotheses!I79*Hypotheses!$D$21+Hypotheses!$D$14*(1-Hypotheses!I79))</f>
        <v>63.354440274114125</v>
      </c>
      <c r="U115" s="131">
        <f>C115*(Hypotheses!J79*Hypotheses!$D$21+Hypotheses!$D$14*(1-Hypotheses!J79))</f>
        <v>76.025288664256777</v>
      </c>
      <c r="V115" s="115"/>
      <c r="W115" s="128">
        <f>-C115*Hypotheses!$D$31*Hypotheses!H79</f>
        <v>-253.41791220000002</v>
      </c>
      <c r="X115" s="128">
        <f>-C115*Hypotheses!$D$31*Hypotheses!I79</f>
        <v>-1267.0857834114124</v>
      </c>
      <c r="Y115" s="128">
        <f>-C115*Hypotheses!$D$31*Hypotheses!J79</f>
        <v>-2534.1706224256777</v>
      </c>
      <c r="Z115" s="126">
        <f>-C115*Hypotheses!$D$30*Hypotheses!H79</f>
        <v>-63.354478050000004</v>
      </c>
      <c r="AA115" s="126">
        <f>-C115*Hypotheses!$D$30*Hypotheses!I79</f>
        <v>-316.77144585285311</v>
      </c>
      <c r="AB115" s="126">
        <f>-C115*Hypotheses!$D$30*Hypotheses!J79</f>
        <v>-633.54265560641943</v>
      </c>
      <c r="AC115" s="115"/>
      <c r="AD115" s="126">
        <f>-C115*Hypotheses!$D$30*Hypotheses!H79+(O115+S115)/2</f>
        <v>-12.037350829500006</v>
      </c>
      <c r="AE115" s="126">
        <f>-C115*Hypotheses!$D$30*Hypotheses!I79+(P115+T115)/2</f>
        <v>-262.92014895432459</v>
      </c>
      <c r="AF115" s="126">
        <f>-C115*Hypotheses!$D$30*Hypotheses!J79+(Q115+U115)/2</f>
        <v>-576.52364661035517</v>
      </c>
      <c r="AG115" s="115"/>
      <c r="AH115" s="128">
        <f t="shared" si="6"/>
        <v>-2021.5337338499999</v>
      </c>
      <c r="AI115" s="128">
        <f t="shared" si="7"/>
        <v>-8834.6445939376063</v>
      </c>
      <c r="AJ115" s="128">
        <f t="shared" si="8"/>
        <v>-17351.03316904711</v>
      </c>
      <c r="AK115" s="126">
        <f t="shared" si="9"/>
        <v>-505.38343346249997</v>
      </c>
      <c r="AL115" s="126">
        <f t="shared" si="10"/>
        <v>-2208.6611484844016</v>
      </c>
      <c r="AM115" s="126">
        <f t="shared" si="11"/>
        <v>-4337.7582922617776</v>
      </c>
      <c r="AN115" s="115"/>
      <c r="AO115" s="131">
        <f t="shared" si="12"/>
        <v>394.19907810074994</v>
      </c>
      <c r="AP115" s="131">
        <f t="shared" si="13"/>
        <v>360.13352380031199</v>
      </c>
      <c r="AQ115" s="131">
        <f t="shared" si="14"/>
        <v>317.55158092476444</v>
      </c>
      <c r="AR115" s="115"/>
      <c r="AS115" s="131">
        <f t="shared" si="15"/>
        <v>424.52208410850011</v>
      </c>
      <c r="AT115" s="131">
        <f t="shared" si="16"/>
        <v>492.65319270937607</v>
      </c>
      <c r="AU115" s="131">
        <f t="shared" si="17"/>
        <v>577.81707846047107</v>
      </c>
      <c r="AV115" s="115"/>
      <c r="AW115" s="126">
        <f t="shared" si="18"/>
        <v>-111.18435536175002</v>
      </c>
      <c r="AX115" s="126">
        <f t="shared" si="19"/>
        <v>-1848.5276246840895</v>
      </c>
      <c r="AY115" s="126">
        <f t="shared" si="20"/>
        <v>-4020.2067113370131</v>
      </c>
      <c r="AZ115" s="115"/>
      <c r="BA115" s="126">
        <f t="shared" si="21"/>
        <v>-80.861349353999856</v>
      </c>
      <c r="BB115" s="126">
        <f t="shared" si="22"/>
        <v>-1716.0079557750255</v>
      </c>
      <c r="BC115" s="126">
        <f t="shared" si="23"/>
        <v>-3759.9412138013067</v>
      </c>
      <c r="BD115" s="115"/>
    </row>
    <row r="116" spans="1:56" x14ac:dyDescent="0.25">
      <c r="A116" s="94">
        <v>2061</v>
      </c>
      <c r="B116" s="139" cm="1">
        <f t="array" ref="B116">SUMPRODUCT((PARIS!$AA$4:'PARIS'!$AA$103=A116)*PARIS!$AD$4:$AD$103)+SUMPRODUCT((PARIS!$AB$4:'PARIS'!$AB$103=A116)*PARIS!$AD$4:$AD$103)+SUMPRODUCT((PARIS!$AU$4:'PARIS'!$AU$103=A116)*PARIS!$AX$4:$AX$103)</f>
        <v>51462.76</v>
      </c>
      <c r="C116" s="139" cm="1">
        <f t="array" ref="C116">SUMPRODUCT((PARIS!$AA$4:'PARIS'!$AA$103=A116)*PARIS!$AE$4:$AE$103)+SUMPRODUCT((PARIS!$AB$4:'PARIS'!$AB$103=A116)*PARIS!$AE$4:$AE$103)+SUMPRODUCT((PARIS!$AU$4:'PARIS'!$AU$103=A116)*PARIS!$AY$4:$AY$103)</f>
        <v>1142.1170999999999</v>
      </c>
      <c r="D116" s="136" cm="1">
        <f t="array" ref="D116">SUMPRODUCT((PARIS!$AA$4:'PARIS'!$AA$103=A116)*PARIS!$AF$4:$AF$103)+SUMPRODUCT((PARIS!$AB$4:'PARIS'!$AB$103=A116)*PARIS!$AF$4:$AF$103)+SUMPRODUCT((PARIS!$AU$4:'PARIS'!$AU$103=A116)*PARIS!$AV$4:$AV$103)</f>
        <v>84</v>
      </c>
      <c r="E116" s="136" cm="1">
        <f t="array" ref="E116">SUMPRODUCT((PARIS!$AA$4:'PARIS'!$AA$103=A116)*PARIS!$AG$4:$AG$103)+SUMPRODUCT((PARIS!$AB$4:'PARIS'!$AB$103=A116)*PARIS!$AG$4:$AG$103)+SUMPRODUCT((PARIS!$AU$4:'PARIS'!$AU$103=A116)*PARIS!$AW$4:$AW$103)</f>
        <v>1058.1170999999999</v>
      </c>
      <c r="F116" s="136" cm="1">
        <f t="array" ref="F116">SUMPRODUCT((PARIS!$AA$4:'PARIS'!$AA$103=A116)*PARIS!$AH$4:$AH$103)+SUMPRODUCT((PARIS!$AB$4:'PARIS'!$AB$103=A116)*PARIS!$AH$4:$AH$103)+SUMPRODUCT((PARIS!$AU$4:'PARIS'!$AU$103=A116)*PARIS!$AZ$4:$AZ$103)</f>
        <v>67.284586666666669</v>
      </c>
      <c r="G116" s="136" cm="1">
        <f t="array" ref="G116">SUMPRODUCT((PARIS!$AA$4:'PARIS'!$AA$103=A116)*PARIS!$AI$4:$AI$103)+SUMPRODUCT((PARIS!$AB$4:'PARIS'!$AB$103=A116)*PARIS!$AI$4:$AI$103)+SUMPRODUCT((PARIS!$AU$4:'PARIS'!$AU$103=A116)*PARIS!$BA$4:$BA$103)</f>
        <v>57.247253333333333</v>
      </c>
      <c r="H116" s="115"/>
      <c r="I116" s="139">
        <f t="shared" si="24"/>
        <v>51736.731367500011</v>
      </c>
      <c r="J116" s="136">
        <f t="shared" si="25"/>
        <v>14206.575170000004</v>
      </c>
      <c r="K116" s="136">
        <f t="shared" si="25"/>
        <v>36471.756197499999</v>
      </c>
      <c r="L116" s="136">
        <f t="shared" si="25"/>
        <v>3489.3369114462826</v>
      </c>
      <c r="M116" s="136">
        <f t="shared" si="25"/>
        <v>2200.3441626689869</v>
      </c>
      <c r="N116" s="115"/>
      <c r="O116" s="131">
        <f>C116*(Hypotheses!H80*Hypotheses!$D$19+Hypotheses!$D$14*(1-Hypotheses!H80))</f>
        <v>13.36277007</v>
      </c>
      <c r="P116" s="131">
        <f>C116*(Hypotheses!I80*Hypotheses!$D$19+Hypotheses!$D$14*(1-Hypotheses!I80))</f>
        <v>11.992232647866038</v>
      </c>
      <c r="Q116" s="131">
        <f>C116*(Hypotheses!J80*Hypotheses!$D$19+Hypotheses!$D$14*(1-Hypotheses!J80))</f>
        <v>10.279060870198588</v>
      </c>
      <c r="R116" s="115"/>
      <c r="S116" s="131">
        <f>C116*(Hypotheses!H80*Hypotheses!$D$21+Hypotheses!$D$14*(1-Hypotheses!H80))</f>
        <v>14.390675459999999</v>
      </c>
      <c r="T116" s="131">
        <f>C116*(Hypotheses!I80*Hypotheses!$D$21+Hypotheses!$D$14*(1-Hypotheses!I80))</f>
        <v>17.131750304267921</v>
      </c>
      <c r="U116" s="131">
        <f>C116*(Hypotheses!J80*Hypotheses!$D$21+Hypotheses!$D$14*(1-Hypotheses!J80))</f>
        <v>20.558093859602828</v>
      </c>
      <c r="V116" s="115"/>
      <c r="W116" s="128">
        <f>-C116*Hypotheses!$D$31*Hypotheses!H80</f>
        <v>-68.527025999999992</v>
      </c>
      <c r="X116" s="128">
        <f>-C116*Hypotheses!$D$31*Hypotheses!I80</f>
        <v>-342.63451042679219</v>
      </c>
      <c r="Y116" s="128">
        <f>-C116*Hypotheses!$D$31*Hypotheses!J80</f>
        <v>-685.26886596028248</v>
      </c>
      <c r="Z116" s="126">
        <f>-C116*Hypotheses!$D$30*Hypotheses!H80</f>
        <v>-17.131756499999998</v>
      </c>
      <c r="AA116" s="126">
        <f>-C116*Hypotheses!$D$30*Hypotheses!I80</f>
        <v>-85.658627606698047</v>
      </c>
      <c r="AB116" s="126">
        <f>-C116*Hypotheses!$D$30*Hypotheses!J80</f>
        <v>-171.31721649007062</v>
      </c>
      <c r="AC116" s="115"/>
      <c r="AD116" s="126">
        <f>-C116*Hypotheses!$D$30*Hypotheses!H80+(O116+S116)/2</f>
        <v>-3.2550337349999978</v>
      </c>
      <c r="AE116" s="126">
        <f>-C116*Hypotheses!$D$30*Hypotheses!I80+(P116+T116)/2</f>
        <v>-71.096636130631069</v>
      </c>
      <c r="AF116" s="126">
        <f>-C116*Hypotheses!$D$30*Hypotheses!J80+(Q116+U116)/2</f>
        <v>-155.89863912516992</v>
      </c>
      <c r="AG116" s="115"/>
      <c r="AH116" s="128">
        <f t="shared" si="6"/>
        <v>-2090.0607598500001</v>
      </c>
      <c r="AI116" s="128">
        <f t="shared" si="7"/>
        <v>-9177.2791043643992</v>
      </c>
      <c r="AJ116" s="128">
        <f t="shared" si="8"/>
        <v>-18036.302035007393</v>
      </c>
      <c r="AK116" s="126">
        <f t="shared" si="9"/>
        <v>-522.51518996250002</v>
      </c>
      <c r="AL116" s="126">
        <f t="shared" si="10"/>
        <v>-2294.3197760910998</v>
      </c>
      <c r="AM116" s="126">
        <f t="shared" si="11"/>
        <v>-4509.0755087518482</v>
      </c>
      <c r="AN116" s="115"/>
      <c r="AO116" s="131">
        <f t="shared" si="12"/>
        <v>407.56184817074995</v>
      </c>
      <c r="AP116" s="131">
        <f t="shared" si="13"/>
        <v>372.12575644817804</v>
      </c>
      <c r="AQ116" s="131">
        <f t="shared" si="14"/>
        <v>327.83064179496301</v>
      </c>
      <c r="AR116" s="115"/>
      <c r="AS116" s="131">
        <f t="shared" si="15"/>
        <v>438.91275956850012</v>
      </c>
      <c r="AT116" s="131">
        <f t="shared" si="16"/>
        <v>509.78494301364401</v>
      </c>
      <c r="AU116" s="131">
        <f t="shared" si="17"/>
        <v>598.37517232007394</v>
      </c>
      <c r="AV116" s="115"/>
      <c r="AW116" s="126">
        <f t="shared" si="18"/>
        <v>-114.95334179175006</v>
      </c>
      <c r="AX116" s="126">
        <f t="shared" si="19"/>
        <v>-1922.1940196429218</v>
      </c>
      <c r="AY116" s="126">
        <f t="shared" si="20"/>
        <v>-4181.2448669568848</v>
      </c>
      <c r="AZ116" s="115"/>
      <c r="BA116" s="126">
        <f t="shared" si="21"/>
        <v>-83.602430393999896</v>
      </c>
      <c r="BB116" s="126">
        <f t="shared" si="22"/>
        <v>-1784.5348330774559</v>
      </c>
      <c r="BC116" s="126">
        <f t="shared" si="23"/>
        <v>-3910.7003364317743</v>
      </c>
      <c r="BD116" s="115"/>
    </row>
    <row r="117" spans="1:56" x14ac:dyDescent="0.25">
      <c r="A117" s="94">
        <v>2062</v>
      </c>
      <c r="B117" s="139" cm="1">
        <f t="array" ref="B117">SUMPRODUCT((PARIS!$AA$4:'PARIS'!$AA$103=A117)*PARIS!$AD$4:$AD$103)+SUMPRODUCT((PARIS!$AB$4:'PARIS'!$AB$103=A117)*PARIS!$AD$4:$AD$103)+SUMPRODUCT((PARIS!$AU$4:'PARIS'!$AU$103=A117)*PARIS!$AX$4:$AX$103)</f>
        <v>98409.5</v>
      </c>
      <c r="C117" s="139" cm="1">
        <f t="array" ref="C117">SUMPRODUCT((PARIS!$AA$4:'PARIS'!$AA$103=A117)*PARIS!$AE$4:$AE$103)+SUMPRODUCT((PARIS!$AB$4:'PARIS'!$AB$103=A117)*PARIS!$AE$4:$AE$103)+SUMPRODUCT((PARIS!$AU$4:'PARIS'!$AU$103=A117)*PARIS!$AY$4:$AY$103)</f>
        <v>2190.125</v>
      </c>
      <c r="D117" s="136" cm="1">
        <f t="array" ref="D117">SUMPRODUCT((PARIS!$AA$4:'PARIS'!$AA$103=A117)*PARIS!$AF$4:$AF$103)+SUMPRODUCT((PARIS!$AB$4:'PARIS'!$AB$103=A117)*PARIS!$AF$4:$AF$103)+SUMPRODUCT((PARIS!$AU$4:'PARIS'!$AU$103=A117)*PARIS!$AV$4:$AV$103)</f>
        <v>457.69499999999999</v>
      </c>
      <c r="E117" s="136" cm="1">
        <f t="array" ref="E117">SUMPRODUCT((PARIS!$AA$4:'PARIS'!$AA$103=A117)*PARIS!$AG$4:$AG$103)+SUMPRODUCT((PARIS!$AB$4:'PARIS'!$AB$103=A117)*PARIS!$AG$4:$AG$103)+SUMPRODUCT((PARIS!$AU$4:'PARIS'!$AU$103=A117)*PARIS!$AW$4:$AW$103)</f>
        <v>1732.4299999999998</v>
      </c>
      <c r="F117" s="136" cm="1">
        <f t="array" ref="F117">SUMPRODUCT((PARIS!$AA$4:'PARIS'!$AA$103=A117)*PARIS!$AH$4:$AH$103)+SUMPRODUCT((PARIS!$AB$4:'PARIS'!$AB$103=A117)*PARIS!$AH$4:$AH$103)+SUMPRODUCT((PARIS!$AU$4:'PARIS'!$AU$103=A117)*PARIS!$AZ$4:$AZ$103)</f>
        <v>133.27499999999998</v>
      </c>
      <c r="G117" s="136" cm="1">
        <f t="array" ref="G117">SUMPRODUCT((PARIS!$AA$4:'PARIS'!$AA$103=A117)*PARIS!$AI$4:$AI$103)+SUMPRODUCT((PARIS!$AB$4:'PARIS'!$AB$103=A117)*PARIS!$AI$4:$AI$103)+SUMPRODUCT((PARIS!$AU$4:'PARIS'!$AU$103=A117)*PARIS!$BA$4:$BA$103)</f>
        <v>97.957499999999982</v>
      </c>
      <c r="H117" s="115"/>
      <c r="I117" s="139">
        <f t="shared" si="24"/>
        <v>53926.856367500011</v>
      </c>
      <c r="J117" s="136">
        <f t="shared" si="25"/>
        <v>14664.270170000003</v>
      </c>
      <c r="K117" s="136">
        <f t="shared" si="25"/>
        <v>38204.186197499999</v>
      </c>
      <c r="L117" s="136">
        <f t="shared" si="25"/>
        <v>3622.6119114462826</v>
      </c>
      <c r="M117" s="136">
        <f t="shared" si="25"/>
        <v>2298.3016626689869</v>
      </c>
      <c r="N117" s="115"/>
      <c r="O117" s="131">
        <f>C117*(Hypotheses!H81*Hypotheses!$D$19+Hypotheses!$D$14*(1-Hypotheses!H81))</f>
        <v>25.6244625</v>
      </c>
      <c r="P117" s="131">
        <f>C117*(Hypotheses!I81*Hypotheses!$D$19+Hypotheses!$D$14*(1-Hypotheses!I81))</f>
        <v>22.996316103081185</v>
      </c>
      <c r="Q117" s="131">
        <f>C117*(Hypotheses!J81*Hypotheses!$D$19+Hypotheses!$D$14*(1-Hypotheses!J81))</f>
        <v>19.711133106932667</v>
      </c>
      <c r="R117" s="115"/>
      <c r="S117" s="131">
        <f>C117*(Hypotheses!H81*Hypotheses!$D$21+Hypotheses!$D$14*(1-Hypotheses!H81))</f>
        <v>27.595575</v>
      </c>
      <c r="T117" s="131">
        <f>C117*(Hypotheses!I81*Hypotheses!$D$21+Hypotheses!$D$14*(1-Hypotheses!I81))</f>
        <v>32.851867793837634</v>
      </c>
      <c r="U117" s="131">
        <f>C117*(Hypotheses!J81*Hypotheses!$D$21+Hypotheses!$D$14*(1-Hypotheses!J81))</f>
        <v>39.422233786134676</v>
      </c>
      <c r="V117" s="115"/>
      <c r="W117" s="128">
        <f>-C117*Hypotheses!$D$31*Hypotheses!H81</f>
        <v>-131.4075</v>
      </c>
      <c r="X117" s="128">
        <f>-C117*Hypotheses!$D$31*Hypotheses!I81</f>
        <v>-657.03677938376336</v>
      </c>
      <c r="Y117" s="128">
        <f>-C117*Hypotheses!$D$31*Hypotheses!J81</f>
        <v>-1314.0733786134674</v>
      </c>
      <c r="Z117" s="126">
        <f>-C117*Hypotheses!$D$30*Hypotheses!H81</f>
        <v>-32.851875</v>
      </c>
      <c r="AA117" s="126">
        <f>-C117*Hypotheses!$D$30*Hypotheses!I81</f>
        <v>-164.25919484594084</v>
      </c>
      <c r="AB117" s="126">
        <f>-C117*Hypotheses!$D$30*Hypotheses!J81</f>
        <v>-328.51834465336685</v>
      </c>
      <c r="AC117" s="115"/>
      <c r="AD117" s="126">
        <f>-C117*Hypotheses!$D$30*Hypotheses!H81+(O117+S117)/2</f>
        <v>-6.2418562499999979</v>
      </c>
      <c r="AE117" s="126">
        <f>-C117*Hypotheses!$D$30*Hypotheses!I81+(P117+T117)/2</f>
        <v>-136.33510289748142</v>
      </c>
      <c r="AF117" s="126">
        <f>-C117*Hypotheses!$D$30*Hypotheses!J81+(Q117+U117)/2</f>
        <v>-298.95166120683319</v>
      </c>
      <c r="AG117" s="115"/>
      <c r="AH117" s="128">
        <f t="shared" si="6"/>
        <v>-2221.4682598499999</v>
      </c>
      <c r="AI117" s="128">
        <f t="shared" si="7"/>
        <v>-9834.3158837481624</v>
      </c>
      <c r="AJ117" s="128">
        <f t="shared" si="8"/>
        <v>-19350.375413620859</v>
      </c>
      <c r="AK117" s="126">
        <f t="shared" si="9"/>
        <v>-555.36706496249997</v>
      </c>
      <c r="AL117" s="126">
        <f t="shared" si="10"/>
        <v>-2458.5789709370406</v>
      </c>
      <c r="AM117" s="126">
        <f t="shared" si="11"/>
        <v>-4837.5938534052148</v>
      </c>
      <c r="AN117" s="115"/>
      <c r="AO117" s="131">
        <f t="shared" si="12"/>
        <v>433.18631067074995</v>
      </c>
      <c r="AP117" s="131">
        <f t="shared" si="13"/>
        <v>395.12207255125924</v>
      </c>
      <c r="AQ117" s="131">
        <f t="shared" si="14"/>
        <v>347.54177490189568</v>
      </c>
      <c r="AR117" s="115"/>
      <c r="AS117" s="131">
        <f t="shared" si="15"/>
        <v>466.50833456850012</v>
      </c>
      <c r="AT117" s="131">
        <f t="shared" si="16"/>
        <v>542.63681080748165</v>
      </c>
      <c r="AU117" s="131">
        <f t="shared" si="17"/>
        <v>637.79740610620865</v>
      </c>
      <c r="AV117" s="115"/>
      <c r="AW117" s="126">
        <f t="shared" si="18"/>
        <v>-122.18075429175002</v>
      </c>
      <c r="AX117" s="126">
        <f t="shared" si="19"/>
        <v>-2063.4568983857812</v>
      </c>
      <c r="AY117" s="126">
        <f t="shared" si="20"/>
        <v>-4490.0520785033186</v>
      </c>
      <c r="AZ117" s="115"/>
      <c r="BA117" s="126">
        <f t="shared" si="21"/>
        <v>-88.858730393999849</v>
      </c>
      <c r="BB117" s="126">
        <f t="shared" si="22"/>
        <v>-1915.9421601295589</v>
      </c>
      <c r="BC117" s="126">
        <f t="shared" si="23"/>
        <v>-4199.7964472990061</v>
      </c>
      <c r="BD117" s="115"/>
    </row>
    <row r="118" spans="1:56" x14ac:dyDescent="0.25">
      <c r="A118" s="94">
        <v>2063</v>
      </c>
      <c r="B118" s="139" cm="1">
        <f t="array" ref="B118">SUMPRODUCT((PARIS!$AA$4:'PARIS'!$AA$103=A118)*PARIS!$AD$4:$AD$103)+SUMPRODUCT((PARIS!$AB$4:'PARIS'!$AB$103=A118)*PARIS!$AD$4:$AD$103)+SUMPRODUCT((PARIS!$AU$4:'PARIS'!$AU$103=A118)*PARIS!$AX$4:$AX$103)</f>
        <v>19407.5</v>
      </c>
      <c r="C118" s="139" cm="1">
        <f t="array" ref="C118">SUMPRODUCT((PARIS!$AA$4:'PARIS'!$AA$103=A118)*PARIS!$AE$4:$AE$103)+SUMPRODUCT((PARIS!$AB$4:'PARIS'!$AB$103=A118)*PARIS!$AE$4:$AE$103)+SUMPRODUCT((PARIS!$AU$4:'PARIS'!$AU$103=A118)*PARIS!$AY$4:$AY$103)</f>
        <v>388.15</v>
      </c>
      <c r="D118" s="136" cm="1">
        <f t="array" ref="D118">SUMPRODUCT((PARIS!$AA$4:'PARIS'!$AA$103=A118)*PARIS!$AF$4:$AF$103)+SUMPRODUCT((PARIS!$AB$4:'PARIS'!$AB$103=A118)*PARIS!$AF$4:$AF$103)+SUMPRODUCT((PARIS!$AU$4:'PARIS'!$AU$103=A118)*PARIS!$AV$4:$AV$103)</f>
        <v>0</v>
      </c>
      <c r="E118" s="136" cm="1">
        <f t="array" ref="E118">SUMPRODUCT((PARIS!$AA$4:'PARIS'!$AA$103=A118)*PARIS!$AG$4:$AG$103)+SUMPRODUCT((PARIS!$AB$4:'PARIS'!$AB$103=A118)*PARIS!$AG$4:$AG$103)+SUMPRODUCT((PARIS!$AU$4:'PARIS'!$AU$103=A118)*PARIS!$AW$4:$AW$103)</f>
        <v>388.15</v>
      </c>
      <c r="F118" s="136" cm="1">
        <f t="array" ref="F118">SUMPRODUCT((PARIS!$AA$4:'PARIS'!$AA$103=A118)*PARIS!$AH$4:$AH$103)+SUMPRODUCT((PARIS!$AB$4:'PARIS'!$AB$103=A118)*PARIS!$AH$4:$AH$103)+SUMPRODUCT((PARIS!$AU$4:'PARIS'!$AU$103=A118)*PARIS!$AZ$4:$AZ$103)</f>
        <v>29.388500000000001</v>
      </c>
      <c r="G118" s="136" cm="1">
        <f t="array" ref="G118">SUMPRODUCT((PARIS!$AA$4:'PARIS'!$AA$103=A118)*PARIS!$AI$4:$AI$103)+SUMPRODUCT((PARIS!$AB$4:'PARIS'!$AB$103=A118)*PARIS!$AI$4:$AI$103)+SUMPRODUCT((PARIS!$AU$4:'PARIS'!$AU$103=A118)*PARIS!$BA$4:$BA$103)</f>
        <v>29.388500000000001</v>
      </c>
      <c r="H118" s="115"/>
      <c r="I118" s="139">
        <f t="shared" si="24"/>
        <v>54315.006367500013</v>
      </c>
      <c r="J118" s="136">
        <f t="shared" si="25"/>
        <v>14664.270170000003</v>
      </c>
      <c r="K118" s="136">
        <f t="shared" si="25"/>
        <v>38592.336197500001</v>
      </c>
      <c r="L118" s="136">
        <f t="shared" si="25"/>
        <v>3652.0004114462827</v>
      </c>
      <c r="M118" s="136">
        <f t="shared" si="25"/>
        <v>2327.6901626689869</v>
      </c>
      <c r="N118" s="115"/>
      <c r="O118" s="131">
        <f>C118*(Hypotheses!H82*Hypotheses!$D$19+Hypotheses!$D$14*(1-Hypotheses!H82))</f>
        <v>4.5413550000000003</v>
      </c>
      <c r="P118" s="131">
        <f>C118*(Hypotheses!I82*Hypotheses!$D$19+Hypotheses!$D$14*(1-Hypotheses!I82))</f>
        <v>4.0755753873091241</v>
      </c>
      <c r="Q118" s="131">
        <f>C118*(Hypotheses!J82*Hypotheses!$D$19+Hypotheses!$D$14*(1-Hypotheses!J82))</f>
        <v>3.4933508714455304</v>
      </c>
      <c r="R118" s="115"/>
      <c r="S118" s="131">
        <f>C118*(Hypotheses!H82*Hypotheses!$D$21+Hypotheses!$D$14*(1-Hypotheses!H82))</f>
        <v>4.8906899999999993</v>
      </c>
      <c r="T118" s="131">
        <f>C118*(Hypotheses!I82*Hypotheses!$D$21+Hypotheses!$D$14*(1-Hypotheses!I82))</f>
        <v>5.8222492253817499</v>
      </c>
      <c r="U118" s="131">
        <f>C118*(Hypotheses!J82*Hypotheses!$D$21+Hypotheses!$D$14*(1-Hypotheses!J82))</f>
        <v>6.9866982571089382</v>
      </c>
      <c r="V118" s="115"/>
      <c r="W118" s="128">
        <f>-C118*Hypotheses!$D$31*Hypotheses!H82</f>
        <v>-23.289000000000001</v>
      </c>
      <c r="X118" s="128">
        <f>-C118*Hypotheses!$D$31*Hypotheses!I82</f>
        <v>-116.44492253817504</v>
      </c>
      <c r="Y118" s="128">
        <f>-C118*Hypotheses!$D$31*Hypotheses!J82</f>
        <v>-232.88982571089383</v>
      </c>
      <c r="Z118" s="126">
        <f>-C118*Hypotheses!$D$30*Hypotheses!H82</f>
        <v>-5.8222500000000004</v>
      </c>
      <c r="AA118" s="126">
        <f>-C118*Hypotheses!$D$30*Hypotheses!I82</f>
        <v>-29.111230634543759</v>
      </c>
      <c r="AB118" s="126">
        <f>-C118*Hypotheses!$D$30*Hypotheses!J82</f>
        <v>-58.222456427723458</v>
      </c>
      <c r="AC118" s="115"/>
      <c r="AD118" s="126">
        <f>-C118*Hypotheses!$D$30*Hypotheses!H82+(O118+S118)/2</f>
        <v>-1.106227500000001</v>
      </c>
      <c r="AE118" s="126">
        <f>-C118*Hypotheses!$D$30*Hypotheses!I82+(P118+T118)/2</f>
        <v>-24.162318328198321</v>
      </c>
      <c r="AF118" s="126">
        <f>-C118*Hypotheses!$D$30*Hypotheses!J82+(Q118+U118)/2</f>
        <v>-52.982431863446223</v>
      </c>
      <c r="AG118" s="115"/>
      <c r="AH118" s="128">
        <f t="shared" si="6"/>
        <v>-2244.7572598500001</v>
      </c>
      <c r="AI118" s="128">
        <f t="shared" si="7"/>
        <v>-9950.7608062863383</v>
      </c>
      <c r="AJ118" s="128">
        <f t="shared" si="8"/>
        <v>-19583.265239331751</v>
      </c>
      <c r="AK118" s="126">
        <f t="shared" si="9"/>
        <v>-561.18931496250002</v>
      </c>
      <c r="AL118" s="126">
        <f t="shared" si="10"/>
        <v>-2487.6902015715846</v>
      </c>
      <c r="AM118" s="126">
        <f t="shared" si="11"/>
        <v>-4895.8163098329378</v>
      </c>
      <c r="AN118" s="115"/>
      <c r="AO118" s="131">
        <f t="shared" si="12"/>
        <v>437.72766567074996</v>
      </c>
      <c r="AP118" s="131">
        <f t="shared" si="13"/>
        <v>399.19764793856837</v>
      </c>
      <c r="AQ118" s="131">
        <f t="shared" si="14"/>
        <v>351.03512577334124</v>
      </c>
      <c r="AR118" s="115"/>
      <c r="AS118" s="131">
        <f t="shared" si="15"/>
        <v>471.39902456850012</v>
      </c>
      <c r="AT118" s="131">
        <f t="shared" si="16"/>
        <v>548.45906003286336</v>
      </c>
      <c r="AU118" s="131">
        <f t="shared" si="17"/>
        <v>644.78410436331762</v>
      </c>
      <c r="AV118" s="115"/>
      <c r="AW118" s="126">
        <f t="shared" si="18"/>
        <v>-123.46164929175006</v>
      </c>
      <c r="AX118" s="126">
        <f t="shared" si="19"/>
        <v>-2088.4925536330161</v>
      </c>
      <c r="AY118" s="126">
        <f t="shared" si="20"/>
        <v>-4544.7811840595969</v>
      </c>
      <c r="AZ118" s="115"/>
      <c r="BA118" s="126">
        <f t="shared" si="21"/>
        <v>-89.790290393999896</v>
      </c>
      <c r="BB118" s="126">
        <f t="shared" si="22"/>
        <v>-1939.2311415387212</v>
      </c>
      <c r="BC118" s="126">
        <f t="shared" si="23"/>
        <v>-4251.0322054696198</v>
      </c>
      <c r="BD118" s="115"/>
    </row>
    <row r="119" spans="1:56" x14ac:dyDescent="0.25">
      <c r="A119" s="94">
        <v>2064</v>
      </c>
      <c r="B119" s="139" cm="1">
        <f t="array" ref="B119">SUMPRODUCT((PARIS!$AA$4:'PARIS'!$AA$103=A119)*PARIS!$AD$4:$AD$103)+SUMPRODUCT((PARIS!$AB$4:'PARIS'!$AB$103=A119)*PARIS!$AD$4:$AD$103)+SUMPRODUCT((PARIS!$AU$4:'PARIS'!$AU$103=A119)*PARIS!$AX$4:$AX$103)</f>
        <v>101414.15000000001</v>
      </c>
      <c r="C119" s="139" cm="1">
        <f t="array" ref="C119">SUMPRODUCT((PARIS!$AA$4:'PARIS'!$AA$103=A119)*PARIS!$AE$4:$AE$103)+SUMPRODUCT((PARIS!$AB$4:'PARIS'!$AB$103=A119)*PARIS!$AE$4:$AE$103)+SUMPRODUCT((PARIS!$AU$4:'PARIS'!$AU$103=A119)*PARIS!$AY$4:$AY$103)</f>
        <v>2339.0963750000001</v>
      </c>
      <c r="D119" s="136" cm="1">
        <f t="array" ref="D119">SUMPRODUCT((PARIS!$AA$4:'PARIS'!$AA$103=A119)*PARIS!$AF$4:$AF$103)+SUMPRODUCT((PARIS!$AB$4:'PARIS'!$AB$103=A119)*PARIS!$AF$4:$AF$103)+SUMPRODUCT((PARIS!$AU$4:'PARIS'!$AU$103=A119)*PARIS!$AV$4:$AV$103)</f>
        <v>870.32</v>
      </c>
      <c r="E119" s="136" cm="1">
        <f t="array" ref="E119">SUMPRODUCT((PARIS!$AA$4:'PARIS'!$AA$103=A119)*PARIS!$AG$4:$AG$103)+SUMPRODUCT((PARIS!$AB$4:'PARIS'!$AB$103=A119)*PARIS!$AG$4:$AG$103)+SUMPRODUCT((PARIS!$AU$4:'PARIS'!$AU$103=A119)*PARIS!$AW$4:$AW$103)</f>
        <v>1468.7763749999999</v>
      </c>
      <c r="F119" s="136" cm="1">
        <f t="array" ref="F119">SUMPRODUCT((PARIS!$AA$4:'PARIS'!$AA$103=A119)*PARIS!$AH$4:$AH$103)+SUMPRODUCT((PARIS!$AB$4:'PARIS'!$AB$103=A119)*PARIS!$AH$4:$AH$103)+SUMPRODUCT((PARIS!$AU$4:'PARIS'!$AU$103=A119)*PARIS!$AZ$4:$AZ$103)</f>
        <v>183.59013333333331</v>
      </c>
      <c r="G119" s="136" cm="1">
        <f t="array" ref="G119">SUMPRODUCT((PARIS!$AA$4:'PARIS'!$AA$103=A119)*PARIS!$AI$4:$AI$103)+SUMPRODUCT((PARIS!$AB$4:'PARIS'!$AB$103=A119)*PARIS!$AI$4:$AI$103)+SUMPRODUCT((PARIS!$AU$4:'PARIS'!$AU$103=A119)*PARIS!$BA$4:$BA$103)</f>
        <v>120.35506666666666</v>
      </c>
      <c r="H119" s="115"/>
      <c r="I119" s="139">
        <f t="shared" si="24"/>
        <v>56654.102742500014</v>
      </c>
      <c r="J119" s="136">
        <f t="shared" si="25"/>
        <v>15534.590170000003</v>
      </c>
      <c r="K119" s="136">
        <f t="shared" si="25"/>
        <v>40061.112572500002</v>
      </c>
      <c r="L119" s="136">
        <f t="shared" si="25"/>
        <v>3835.5905447796158</v>
      </c>
      <c r="M119" s="136">
        <f t="shared" si="25"/>
        <v>2448.0452293356534</v>
      </c>
      <c r="N119" s="115"/>
      <c r="O119" s="131">
        <f>C119*(Hypotheses!H83*Hypotheses!$D$19+Hypotheses!$D$14*(1-Hypotheses!H83))</f>
        <v>27.367427587500003</v>
      </c>
      <c r="P119" s="131">
        <f>C119*(Hypotheses!I83*Hypotheses!$D$19+Hypotheses!$D$14*(1-Hypotheses!I83))</f>
        <v>24.560513353160637</v>
      </c>
      <c r="Q119" s="131">
        <f>C119*(Hypotheses!J83*Hypotheses!$D$19+Hypotheses!$D$14*(1-Hypotheses!J83))</f>
        <v>21.051870560236427</v>
      </c>
      <c r="R119" s="115"/>
      <c r="S119" s="131">
        <f>C119*(Hypotheses!H83*Hypotheses!$D$21+Hypotheses!$D$14*(1-Hypotheses!H83))</f>
        <v>29.472614325000002</v>
      </c>
      <c r="T119" s="131">
        <f>C119*(Hypotheses!I83*Hypotheses!$D$21+Hypotheses!$D$14*(1-Hypotheses!I83))</f>
        <v>35.086442793678742</v>
      </c>
      <c r="U119" s="131">
        <f>C119*(Hypotheses!J83*Hypotheses!$D$21+Hypotheses!$D$14*(1-Hypotheses!J83))</f>
        <v>42.103728379527162</v>
      </c>
      <c r="V119" s="115"/>
      <c r="W119" s="128">
        <f>-C119*Hypotheses!$D$31*Hypotheses!H83</f>
        <v>-140.34578250000001</v>
      </c>
      <c r="X119" s="128">
        <f>-C119*Hypotheses!$D$31*Hypotheses!I83</f>
        <v>-701.72862936787351</v>
      </c>
      <c r="Y119" s="128">
        <f>-C119*Hypotheses!$D$31*Hypotheses!J83</f>
        <v>-1403.457187952715</v>
      </c>
      <c r="Z119" s="126">
        <f>-C119*Hypotheses!$D$30*Hypotheses!H83</f>
        <v>-35.086445625000003</v>
      </c>
      <c r="AA119" s="126">
        <f>-C119*Hypotheses!$D$30*Hypotheses!I83</f>
        <v>-175.43215734196838</v>
      </c>
      <c r="AB119" s="126">
        <f>-C119*Hypotheses!$D$30*Hypotheses!J83</f>
        <v>-350.86429698817875</v>
      </c>
      <c r="AC119" s="115"/>
      <c r="AD119" s="126">
        <f>-C119*Hypotheses!$D$30*Hypotheses!H83+(O119+S119)/2</f>
        <v>-6.6664246687500004</v>
      </c>
      <c r="AE119" s="126">
        <f>-C119*Hypotheses!$D$30*Hypotheses!I83+(P119+T119)/2</f>
        <v>-145.60867926854868</v>
      </c>
      <c r="AF119" s="126">
        <f>-C119*Hypotheses!$D$30*Hypotheses!J83+(Q119+U119)/2</f>
        <v>-319.28649751829698</v>
      </c>
      <c r="AG119" s="115"/>
      <c r="AH119" s="128">
        <f t="shared" si="6"/>
        <v>-2385.1030423500001</v>
      </c>
      <c r="AI119" s="128">
        <f t="shared" si="7"/>
        <v>-10652.489435654212</v>
      </c>
      <c r="AJ119" s="128">
        <f t="shared" si="8"/>
        <v>-20986.722427284465</v>
      </c>
      <c r="AK119" s="126">
        <f t="shared" si="9"/>
        <v>-596.27576058750003</v>
      </c>
      <c r="AL119" s="126">
        <f t="shared" si="10"/>
        <v>-2663.1223589135529</v>
      </c>
      <c r="AM119" s="126">
        <f t="shared" si="11"/>
        <v>-5246.6806068211163</v>
      </c>
      <c r="AN119" s="115"/>
      <c r="AO119" s="131">
        <f t="shared" si="12"/>
        <v>465.09509325824996</v>
      </c>
      <c r="AP119" s="131">
        <f t="shared" si="13"/>
        <v>423.75816129172898</v>
      </c>
      <c r="AQ119" s="131">
        <f t="shared" si="14"/>
        <v>372.08699633357764</v>
      </c>
      <c r="AR119" s="115"/>
      <c r="AS119" s="131">
        <f t="shared" si="15"/>
        <v>500.87163889350012</v>
      </c>
      <c r="AT119" s="131">
        <f t="shared" si="16"/>
        <v>583.54550282654213</v>
      </c>
      <c r="AU119" s="131">
        <f t="shared" si="17"/>
        <v>686.88783274284481</v>
      </c>
      <c r="AV119" s="115"/>
      <c r="AW119" s="126">
        <f t="shared" si="18"/>
        <v>-131.18066732925007</v>
      </c>
      <c r="AX119" s="126">
        <f t="shared" si="19"/>
        <v>-2239.3641976218241</v>
      </c>
      <c r="AY119" s="126">
        <f t="shared" si="20"/>
        <v>-4874.5936104875382</v>
      </c>
      <c r="AZ119" s="115"/>
      <c r="BA119" s="126">
        <f t="shared" si="21"/>
        <v>-95.404121693999912</v>
      </c>
      <c r="BB119" s="126">
        <f t="shared" si="22"/>
        <v>-2079.576856087011</v>
      </c>
      <c r="BC119" s="126">
        <f t="shared" si="23"/>
        <v>-4559.7927740782716</v>
      </c>
      <c r="BD119" s="115"/>
    </row>
    <row r="120" spans="1:56" x14ac:dyDescent="0.25">
      <c r="A120" s="94">
        <v>2065</v>
      </c>
      <c r="B120" s="139" cm="1">
        <f t="array" ref="B120">SUMPRODUCT((PARIS!$AA$4:'PARIS'!$AA$103=A120)*PARIS!$AD$4:$AD$103)+SUMPRODUCT((PARIS!$AB$4:'PARIS'!$AB$103=A120)*PARIS!$AD$4:$AD$103)+SUMPRODUCT((PARIS!$AU$4:'PARIS'!$AU$103=A120)*PARIS!$AX$4:$AX$103)</f>
        <v>89190.476190476184</v>
      </c>
      <c r="C120" s="139" cm="1">
        <f t="array" ref="C120">SUMPRODUCT((PARIS!$AA$4:'PARIS'!$AA$103=A120)*PARIS!$AE$4:$AE$103)+SUMPRODUCT((PARIS!$AB$4:'PARIS'!$AB$103=A120)*PARIS!$AE$4:$AE$103)+SUMPRODUCT((PARIS!$AU$4:'PARIS'!$AU$103=A120)*PARIS!$AY$4:$AY$103)</f>
        <v>2055.8690476190473</v>
      </c>
      <c r="D120" s="136" cm="1">
        <f t="array" ref="D120">SUMPRODUCT((PARIS!$AA$4:'PARIS'!$AA$103=A120)*PARIS!$AF$4:$AF$103)+SUMPRODUCT((PARIS!$AB$4:'PARIS'!$AB$103=A120)*PARIS!$AF$4:$AF$103)+SUMPRODUCT((PARIS!$AU$4:'PARIS'!$AU$103=A120)*PARIS!$AV$4:$AV$103)</f>
        <v>490.83333333333326</v>
      </c>
      <c r="E120" s="136" cm="1">
        <f t="array" ref="E120">SUMPRODUCT((PARIS!$AA$4:'PARIS'!$AA$103=A120)*PARIS!$AG$4:$AG$103)+SUMPRODUCT((PARIS!$AB$4:'PARIS'!$AB$103=A120)*PARIS!$AG$4:$AG$103)+SUMPRODUCT((PARIS!$AU$4:'PARIS'!$AU$103=A120)*PARIS!$AW$4:$AW$103)</f>
        <v>1565.035714285714</v>
      </c>
      <c r="F120" s="136" cm="1">
        <f t="array" ref="F120">SUMPRODUCT((PARIS!$AA$4:'PARIS'!$AA$103=A120)*PARIS!$AH$4:$AH$103)+SUMPRODUCT((PARIS!$AB$4:'PARIS'!$AB$103=A120)*PARIS!$AH$4:$AH$103)+SUMPRODUCT((PARIS!$AU$4:'PARIS'!$AU$103=A120)*PARIS!$AZ$4:$AZ$103)</f>
        <v>146.84285714285713</v>
      </c>
      <c r="G120" s="136" cm="1">
        <f t="array" ref="G120">SUMPRODUCT((PARIS!$AA$4:'PARIS'!$AA$103=A120)*PARIS!$AI$4:$AI$103)+SUMPRODUCT((PARIS!$AB$4:'PARIS'!$AB$103=A120)*PARIS!$AI$4:$AI$103)+SUMPRODUCT((PARIS!$AU$4:'PARIS'!$AU$103=A120)*PARIS!$BA$4:$BA$103)</f>
        <v>73.421428571428564</v>
      </c>
      <c r="H120" s="115"/>
      <c r="I120" s="139">
        <f t="shared" si="24"/>
        <v>58709.97179011906</v>
      </c>
      <c r="J120" s="136">
        <f t="shared" si="25"/>
        <v>16025.423503333337</v>
      </c>
      <c r="K120" s="136">
        <f t="shared" si="25"/>
        <v>41626.148286785719</v>
      </c>
      <c r="L120" s="136">
        <f t="shared" si="25"/>
        <v>3982.433401922473</v>
      </c>
      <c r="M120" s="136">
        <f t="shared" si="25"/>
        <v>2521.4666579070818</v>
      </c>
      <c r="N120" s="115"/>
      <c r="O120" s="131">
        <f>C120*(Hypotheses!H84*Hypotheses!$D$19+Hypotheses!$D$14*(1-Hypotheses!H84))</f>
        <v>24.053667857142855</v>
      </c>
      <c r="P120" s="131">
        <f>C120*(Hypotheses!I84*Hypotheses!$D$19+Hypotheses!$D$14*(1-Hypotheses!I84))</f>
        <v>21.5866257546739</v>
      </c>
      <c r="Q120" s="131">
        <f>C120*(Hypotheses!J84*Hypotheses!$D$19+Hypotheses!$D$14*(1-Hypotheses!J84))</f>
        <v>18.50282312658771</v>
      </c>
      <c r="R120" s="115"/>
      <c r="S120" s="131">
        <f>C120*(Hypotheses!H84*Hypotheses!$D$21+Hypotheses!$D$14*(1-Hypotheses!H84))</f>
        <v>25.903949999999995</v>
      </c>
      <c r="T120" s="131">
        <f>C120*(Hypotheses!I84*Hypotheses!$D$21+Hypotheses!$D$14*(1-Hypotheses!I84))</f>
        <v>30.838034204937902</v>
      </c>
      <c r="U120" s="131">
        <f>C120*(Hypotheses!J84*Hypotheses!$D$21+Hypotheses!$D$14*(1-Hypotheses!J84))</f>
        <v>37.005639461110285</v>
      </c>
      <c r="V120" s="115"/>
      <c r="W120" s="128">
        <f>-C120*Hypotheses!$D$31*Hypotheses!H84</f>
        <v>-123.35214285714284</v>
      </c>
      <c r="X120" s="128">
        <f>-C120*Hypotheses!$D$31*Hypotheses!I84</f>
        <v>-616.76056335093335</v>
      </c>
      <c r="Y120" s="128">
        <f>-C120*Hypotheses!$D$31*Hypotheses!J84</f>
        <v>-1233.5210889681714</v>
      </c>
      <c r="Z120" s="126">
        <f>-C120*Hypotheses!$D$30*Hypotheses!H84</f>
        <v>-30.838035714285709</v>
      </c>
      <c r="AA120" s="126">
        <f>-C120*Hypotheses!$D$30*Hypotheses!I84</f>
        <v>-154.19014083773334</v>
      </c>
      <c r="AB120" s="126">
        <f>-C120*Hypotheses!$D$30*Hypotheses!J84</f>
        <v>-308.38027224204285</v>
      </c>
      <c r="AC120" s="115"/>
      <c r="AD120" s="126">
        <f>-C120*Hypotheses!$D$30*Hypotheses!H84+(O120+S120)/2</f>
        <v>-5.8592267857142843</v>
      </c>
      <c r="AE120" s="126">
        <f>-C120*Hypotheses!$D$30*Hypotheses!I84+(P120+T120)/2</f>
        <v>-127.97781085792744</v>
      </c>
      <c r="AF120" s="126">
        <f>-C120*Hypotheses!$D$30*Hypotheses!J84+(Q120+U120)/2</f>
        <v>-280.62604094819386</v>
      </c>
      <c r="AG120" s="115"/>
      <c r="AH120" s="128">
        <f t="shared" si="6"/>
        <v>-2508.4551852071431</v>
      </c>
      <c r="AI120" s="128">
        <f t="shared" si="7"/>
        <v>-11269.249999005146</v>
      </c>
      <c r="AJ120" s="128">
        <f t="shared" si="8"/>
        <v>-22220.243516252638</v>
      </c>
      <c r="AK120" s="126">
        <f t="shared" si="9"/>
        <v>-627.11379630178578</v>
      </c>
      <c r="AL120" s="126">
        <f t="shared" si="10"/>
        <v>-2817.3124997512864</v>
      </c>
      <c r="AM120" s="126">
        <f t="shared" si="11"/>
        <v>-5555.0608790631595</v>
      </c>
      <c r="AN120" s="115"/>
      <c r="AO120" s="131">
        <f t="shared" si="12"/>
        <v>489.1487611153928</v>
      </c>
      <c r="AP120" s="131">
        <f t="shared" si="13"/>
        <v>445.34478704640287</v>
      </c>
      <c r="AQ120" s="131">
        <f t="shared" si="14"/>
        <v>390.58981946016536</v>
      </c>
      <c r="AR120" s="115"/>
      <c r="AS120" s="131">
        <f t="shared" si="15"/>
        <v>526.77558889350007</v>
      </c>
      <c r="AT120" s="131">
        <f t="shared" si="16"/>
        <v>614.38353703148005</v>
      </c>
      <c r="AU120" s="131">
        <f t="shared" si="17"/>
        <v>723.89347220395507</v>
      </c>
      <c r="AV120" s="115"/>
      <c r="AW120" s="126">
        <f t="shared" si="18"/>
        <v>-137.96503518639298</v>
      </c>
      <c r="AX120" s="126">
        <f t="shared" si="19"/>
        <v>-2371.9677127048835</v>
      </c>
      <c r="AY120" s="126">
        <f t="shared" si="20"/>
        <v>-5164.4710596029945</v>
      </c>
      <c r="AZ120" s="115"/>
      <c r="BA120" s="126">
        <f t="shared" si="21"/>
        <v>-100.33820740828571</v>
      </c>
      <c r="BB120" s="126">
        <f t="shared" si="22"/>
        <v>-2202.9289627198063</v>
      </c>
      <c r="BC120" s="126">
        <f t="shared" si="23"/>
        <v>-4831.1674068592047</v>
      </c>
      <c r="BD120" s="115"/>
    </row>
    <row r="121" spans="1:56" x14ac:dyDescent="0.25">
      <c r="A121" s="94">
        <v>2066</v>
      </c>
      <c r="B121" s="139" cm="1">
        <f t="array" ref="B121">SUMPRODUCT((PARIS!$AA$4:'PARIS'!$AA$103=A121)*PARIS!$AD$4:$AD$103)+SUMPRODUCT((PARIS!$AB$4:'PARIS'!$AB$103=A121)*PARIS!$AD$4:$AD$103)+SUMPRODUCT((PARIS!$AU$4:'PARIS'!$AU$103=A121)*PARIS!$AX$4:$AX$103)</f>
        <v>0</v>
      </c>
      <c r="C121" s="139" cm="1">
        <f t="array" ref="C121">SUMPRODUCT((PARIS!$AA$4:'PARIS'!$AA$103=A121)*PARIS!$AE$4:$AE$103)+SUMPRODUCT((PARIS!$AB$4:'PARIS'!$AB$103=A121)*PARIS!$AE$4:$AE$103)+SUMPRODUCT((PARIS!$AU$4:'PARIS'!$AU$103=A121)*PARIS!$AY$4:$AY$103)</f>
        <v>0</v>
      </c>
      <c r="D121" s="136" cm="1">
        <f t="array" ref="D121">SUMPRODUCT((PARIS!$AA$4:'PARIS'!$AA$103=A121)*PARIS!$AF$4:$AF$103)+SUMPRODUCT((PARIS!$AB$4:'PARIS'!$AB$103=A121)*PARIS!$AF$4:$AF$103)+SUMPRODUCT((PARIS!$AU$4:'PARIS'!$AU$103=A121)*PARIS!$AV$4:$AV$103)</f>
        <v>0</v>
      </c>
      <c r="E121" s="136" cm="1">
        <f t="array" ref="E121">SUMPRODUCT((PARIS!$AA$4:'PARIS'!$AA$103=A121)*PARIS!$AG$4:$AG$103)+SUMPRODUCT((PARIS!$AB$4:'PARIS'!$AB$103=A121)*PARIS!$AG$4:$AG$103)+SUMPRODUCT((PARIS!$AU$4:'PARIS'!$AU$103=A121)*PARIS!$AW$4:$AW$103)</f>
        <v>0</v>
      </c>
      <c r="F121" s="136" cm="1">
        <f t="array" ref="F121">SUMPRODUCT((PARIS!$AA$4:'PARIS'!$AA$103=A121)*PARIS!$AH$4:$AH$103)+SUMPRODUCT((PARIS!$AB$4:'PARIS'!$AB$103=A121)*PARIS!$AH$4:$AH$103)+SUMPRODUCT((PARIS!$AU$4:'PARIS'!$AU$103=A121)*PARIS!$AZ$4:$AZ$103)</f>
        <v>0</v>
      </c>
      <c r="G121" s="136" cm="1">
        <f t="array" ref="G121">SUMPRODUCT((PARIS!$AA$4:'PARIS'!$AA$103=A121)*PARIS!$AI$4:$AI$103)+SUMPRODUCT((PARIS!$AB$4:'PARIS'!$AB$103=A121)*PARIS!$AI$4:$AI$103)+SUMPRODUCT((PARIS!$AU$4:'PARIS'!$AU$103=A121)*PARIS!$BA$4:$BA$103)</f>
        <v>0</v>
      </c>
      <c r="H121" s="115"/>
      <c r="I121" s="139">
        <f t="shared" si="24"/>
        <v>58709.97179011906</v>
      </c>
      <c r="J121" s="136">
        <f t="shared" si="25"/>
        <v>16025.423503333337</v>
      </c>
      <c r="K121" s="136">
        <f t="shared" si="25"/>
        <v>41626.148286785719</v>
      </c>
      <c r="L121" s="136">
        <f t="shared" si="25"/>
        <v>3982.433401922473</v>
      </c>
      <c r="M121" s="136">
        <f t="shared" si="25"/>
        <v>2521.4666579070818</v>
      </c>
      <c r="N121" s="115"/>
      <c r="O121" s="131">
        <f>C121*(Hypotheses!H85*Hypotheses!$D$19+Hypotheses!$D$14*(1-Hypotheses!H85))</f>
        <v>0</v>
      </c>
      <c r="P121" s="131">
        <f>C121*(Hypotheses!I85*Hypotheses!$D$19+Hypotheses!$D$14*(1-Hypotheses!I85))</f>
        <v>0</v>
      </c>
      <c r="Q121" s="131">
        <f>C121*(Hypotheses!J85*Hypotheses!$D$19+Hypotheses!$D$14*(1-Hypotheses!J85))</f>
        <v>0</v>
      </c>
      <c r="R121" s="115"/>
      <c r="S121" s="131">
        <f>C121*(Hypotheses!H85*Hypotheses!$D$21+Hypotheses!$D$14*(1-Hypotheses!H85))</f>
        <v>0</v>
      </c>
      <c r="T121" s="131">
        <f>C121*(Hypotheses!I85*Hypotheses!$D$21+Hypotheses!$D$14*(1-Hypotheses!I85))</f>
        <v>0</v>
      </c>
      <c r="U121" s="131">
        <f>C121*(Hypotheses!J85*Hypotheses!$D$21+Hypotheses!$D$14*(1-Hypotheses!J85))</f>
        <v>0</v>
      </c>
      <c r="V121" s="115"/>
      <c r="W121" s="128">
        <f>-C121*Hypotheses!$D$31*Hypotheses!H85</f>
        <v>0</v>
      </c>
      <c r="X121" s="128">
        <f>-C121*Hypotheses!$D$31*Hypotheses!I85</f>
        <v>0</v>
      </c>
      <c r="Y121" s="128">
        <f>-C121*Hypotheses!$D$31*Hypotheses!J85</f>
        <v>0</v>
      </c>
      <c r="Z121" s="126">
        <f>-C121*Hypotheses!$D$30*Hypotheses!H85</f>
        <v>0</v>
      </c>
      <c r="AA121" s="126">
        <f>-C121*Hypotheses!$D$30*Hypotheses!I85</f>
        <v>0</v>
      </c>
      <c r="AB121" s="126">
        <f>-C121*Hypotheses!$D$30*Hypotheses!J85</f>
        <v>0</v>
      </c>
      <c r="AC121" s="115"/>
      <c r="AD121" s="126">
        <f>-C121*Hypotheses!$D$30*Hypotheses!H85+(O121+S121)/2</f>
        <v>0</v>
      </c>
      <c r="AE121" s="126">
        <f>-C121*Hypotheses!$D$30*Hypotheses!I85+(P121+T121)/2</f>
        <v>0</v>
      </c>
      <c r="AF121" s="126">
        <f>-C121*Hypotheses!$D$30*Hypotheses!J85+(Q121+U121)/2</f>
        <v>0</v>
      </c>
      <c r="AG121" s="115"/>
      <c r="AH121" s="128">
        <f t="shared" si="6"/>
        <v>-2508.4551852071431</v>
      </c>
      <c r="AI121" s="128">
        <f t="shared" si="7"/>
        <v>-11269.249999005146</v>
      </c>
      <c r="AJ121" s="128">
        <f t="shared" si="8"/>
        <v>-22220.243516252638</v>
      </c>
      <c r="AK121" s="126">
        <f t="shared" si="9"/>
        <v>-627.11379630178578</v>
      </c>
      <c r="AL121" s="126">
        <f t="shared" si="10"/>
        <v>-2817.3124997512864</v>
      </c>
      <c r="AM121" s="126">
        <f t="shared" si="11"/>
        <v>-5555.0608790631595</v>
      </c>
      <c r="AN121" s="115"/>
      <c r="AO121" s="131">
        <f t="shared" si="12"/>
        <v>489.1487611153928</v>
      </c>
      <c r="AP121" s="131">
        <f t="shared" si="13"/>
        <v>445.34478704640287</v>
      </c>
      <c r="AQ121" s="131">
        <f t="shared" si="14"/>
        <v>390.58981946016536</v>
      </c>
      <c r="AR121" s="115"/>
      <c r="AS121" s="131">
        <f t="shared" si="15"/>
        <v>526.77558889350007</v>
      </c>
      <c r="AT121" s="131">
        <f t="shared" si="16"/>
        <v>614.38353703148005</v>
      </c>
      <c r="AU121" s="131">
        <f t="shared" si="17"/>
        <v>723.89347220395507</v>
      </c>
      <c r="AV121" s="115"/>
      <c r="AW121" s="126">
        <f t="shared" si="18"/>
        <v>-137.96503518639298</v>
      </c>
      <c r="AX121" s="126">
        <f t="shared" si="19"/>
        <v>-2371.9677127048835</v>
      </c>
      <c r="AY121" s="126">
        <f t="shared" si="20"/>
        <v>-5164.4710596029945</v>
      </c>
      <c r="AZ121" s="115"/>
      <c r="BA121" s="126">
        <f t="shared" si="21"/>
        <v>-100.33820740828571</v>
      </c>
      <c r="BB121" s="126">
        <f t="shared" si="22"/>
        <v>-2202.9289627198063</v>
      </c>
      <c r="BC121" s="126">
        <f t="shared" si="23"/>
        <v>-4831.1674068592047</v>
      </c>
      <c r="BD121" s="115"/>
    </row>
    <row r="122" spans="1:56" x14ac:dyDescent="0.25">
      <c r="A122" s="94">
        <v>2067</v>
      </c>
      <c r="B122" s="139" cm="1">
        <f t="array" ref="B122">SUMPRODUCT((PARIS!$AA$4:'PARIS'!$AA$103=A122)*PARIS!$AD$4:$AD$103)+SUMPRODUCT((PARIS!$AB$4:'PARIS'!$AB$103=A122)*PARIS!$AD$4:$AD$103)+SUMPRODUCT((PARIS!$AU$4:'PARIS'!$AU$103=A122)*PARIS!$AX$4:$AX$103)</f>
        <v>0</v>
      </c>
      <c r="C122" s="139" cm="1">
        <f t="array" ref="C122">SUMPRODUCT((PARIS!$AA$4:'PARIS'!$AA$103=A122)*PARIS!$AE$4:$AE$103)+SUMPRODUCT((PARIS!$AB$4:'PARIS'!$AB$103=A122)*PARIS!$AE$4:$AE$103)+SUMPRODUCT((PARIS!$AU$4:'PARIS'!$AU$103=A122)*PARIS!$AY$4:$AY$103)</f>
        <v>0</v>
      </c>
      <c r="D122" s="136" cm="1">
        <f t="array" ref="D122">SUMPRODUCT((PARIS!$AA$4:'PARIS'!$AA$103=A122)*PARIS!$AF$4:$AF$103)+SUMPRODUCT((PARIS!$AB$4:'PARIS'!$AB$103=A122)*PARIS!$AF$4:$AF$103)+SUMPRODUCT((PARIS!$AU$4:'PARIS'!$AU$103=A122)*PARIS!$AV$4:$AV$103)</f>
        <v>0</v>
      </c>
      <c r="E122" s="136" cm="1">
        <f t="array" ref="E122">SUMPRODUCT((PARIS!$AA$4:'PARIS'!$AA$103=A122)*PARIS!$AG$4:$AG$103)+SUMPRODUCT((PARIS!$AB$4:'PARIS'!$AB$103=A122)*PARIS!$AG$4:$AG$103)+SUMPRODUCT((PARIS!$AU$4:'PARIS'!$AU$103=A122)*PARIS!$AW$4:$AW$103)</f>
        <v>0</v>
      </c>
      <c r="F122" s="136" cm="1">
        <f t="array" ref="F122">SUMPRODUCT((PARIS!$AA$4:'PARIS'!$AA$103=A122)*PARIS!$AH$4:$AH$103)+SUMPRODUCT((PARIS!$AB$4:'PARIS'!$AB$103=A122)*PARIS!$AH$4:$AH$103)+SUMPRODUCT((PARIS!$AU$4:'PARIS'!$AU$103=A122)*PARIS!$AZ$4:$AZ$103)</f>
        <v>0</v>
      </c>
      <c r="G122" s="136" cm="1">
        <f t="array" ref="G122">SUMPRODUCT((PARIS!$AA$4:'PARIS'!$AA$103=A122)*PARIS!$AI$4:$AI$103)+SUMPRODUCT((PARIS!$AB$4:'PARIS'!$AB$103=A122)*PARIS!$AI$4:$AI$103)+SUMPRODUCT((PARIS!$AU$4:'PARIS'!$AU$103=A122)*PARIS!$BA$4:$BA$103)</f>
        <v>0</v>
      </c>
      <c r="H122" s="115"/>
      <c r="I122" s="139">
        <f t="shared" si="24"/>
        <v>58709.97179011906</v>
      </c>
      <c r="J122" s="136">
        <f t="shared" si="25"/>
        <v>16025.423503333337</v>
      </c>
      <c r="K122" s="136">
        <f t="shared" si="25"/>
        <v>41626.148286785719</v>
      </c>
      <c r="L122" s="136">
        <f t="shared" si="25"/>
        <v>3982.433401922473</v>
      </c>
      <c r="M122" s="136">
        <f t="shared" si="25"/>
        <v>2521.4666579070818</v>
      </c>
      <c r="N122" s="115"/>
      <c r="O122" s="131">
        <f>C122*(Hypotheses!H86*Hypotheses!$D$19+Hypotheses!$D$14*(1-Hypotheses!H86))</f>
        <v>0</v>
      </c>
      <c r="P122" s="131">
        <f>C122*(Hypotheses!I86*Hypotheses!$D$19+Hypotheses!$D$14*(1-Hypotheses!I86))</f>
        <v>0</v>
      </c>
      <c r="Q122" s="131">
        <f>C122*(Hypotheses!J86*Hypotheses!$D$19+Hypotheses!$D$14*(1-Hypotheses!J86))</f>
        <v>0</v>
      </c>
      <c r="R122" s="115"/>
      <c r="S122" s="131">
        <f>C122*(Hypotheses!H86*Hypotheses!$D$21+Hypotheses!$D$14*(1-Hypotheses!H86))</f>
        <v>0</v>
      </c>
      <c r="T122" s="131">
        <f>C122*(Hypotheses!I86*Hypotheses!$D$21+Hypotheses!$D$14*(1-Hypotheses!I86))</f>
        <v>0</v>
      </c>
      <c r="U122" s="131">
        <f>C122*(Hypotheses!J86*Hypotheses!$D$21+Hypotheses!$D$14*(1-Hypotheses!J86))</f>
        <v>0</v>
      </c>
      <c r="V122" s="115"/>
      <c r="W122" s="128">
        <f>-C122*Hypotheses!$D$31*Hypotheses!H86</f>
        <v>0</v>
      </c>
      <c r="X122" s="128">
        <f>-C122*Hypotheses!$D$31*Hypotheses!I86</f>
        <v>0</v>
      </c>
      <c r="Y122" s="128">
        <f>-C122*Hypotheses!$D$31*Hypotheses!J86</f>
        <v>0</v>
      </c>
      <c r="Z122" s="126">
        <f>-C122*Hypotheses!$D$30*Hypotheses!H86</f>
        <v>0</v>
      </c>
      <c r="AA122" s="126">
        <f>-C122*Hypotheses!$D$30*Hypotheses!I86</f>
        <v>0</v>
      </c>
      <c r="AB122" s="126">
        <f>-C122*Hypotheses!$D$30*Hypotheses!J86</f>
        <v>0</v>
      </c>
      <c r="AC122" s="115"/>
      <c r="AD122" s="126">
        <f>-C122*Hypotheses!$D$30*Hypotheses!H86+(O122+S122)/2</f>
        <v>0</v>
      </c>
      <c r="AE122" s="126">
        <f>-C122*Hypotheses!$D$30*Hypotheses!I86+(P122+T122)/2</f>
        <v>0</v>
      </c>
      <c r="AF122" s="126">
        <f>-C122*Hypotheses!$D$30*Hypotheses!J86+(Q122+U122)/2</f>
        <v>0</v>
      </c>
      <c r="AG122" s="115"/>
      <c r="AH122" s="128">
        <f t="shared" si="6"/>
        <v>-2508.4551852071431</v>
      </c>
      <c r="AI122" s="128">
        <f t="shared" si="7"/>
        <v>-11269.249999005146</v>
      </c>
      <c r="AJ122" s="128">
        <f t="shared" si="8"/>
        <v>-22220.243516252638</v>
      </c>
      <c r="AK122" s="126">
        <f t="shared" si="9"/>
        <v>-627.11379630178578</v>
      </c>
      <c r="AL122" s="126">
        <f t="shared" si="10"/>
        <v>-2817.3124997512864</v>
      </c>
      <c r="AM122" s="126">
        <f t="shared" si="11"/>
        <v>-5555.0608790631595</v>
      </c>
      <c r="AN122" s="115"/>
      <c r="AO122" s="131">
        <f t="shared" si="12"/>
        <v>489.1487611153928</v>
      </c>
      <c r="AP122" s="131">
        <f t="shared" si="13"/>
        <v>445.34478704640287</v>
      </c>
      <c r="AQ122" s="131">
        <f t="shared" si="14"/>
        <v>390.58981946016536</v>
      </c>
      <c r="AR122" s="115"/>
      <c r="AS122" s="131">
        <f t="shared" si="15"/>
        <v>526.77558889350007</v>
      </c>
      <c r="AT122" s="131">
        <f t="shared" si="16"/>
        <v>614.38353703148005</v>
      </c>
      <c r="AU122" s="131">
        <f t="shared" si="17"/>
        <v>723.89347220395507</v>
      </c>
      <c r="AV122" s="115"/>
      <c r="AW122" s="126">
        <f t="shared" si="18"/>
        <v>-137.96503518639298</v>
      </c>
      <c r="AX122" s="126">
        <f t="shared" si="19"/>
        <v>-2371.9677127048835</v>
      </c>
      <c r="AY122" s="126">
        <f t="shared" si="20"/>
        <v>-5164.4710596029945</v>
      </c>
      <c r="AZ122" s="115"/>
      <c r="BA122" s="126">
        <f t="shared" si="21"/>
        <v>-100.33820740828571</v>
      </c>
      <c r="BB122" s="126">
        <f t="shared" si="22"/>
        <v>-2202.9289627198063</v>
      </c>
      <c r="BC122" s="126">
        <f t="shared" si="23"/>
        <v>-4831.1674068592047</v>
      </c>
      <c r="BD122" s="115"/>
    </row>
    <row r="123" spans="1:56" x14ac:dyDescent="0.25">
      <c r="A123" s="94">
        <v>2068</v>
      </c>
      <c r="B123" s="139" cm="1">
        <f t="array" ref="B123">SUMPRODUCT((PARIS!$AA$4:'PARIS'!$AA$103=A123)*PARIS!$AD$4:$AD$103)+SUMPRODUCT((PARIS!$AB$4:'PARIS'!$AB$103=A123)*PARIS!$AD$4:$AD$103)+SUMPRODUCT((PARIS!$AU$4:'PARIS'!$AU$103=A123)*PARIS!$AX$4:$AX$103)</f>
        <v>0</v>
      </c>
      <c r="C123" s="139" cm="1">
        <f t="array" ref="C123">SUMPRODUCT((PARIS!$AA$4:'PARIS'!$AA$103=A123)*PARIS!$AE$4:$AE$103)+SUMPRODUCT((PARIS!$AB$4:'PARIS'!$AB$103=A123)*PARIS!$AE$4:$AE$103)+SUMPRODUCT((PARIS!$AU$4:'PARIS'!$AU$103=A123)*PARIS!$AY$4:$AY$103)</f>
        <v>0</v>
      </c>
      <c r="D123" s="136" cm="1">
        <f t="array" ref="D123">SUMPRODUCT((PARIS!$AA$4:'PARIS'!$AA$103=A123)*PARIS!$AF$4:$AF$103)+SUMPRODUCT((PARIS!$AB$4:'PARIS'!$AB$103=A123)*PARIS!$AF$4:$AF$103)+SUMPRODUCT((PARIS!$AU$4:'PARIS'!$AU$103=A123)*PARIS!$AV$4:$AV$103)</f>
        <v>0</v>
      </c>
      <c r="E123" s="136" cm="1">
        <f t="array" ref="E123">SUMPRODUCT((PARIS!$AA$4:'PARIS'!$AA$103=A123)*PARIS!$AG$4:$AG$103)+SUMPRODUCT((PARIS!$AB$4:'PARIS'!$AB$103=A123)*PARIS!$AG$4:$AG$103)+SUMPRODUCT((PARIS!$AU$4:'PARIS'!$AU$103=A123)*PARIS!$AW$4:$AW$103)</f>
        <v>0</v>
      </c>
      <c r="F123" s="136" cm="1">
        <f t="array" ref="F123">SUMPRODUCT((PARIS!$AA$4:'PARIS'!$AA$103=A123)*PARIS!$AH$4:$AH$103)+SUMPRODUCT((PARIS!$AB$4:'PARIS'!$AB$103=A123)*PARIS!$AH$4:$AH$103)+SUMPRODUCT((PARIS!$AU$4:'PARIS'!$AU$103=A123)*PARIS!$AZ$4:$AZ$103)</f>
        <v>0</v>
      </c>
      <c r="G123" s="136" cm="1">
        <f t="array" ref="G123">SUMPRODUCT((PARIS!$AA$4:'PARIS'!$AA$103=A123)*PARIS!$AI$4:$AI$103)+SUMPRODUCT((PARIS!$AB$4:'PARIS'!$AB$103=A123)*PARIS!$AI$4:$AI$103)+SUMPRODUCT((PARIS!$AU$4:'PARIS'!$AU$103=A123)*PARIS!$BA$4:$BA$103)</f>
        <v>0</v>
      </c>
      <c r="H123" s="115"/>
      <c r="I123" s="139">
        <f t="shared" si="24"/>
        <v>58709.97179011906</v>
      </c>
      <c r="J123" s="136">
        <f t="shared" si="25"/>
        <v>16025.423503333337</v>
      </c>
      <c r="K123" s="136">
        <f t="shared" si="25"/>
        <v>41626.148286785719</v>
      </c>
      <c r="L123" s="136">
        <f t="shared" si="25"/>
        <v>3982.433401922473</v>
      </c>
      <c r="M123" s="136">
        <f t="shared" si="25"/>
        <v>2521.4666579070818</v>
      </c>
      <c r="N123" s="115"/>
      <c r="O123" s="131">
        <f>C123*(Hypotheses!H87*Hypotheses!$D$19+Hypotheses!$D$14*(1-Hypotheses!H87))</f>
        <v>0</v>
      </c>
      <c r="P123" s="131">
        <f>C123*(Hypotheses!I87*Hypotheses!$D$19+Hypotheses!$D$14*(1-Hypotheses!I87))</f>
        <v>0</v>
      </c>
      <c r="Q123" s="131">
        <f>C123*(Hypotheses!J87*Hypotheses!$D$19+Hypotheses!$D$14*(1-Hypotheses!J87))</f>
        <v>0</v>
      </c>
      <c r="R123" s="115"/>
      <c r="S123" s="131">
        <f>C123*(Hypotheses!H87*Hypotheses!$D$21+Hypotheses!$D$14*(1-Hypotheses!H87))</f>
        <v>0</v>
      </c>
      <c r="T123" s="131">
        <f>C123*(Hypotheses!I87*Hypotheses!$D$21+Hypotheses!$D$14*(1-Hypotheses!I87))</f>
        <v>0</v>
      </c>
      <c r="U123" s="131">
        <f>C123*(Hypotheses!J87*Hypotheses!$D$21+Hypotheses!$D$14*(1-Hypotheses!J87))</f>
        <v>0</v>
      </c>
      <c r="V123" s="115"/>
      <c r="W123" s="128">
        <f>-C123*Hypotheses!$D$31*Hypotheses!H87</f>
        <v>0</v>
      </c>
      <c r="X123" s="128">
        <f>-C123*Hypotheses!$D$31*Hypotheses!I87</f>
        <v>0</v>
      </c>
      <c r="Y123" s="128">
        <f>-C123*Hypotheses!$D$31*Hypotheses!J87</f>
        <v>0</v>
      </c>
      <c r="Z123" s="126">
        <f>-C123*Hypotheses!$D$30*Hypotheses!H87</f>
        <v>0</v>
      </c>
      <c r="AA123" s="126">
        <f>-C123*Hypotheses!$D$30*Hypotheses!I87</f>
        <v>0</v>
      </c>
      <c r="AB123" s="126">
        <f>-C123*Hypotheses!$D$30*Hypotheses!J87</f>
        <v>0</v>
      </c>
      <c r="AC123" s="115"/>
      <c r="AD123" s="126">
        <f>-C123*Hypotheses!$D$30*Hypotheses!H87+(O123+S123)/2</f>
        <v>0</v>
      </c>
      <c r="AE123" s="126">
        <f>-C123*Hypotheses!$D$30*Hypotheses!I87+(P123+T123)/2</f>
        <v>0</v>
      </c>
      <c r="AF123" s="126">
        <f>-C123*Hypotheses!$D$30*Hypotheses!J87+(Q123+U123)/2</f>
        <v>0</v>
      </c>
      <c r="AG123" s="115"/>
      <c r="AH123" s="128">
        <f t="shared" si="6"/>
        <v>-2508.4551852071431</v>
      </c>
      <c r="AI123" s="128">
        <f t="shared" si="7"/>
        <v>-11269.249999005146</v>
      </c>
      <c r="AJ123" s="128">
        <f t="shared" si="8"/>
        <v>-22220.243516252638</v>
      </c>
      <c r="AK123" s="126">
        <f t="shared" si="9"/>
        <v>-627.11379630178578</v>
      </c>
      <c r="AL123" s="126">
        <f t="shared" si="10"/>
        <v>-2817.3124997512864</v>
      </c>
      <c r="AM123" s="126">
        <f t="shared" si="11"/>
        <v>-5555.0608790631595</v>
      </c>
      <c r="AN123" s="115"/>
      <c r="AO123" s="131">
        <f t="shared" si="12"/>
        <v>489.1487611153928</v>
      </c>
      <c r="AP123" s="131">
        <f t="shared" si="13"/>
        <v>445.34478704640287</v>
      </c>
      <c r="AQ123" s="131">
        <f t="shared" si="14"/>
        <v>390.58981946016536</v>
      </c>
      <c r="AR123" s="115"/>
      <c r="AS123" s="131">
        <f t="shared" si="15"/>
        <v>526.77558889350007</v>
      </c>
      <c r="AT123" s="131">
        <f t="shared" si="16"/>
        <v>614.38353703148005</v>
      </c>
      <c r="AU123" s="131">
        <f t="shared" si="17"/>
        <v>723.89347220395507</v>
      </c>
      <c r="AV123" s="115"/>
      <c r="AW123" s="126">
        <f t="shared" si="18"/>
        <v>-137.96503518639298</v>
      </c>
      <c r="AX123" s="126">
        <f t="shared" si="19"/>
        <v>-2371.9677127048835</v>
      </c>
      <c r="AY123" s="126">
        <f t="shared" si="20"/>
        <v>-5164.4710596029945</v>
      </c>
      <c r="AZ123" s="115"/>
      <c r="BA123" s="126">
        <f t="shared" si="21"/>
        <v>-100.33820740828571</v>
      </c>
      <c r="BB123" s="126">
        <f t="shared" si="22"/>
        <v>-2202.9289627198063</v>
      </c>
      <c r="BC123" s="126">
        <f t="shared" si="23"/>
        <v>-4831.1674068592047</v>
      </c>
      <c r="BD123" s="115"/>
    </row>
    <row r="124" spans="1:56" x14ac:dyDescent="0.25">
      <c r="A124" s="94">
        <v>2069</v>
      </c>
      <c r="B124" s="139" cm="1">
        <f t="array" ref="B124">SUMPRODUCT((PARIS!$AA$4:'PARIS'!$AA$103=A124)*PARIS!$AD$4:$AD$103)+SUMPRODUCT((PARIS!$AB$4:'PARIS'!$AB$103=A124)*PARIS!$AD$4:$AD$103)+SUMPRODUCT((PARIS!$AU$4:'PARIS'!$AU$103=A124)*PARIS!$AX$4:$AX$103)</f>
        <v>0</v>
      </c>
      <c r="C124" s="139" cm="1">
        <f t="array" ref="C124">SUMPRODUCT((PARIS!$AA$4:'PARIS'!$AA$103=A124)*PARIS!$AE$4:$AE$103)+SUMPRODUCT((PARIS!$AB$4:'PARIS'!$AB$103=A124)*PARIS!$AE$4:$AE$103)+SUMPRODUCT((PARIS!$AU$4:'PARIS'!$AU$103=A124)*PARIS!$AY$4:$AY$103)</f>
        <v>0</v>
      </c>
      <c r="D124" s="136" cm="1">
        <f t="array" ref="D124">SUMPRODUCT((PARIS!$AA$4:'PARIS'!$AA$103=A124)*PARIS!$AF$4:$AF$103)+SUMPRODUCT((PARIS!$AB$4:'PARIS'!$AB$103=A124)*PARIS!$AF$4:$AF$103)+SUMPRODUCT((PARIS!$AU$4:'PARIS'!$AU$103=A124)*PARIS!$AV$4:$AV$103)</f>
        <v>0</v>
      </c>
      <c r="E124" s="136" cm="1">
        <f t="array" ref="E124">SUMPRODUCT((PARIS!$AA$4:'PARIS'!$AA$103=A124)*PARIS!$AG$4:$AG$103)+SUMPRODUCT((PARIS!$AB$4:'PARIS'!$AB$103=A124)*PARIS!$AG$4:$AG$103)+SUMPRODUCT((PARIS!$AU$4:'PARIS'!$AU$103=A124)*PARIS!$AW$4:$AW$103)</f>
        <v>0</v>
      </c>
      <c r="F124" s="136" cm="1">
        <f t="array" ref="F124">SUMPRODUCT((PARIS!$AA$4:'PARIS'!$AA$103=A124)*PARIS!$AH$4:$AH$103)+SUMPRODUCT((PARIS!$AB$4:'PARIS'!$AB$103=A124)*PARIS!$AH$4:$AH$103)+SUMPRODUCT((PARIS!$AU$4:'PARIS'!$AU$103=A124)*PARIS!$AZ$4:$AZ$103)</f>
        <v>0</v>
      </c>
      <c r="G124" s="136" cm="1">
        <f t="array" ref="G124">SUMPRODUCT((PARIS!$AA$4:'PARIS'!$AA$103=A124)*PARIS!$AI$4:$AI$103)+SUMPRODUCT((PARIS!$AB$4:'PARIS'!$AB$103=A124)*PARIS!$AI$4:$AI$103)+SUMPRODUCT((PARIS!$AU$4:'PARIS'!$AU$103=A124)*PARIS!$BA$4:$BA$103)</f>
        <v>0</v>
      </c>
      <c r="H124" s="115"/>
      <c r="I124" s="139">
        <f t="shared" si="24"/>
        <v>58709.97179011906</v>
      </c>
      <c r="J124" s="136">
        <f t="shared" si="25"/>
        <v>16025.423503333337</v>
      </c>
      <c r="K124" s="136">
        <f t="shared" si="25"/>
        <v>41626.148286785719</v>
      </c>
      <c r="L124" s="136">
        <f t="shared" si="25"/>
        <v>3982.433401922473</v>
      </c>
      <c r="M124" s="136">
        <f t="shared" si="25"/>
        <v>2521.4666579070818</v>
      </c>
      <c r="N124" s="115"/>
      <c r="O124" s="131">
        <f>C124*(Hypotheses!H88*Hypotheses!$D$19+Hypotheses!$D$14*(1-Hypotheses!H88))</f>
        <v>0</v>
      </c>
      <c r="P124" s="131">
        <f>C124*(Hypotheses!I88*Hypotheses!$D$19+Hypotheses!$D$14*(1-Hypotheses!I88))</f>
        <v>0</v>
      </c>
      <c r="Q124" s="131">
        <f>C124*(Hypotheses!J88*Hypotheses!$D$19+Hypotheses!$D$14*(1-Hypotheses!J88))</f>
        <v>0</v>
      </c>
      <c r="R124" s="115"/>
      <c r="S124" s="131">
        <f>C124*(Hypotheses!H88*Hypotheses!$D$21+Hypotheses!$D$14*(1-Hypotheses!H88))</f>
        <v>0</v>
      </c>
      <c r="T124" s="131">
        <f>C124*(Hypotheses!I88*Hypotheses!$D$21+Hypotheses!$D$14*(1-Hypotheses!I88))</f>
        <v>0</v>
      </c>
      <c r="U124" s="131">
        <f>C124*(Hypotheses!J88*Hypotheses!$D$21+Hypotheses!$D$14*(1-Hypotheses!J88))</f>
        <v>0</v>
      </c>
      <c r="V124" s="115"/>
      <c r="W124" s="128">
        <f>-C124*Hypotheses!$D$31*Hypotheses!H88</f>
        <v>0</v>
      </c>
      <c r="X124" s="128">
        <f>-C124*Hypotheses!$D$31*Hypotheses!I88</f>
        <v>0</v>
      </c>
      <c r="Y124" s="128">
        <f>-C124*Hypotheses!$D$31*Hypotheses!J88</f>
        <v>0</v>
      </c>
      <c r="Z124" s="126">
        <f>-C124*Hypotheses!$D$30*Hypotheses!H88</f>
        <v>0</v>
      </c>
      <c r="AA124" s="126">
        <f>-C124*Hypotheses!$D$30*Hypotheses!I88</f>
        <v>0</v>
      </c>
      <c r="AB124" s="126">
        <f>-C124*Hypotheses!$D$30*Hypotheses!J88</f>
        <v>0</v>
      </c>
      <c r="AC124" s="115"/>
      <c r="AD124" s="126">
        <f>-C124*Hypotheses!$D$30*Hypotheses!H88+(O124+S124)/2</f>
        <v>0</v>
      </c>
      <c r="AE124" s="126">
        <f>-C124*Hypotheses!$D$30*Hypotheses!I88+(P124+T124)/2</f>
        <v>0</v>
      </c>
      <c r="AF124" s="126">
        <f>-C124*Hypotheses!$D$30*Hypotheses!J88+(Q124+U124)/2</f>
        <v>0</v>
      </c>
      <c r="AG124" s="115"/>
      <c r="AH124" s="128">
        <f t="shared" si="6"/>
        <v>-2508.4551852071431</v>
      </c>
      <c r="AI124" s="128">
        <f t="shared" si="7"/>
        <v>-11269.249999005146</v>
      </c>
      <c r="AJ124" s="128">
        <f t="shared" si="8"/>
        <v>-22220.243516252638</v>
      </c>
      <c r="AK124" s="126">
        <f t="shared" si="9"/>
        <v>-627.11379630178578</v>
      </c>
      <c r="AL124" s="126">
        <f t="shared" si="10"/>
        <v>-2817.3124997512864</v>
      </c>
      <c r="AM124" s="126">
        <f t="shared" si="11"/>
        <v>-5555.0608790631595</v>
      </c>
      <c r="AN124" s="115"/>
      <c r="AO124" s="131">
        <f t="shared" si="12"/>
        <v>489.1487611153928</v>
      </c>
      <c r="AP124" s="131">
        <f t="shared" si="13"/>
        <v>445.34478704640287</v>
      </c>
      <c r="AQ124" s="131">
        <f t="shared" si="14"/>
        <v>390.58981946016536</v>
      </c>
      <c r="AR124" s="115"/>
      <c r="AS124" s="131">
        <f t="shared" si="15"/>
        <v>526.77558889350007</v>
      </c>
      <c r="AT124" s="131">
        <f t="shared" si="16"/>
        <v>614.38353703148005</v>
      </c>
      <c r="AU124" s="131">
        <f t="shared" si="17"/>
        <v>723.89347220395507</v>
      </c>
      <c r="AV124" s="115"/>
      <c r="AW124" s="126">
        <f t="shared" si="18"/>
        <v>-137.96503518639298</v>
      </c>
      <c r="AX124" s="126">
        <f t="shared" si="19"/>
        <v>-2371.9677127048835</v>
      </c>
      <c r="AY124" s="126">
        <f t="shared" si="20"/>
        <v>-5164.4710596029945</v>
      </c>
      <c r="AZ124" s="115"/>
      <c r="BA124" s="126">
        <f t="shared" si="21"/>
        <v>-100.33820740828571</v>
      </c>
      <c r="BB124" s="126">
        <f t="shared" si="22"/>
        <v>-2202.9289627198063</v>
      </c>
      <c r="BC124" s="126">
        <f t="shared" si="23"/>
        <v>-4831.1674068592047</v>
      </c>
      <c r="BD124" s="115"/>
    </row>
    <row r="125" spans="1:56" x14ac:dyDescent="0.25">
      <c r="A125" s="94">
        <v>2070</v>
      </c>
      <c r="B125" s="139" cm="1">
        <f t="array" ref="B125">SUMPRODUCT((PARIS!$AA$4:'PARIS'!$AA$103=A125)*PARIS!$AD$4:$AD$103)+SUMPRODUCT((PARIS!$AB$4:'PARIS'!$AB$103=A125)*PARIS!$AD$4:$AD$103)+SUMPRODUCT((PARIS!$AU$4:'PARIS'!$AU$103=A125)*PARIS!$AX$4:$AX$103)</f>
        <v>0</v>
      </c>
      <c r="C125" s="139" cm="1">
        <f t="array" ref="C125">SUMPRODUCT((PARIS!$AA$4:'PARIS'!$AA$103=A125)*PARIS!$AE$4:$AE$103)+SUMPRODUCT((PARIS!$AB$4:'PARIS'!$AB$103=A125)*PARIS!$AE$4:$AE$103)+SUMPRODUCT((PARIS!$AU$4:'PARIS'!$AU$103=A125)*PARIS!$AY$4:$AY$103)</f>
        <v>0</v>
      </c>
      <c r="D125" s="136" cm="1">
        <f t="array" ref="D125">SUMPRODUCT((PARIS!$AA$4:'PARIS'!$AA$103=A125)*PARIS!$AF$4:$AF$103)+SUMPRODUCT((PARIS!$AB$4:'PARIS'!$AB$103=A125)*PARIS!$AF$4:$AF$103)+SUMPRODUCT((PARIS!$AU$4:'PARIS'!$AU$103=A125)*PARIS!$AV$4:$AV$103)</f>
        <v>0</v>
      </c>
      <c r="E125" s="136" cm="1">
        <f t="array" ref="E125">SUMPRODUCT((PARIS!$AA$4:'PARIS'!$AA$103=A125)*PARIS!$AG$4:$AG$103)+SUMPRODUCT((PARIS!$AB$4:'PARIS'!$AB$103=A125)*PARIS!$AG$4:$AG$103)+SUMPRODUCT((PARIS!$AU$4:'PARIS'!$AU$103=A125)*PARIS!$AW$4:$AW$103)</f>
        <v>0</v>
      </c>
      <c r="F125" s="136" cm="1">
        <f t="array" ref="F125">SUMPRODUCT((PARIS!$AA$4:'PARIS'!$AA$103=A125)*PARIS!$AH$4:$AH$103)+SUMPRODUCT((PARIS!$AB$4:'PARIS'!$AB$103=A125)*PARIS!$AH$4:$AH$103)+SUMPRODUCT((PARIS!$AU$4:'PARIS'!$AU$103=A125)*PARIS!$AZ$4:$AZ$103)</f>
        <v>0</v>
      </c>
      <c r="G125" s="136" cm="1">
        <f t="array" ref="G125">SUMPRODUCT((PARIS!$AA$4:'PARIS'!$AA$103=A125)*PARIS!$AI$4:$AI$103)+SUMPRODUCT((PARIS!$AB$4:'PARIS'!$AB$103=A125)*PARIS!$AI$4:$AI$103)+SUMPRODUCT((PARIS!$AU$4:'PARIS'!$AU$103=A125)*PARIS!$BA$4:$BA$103)</f>
        <v>0</v>
      </c>
      <c r="H125" s="115"/>
      <c r="I125" s="139">
        <f t="shared" si="24"/>
        <v>58709.97179011906</v>
      </c>
      <c r="J125" s="136">
        <f t="shared" si="25"/>
        <v>16025.423503333337</v>
      </c>
      <c r="K125" s="136">
        <f t="shared" si="25"/>
        <v>41626.148286785719</v>
      </c>
      <c r="L125" s="136">
        <f t="shared" si="25"/>
        <v>3982.433401922473</v>
      </c>
      <c r="M125" s="136">
        <f t="shared" si="25"/>
        <v>2521.4666579070818</v>
      </c>
      <c r="N125" s="115"/>
      <c r="O125" s="131">
        <f>C125*(Hypotheses!H89*Hypotheses!$D$19+Hypotheses!$D$14*(1-Hypotheses!H89))</f>
        <v>0</v>
      </c>
      <c r="P125" s="131">
        <f>C125*(Hypotheses!I89*Hypotheses!$D$19+Hypotheses!$D$14*(1-Hypotheses!I89))</f>
        <v>0</v>
      </c>
      <c r="Q125" s="131">
        <f>C125*(Hypotheses!J89*Hypotheses!$D$19+Hypotheses!$D$14*(1-Hypotheses!J89))</f>
        <v>0</v>
      </c>
      <c r="R125" s="115"/>
      <c r="S125" s="131">
        <f>C125*(Hypotheses!H89*Hypotheses!$D$21+Hypotheses!$D$14*(1-Hypotheses!H89))</f>
        <v>0</v>
      </c>
      <c r="T125" s="131">
        <f>C125*(Hypotheses!I89*Hypotheses!$D$21+Hypotheses!$D$14*(1-Hypotheses!I89))</f>
        <v>0</v>
      </c>
      <c r="U125" s="131">
        <f>C125*(Hypotheses!J89*Hypotheses!$D$21+Hypotheses!$D$14*(1-Hypotheses!J89))</f>
        <v>0</v>
      </c>
      <c r="V125" s="115"/>
      <c r="W125" s="128">
        <f>-C125*Hypotheses!$D$31*Hypotheses!H89</f>
        <v>0</v>
      </c>
      <c r="X125" s="128">
        <f>-C125*Hypotheses!$D$31*Hypotheses!I89</f>
        <v>0</v>
      </c>
      <c r="Y125" s="128">
        <f>-C125*Hypotheses!$D$31*Hypotheses!J89</f>
        <v>0</v>
      </c>
      <c r="Z125" s="126">
        <f>-C125*Hypotheses!$D$30*Hypotheses!H89</f>
        <v>0</v>
      </c>
      <c r="AA125" s="126">
        <f>-C125*Hypotheses!$D$30*Hypotheses!I89</f>
        <v>0</v>
      </c>
      <c r="AB125" s="126">
        <f>-C125*Hypotheses!$D$30*Hypotheses!J89</f>
        <v>0</v>
      </c>
      <c r="AC125" s="115"/>
      <c r="AD125" s="126">
        <f>-C125*Hypotheses!$D$30*Hypotheses!H89+(O125+S125)/2</f>
        <v>0</v>
      </c>
      <c r="AE125" s="126">
        <f>-C125*Hypotheses!$D$30*Hypotheses!I89+(P125+T125)/2</f>
        <v>0</v>
      </c>
      <c r="AF125" s="126">
        <f>-C125*Hypotheses!$D$30*Hypotheses!J89+(Q125+U125)/2</f>
        <v>0</v>
      </c>
      <c r="AG125" s="115"/>
      <c r="AH125" s="128">
        <f t="shared" si="6"/>
        <v>-2508.4551852071431</v>
      </c>
      <c r="AI125" s="128">
        <f t="shared" si="7"/>
        <v>-11269.249999005146</v>
      </c>
      <c r="AJ125" s="128">
        <f t="shared" si="8"/>
        <v>-22220.243516252638</v>
      </c>
      <c r="AK125" s="126">
        <f t="shared" si="9"/>
        <v>-627.11379630178578</v>
      </c>
      <c r="AL125" s="126">
        <f t="shared" si="10"/>
        <v>-2817.3124997512864</v>
      </c>
      <c r="AM125" s="126">
        <f t="shared" si="11"/>
        <v>-5555.0608790631595</v>
      </c>
      <c r="AN125" s="115"/>
      <c r="AO125" s="131">
        <f t="shared" si="12"/>
        <v>489.1487611153928</v>
      </c>
      <c r="AP125" s="131">
        <f t="shared" si="13"/>
        <v>445.34478704640287</v>
      </c>
      <c r="AQ125" s="131">
        <f t="shared" si="14"/>
        <v>390.58981946016536</v>
      </c>
      <c r="AR125" s="115"/>
      <c r="AS125" s="131">
        <f t="shared" si="15"/>
        <v>526.77558889350007</v>
      </c>
      <c r="AT125" s="131">
        <f t="shared" si="16"/>
        <v>614.38353703148005</v>
      </c>
      <c r="AU125" s="131">
        <f t="shared" si="17"/>
        <v>723.89347220395507</v>
      </c>
      <c r="AV125" s="115"/>
      <c r="AW125" s="126">
        <f t="shared" si="18"/>
        <v>-137.96503518639298</v>
      </c>
      <c r="AX125" s="126">
        <f t="shared" si="19"/>
        <v>-2371.9677127048835</v>
      </c>
      <c r="AY125" s="126">
        <f t="shared" si="20"/>
        <v>-5164.4710596029945</v>
      </c>
      <c r="AZ125" s="115"/>
      <c r="BA125" s="126">
        <f t="shared" si="21"/>
        <v>-100.33820740828571</v>
      </c>
      <c r="BB125" s="126">
        <f t="shared" si="22"/>
        <v>-2202.9289627198063</v>
      </c>
      <c r="BC125" s="126">
        <f t="shared" si="23"/>
        <v>-4831.1674068592047</v>
      </c>
      <c r="BD125" s="115"/>
    </row>
  </sheetData>
  <mergeCells count="19">
    <mergeCell ref="W2:AB2"/>
    <mergeCell ref="S2:U2"/>
    <mergeCell ref="W1:AF1"/>
    <mergeCell ref="BA2:BC2"/>
    <mergeCell ref="AW1:BC1"/>
    <mergeCell ref="AS1:AU1"/>
    <mergeCell ref="AS2:AU2"/>
    <mergeCell ref="AW2:AY2"/>
    <mergeCell ref="AH1:AM1"/>
    <mergeCell ref="AO1:AQ1"/>
    <mergeCell ref="AO2:AQ2"/>
    <mergeCell ref="AH2:AM2"/>
    <mergeCell ref="B1:G1"/>
    <mergeCell ref="I1:M1"/>
    <mergeCell ref="O1:Q1"/>
    <mergeCell ref="S1:U1"/>
    <mergeCell ref="B2:G2"/>
    <mergeCell ref="I2:M2"/>
    <mergeCell ref="O2:Q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34559-17C1-490D-835F-6715BAF77395}">
  <dimension ref="A1:AD124"/>
  <sheetViews>
    <sheetView zoomScale="85" zoomScaleNormal="85"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9.140625" style="94"/>
    <col min="2" max="7" width="12.7109375" style="94" customWidth="1"/>
    <col min="8" max="8" width="2.85546875" style="111" customWidth="1"/>
    <col min="9" max="11" width="15" style="94" customWidth="1"/>
    <col min="12" max="12" width="2.85546875" style="111" customWidth="1"/>
    <col min="13" max="18" width="15" style="94" customWidth="1"/>
    <col min="19" max="19" width="2.85546875" style="111" customWidth="1"/>
    <col min="20" max="22" width="15" style="94" customWidth="1"/>
    <col min="23" max="23" width="2.85546875" style="111" customWidth="1"/>
    <col min="24" max="29" width="15" style="94" customWidth="1"/>
    <col min="30" max="30" width="2.85546875" style="111" customWidth="1"/>
    <col min="31" max="16384" width="9.140625" style="94"/>
  </cols>
  <sheetData>
    <row r="1" spans="1:30" x14ac:dyDescent="0.25">
      <c r="B1" s="274" t="s">
        <v>285</v>
      </c>
      <c r="C1" s="274"/>
      <c r="D1" s="274"/>
      <c r="E1" s="274"/>
      <c r="F1" s="274"/>
      <c r="G1" s="274"/>
      <c r="H1" s="109"/>
      <c r="I1" s="274" t="s">
        <v>400</v>
      </c>
      <c r="J1" s="274"/>
      <c r="K1" s="274"/>
      <c r="L1" s="109"/>
      <c r="M1" s="274" t="s">
        <v>284</v>
      </c>
      <c r="N1" s="274"/>
      <c r="O1" s="274"/>
      <c r="P1" s="274"/>
      <c r="Q1" s="274"/>
      <c r="R1" s="274"/>
      <c r="S1" s="109"/>
      <c r="T1" s="274" t="s">
        <v>401</v>
      </c>
      <c r="U1" s="274"/>
      <c r="V1" s="274"/>
      <c r="W1" s="109"/>
      <c r="X1" s="274" t="s">
        <v>283</v>
      </c>
      <c r="Y1" s="274"/>
      <c r="Z1" s="274"/>
      <c r="AA1" s="274"/>
      <c r="AB1" s="274"/>
      <c r="AC1" s="274"/>
      <c r="AD1" s="109"/>
    </row>
    <row r="2" spans="1:30" s="106" customFormat="1" ht="30" x14ac:dyDescent="0.25">
      <c r="B2" s="137" t="s">
        <v>367</v>
      </c>
      <c r="C2" s="137" t="s">
        <v>122</v>
      </c>
      <c r="D2" s="133" t="s">
        <v>254</v>
      </c>
      <c r="E2" s="133" t="s">
        <v>255</v>
      </c>
      <c r="F2" s="134" t="s">
        <v>371</v>
      </c>
      <c r="G2" s="134" t="s">
        <v>233</v>
      </c>
      <c r="H2" s="108"/>
      <c r="I2" s="129" t="s">
        <v>274</v>
      </c>
      <c r="J2" s="129" t="s">
        <v>276</v>
      </c>
      <c r="K2" s="129" t="s">
        <v>275</v>
      </c>
      <c r="L2" s="108"/>
      <c r="M2" s="132" t="s">
        <v>282</v>
      </c>
      <c r="N2" s="132" t="s">
        <v>286</v>
      </c>
      <c r="O2" s="132" t="s">
        <v>287</v>
      </c>
      <c r="P2" s="124" t="s">
        <v>274</v>
      </c>
      <c r="Q2" s="124" t="s">
        <v>276</v>
      </c>
      <c r="R2" s="124" t="s">
        <v>275</v>
      </c>
      <c r="S2" s="108"/>
      <c r="T2" s="129" t="s">
        <v>274</v>
      </c>
      <c r="U2" s="129" t="s">
        <v>276</v>
      </c>
      <c r="V2" s="129" t="s">
        <v>275</v>
      </c>
      <c r="W2" s="108"/>
      <c r="X2" s="132" t="s">
        <v>282</v>
      </c>
      <c r="Y2" s="132" t="s">
        <v>282</v>
      </c>
      <c r="Z2" s="132" t="s">
        <v>282</v>
      </c>
      <c r="AA2" s="124" t="s">
        <v>274</v>
      </c>
      <c r="AB2" s="124" t="s">
        <v>276</v>
      </c>
      <c r="AC2" s="124" t="s">
        <v>275</v>
      </c>
      <c r="AD2" s="108"/>
    </row>
    <row r="3" spans="1:30" s="20" customFormat="1" x14ac:dyDescent="0.25">
      <c r="A3" s="105"/>
      <c r="B3" s="138" t="s">
        <v>7</v>
      </c>
      <c r="C3" s="138" t="s">
        <v>8</v>
      </c>
      <c r="D3" s="135" t="s">
        <v>8</v>
      </c>
      <c r="E3" s="135" t="s">
        <v>8</v>
      </c>
      <c r="F3" s="135" t="s">
        <v>1</v>
      </c>
      <c r="G3" s="135" t="s">
        <v>1</v>
      </c>
      <c r="H3" s="110"/>
      <c r="I3" s="130" t="s">
        <v>8</v>
      </c>
      <c r="J3" s="130" t="s">
        <v>8</v>
      </c>
      <c r="K3" s="130" t="s">
        <v>8</v>
      </c>
      <c r="L3" s="110"/>
      <c r="M3" s="127" t="s">
        <v>8</v>
      </c>
      <c r="N3" s="127" t="s">
        <v>8</v>
      </c>
      <c r="O3" s="127" t="s">
        <v>8</v>
      </c>
      <c r="P3" s="125" t="s">
        <v>8</v>
      </c>
      <c r="Q3" s="125" t="s">
        <v>8</v>
      </c>
      <c r="R3" s="125" t="s">
        <v>8</v>
      </c>
      <c r="S3" s="110"/>
      <c r="T3" s="130" t="s">
        <v>8</v>
      </c>
      <c r="U3" s="130" t="s">
        <v>8</v>
      </c>
      <c r="V3" s="130" t="s">
        <v>8</v>
      </c>
      <c r="W3" s="110"/>
      <c r="X3" s="127" t="s">
        <v>8</v>
      </c>
      <c r="Y3" s="127" t="s">
        <v>8</v>
      </c>
      <c r="Z3" s="127" t="s">
        <v>8</v>
      </c>
      <c r="AA3" s="125" t="s">
        <v>8</v>
      </c>
      <c r="AB3" s="125" t="s">
        <v>8</v>
      </c>
      <c r="AC3" s="125" t="s">
        <v>8</v>
      </c>
      <c r="AD3" s="110"/>
    </row>
    <row r="4" spans="1:30" x14ac:dyDescent="0.25">
      <c r="A4" s="94">
        <v>1950</v>
      </c>
      <c r="B4" s="139">
        <f>Paris_Inflow!B5-Paris_Outflow!B5</f>
        <v>0</v>
      </c>
      <c r="C4" s="139">
        <f>Paris_Inflow!C5-Paris_Outflow!C5</f>
        <v>0</v>
      </c>
      <c r="D4" s="136">
        <f>Paris_Inflow!D5-Paris_Outflow!D5</f>
        <v>0</v>
      </c>
      <c r="E4" s="136">
        <f>Paris_Inflow!E5-Paris_Outflow!E5</f>
        <v>0</v>
      </c>
      <c r="F4" s="136">
        <f>Paris_Inflow!F5-Paris_Outflow!F5</f>
        <v>0</v>
      </c>
      <c r="G4" s="136">
        <f>Paris_Inflow!G5-Paris_Outflow!G5</f>
        <v>0</v>
      </c>
      <c r="H4" s="115"/>
      <c r="I4" s="131"/>
      <c r="J4" s="131"/>
      <c r="K4" s="131"/>
      <c r="L4" s="115"/>
      <c r="M4" s="128"/>
      <c r="N4" s="128"/>
      <c r="O4" s="128"/>
      <c r="P4" s="126"/>
      <c r="Q4" s="126"/>
      <c r="R4" s="126"/>
      <c r="S4" s="115"/>
      <c r="T4" s="131"/>
      <c r="U4" s="131"/>
      <c r="V4" s="131"/>
      <c r="W4" s="115"/>
      <c r="X4" s="128"/>
      <c r="Y4" s="128"/>
      <c r="Z4" s="128"/>
      <c r="AA4" s="126"/>
      <c r="AB4" s="126"/>
      <c r="AC4" s="126"/>
      <c r="AD4" s="115"/>
    </row>
    <row r="5" spans="1:30" x14ac:dyDescent="0.25">
      <c r="A5" s="94">
        <v>1951</v>
      </c>
      <c r="B5" s="139">
        <f>Paris_Inflow!B6-Paris_Outflow!B6+B4</f>
        <v>0</v>
      </c>
      <c r="C5" s="139">
        <f>Paris_Inflow!C6-Paris_Outflow!C6+C4</f>
        <v>0</v>
      </c>
      <c r="D5" s="136">
        <f>Paris_Inflow!D6-Paris_Outflow!D6+D4</f>
        <v>0</v>
      </c>
      <c r="E5" s="136">
        <f>Paris_Inflow!E6-Paris_Outflow!E6+E4</f>
        <v>0</v>
      </c>
      <c r="F5" s="136">
        <f>Paris_Inflow!F6-Paris_Outflow!F6+F4</f>
        <v>0</v>
      </c>
      <c r="G5" s="136">
        <f>Paris_Inflow!G6-Paris_Outflow!G6+G4</f>
        <v>0</v>
      </c>
      <c r="H5" s="115"/>
      <c r="I5" s="131"/>
      <c r="J5" s="131"/>
      <c r="K5" s="131"/>
      <c r="L5" s="115"/>
      <c r="M5" s="128"/>
      <c r="N5" s="128"/>
      <c r="O5" s="128"/>
      <c r="P5" s="126"/>
      <c r="Q5" s="126"/>
      <c r="R5" s="126"/>
      <c r="S5" s="115"/>
      <c r="T5" s="131"/>
      <c r="U5" s="131"/>
      <c r="V5" s="131"/>
      <c r="W5" s="115"/>
      <c r="X5" s="128"/>
      <c r="Y5" s="128"/>
      <c r="Z5" s="128"/>
      <c r="AA5" s="126"/>
      <c r="AB5" s="126"/>
      <c r="AC5" s="126"/>
      <c r="AD5" s="115"/>
    </row>
    <row r="6" spans="1:30" x14ac:dyDescent="0.25">
      <c r="A6" s="94">
        <v>1952</v>
      </c>
      <c r="B6" s="139">
        <f>Paris_Inflow!B7-Paris_Outflow!B7+B5</f>
        <v>0</v>
      </c>
      <c r="C6" s="139">
        <f>Paris_Inflow!C7-Paris_Outflow!C7+C5</f>
        <v>0</v>
      </c>
      <c r="D6" s="136">
        <f>Paris_Inflow!D7-Paris_Outflow!D7+D5</f>
        <v>0</v>
      </c>
      <c r="E6" s="136">
        <f>Paris_Inflow!E7-Paris_Outflow!E7+E5</f>
        <v>0</v>
      </c>
      <c r="F6" s="136">
        <f>Paris_Inflow!F7-Paris_Outflow!F7+F5</f>
        <v>0</v>
      </c>
      <c r="G6" s="136">
        <f>Paris_Inflow!G7-Paris_Outflow!G7+G5</f>
        <v>0</v>
      </c>
      <c r="H6" s="115"/>
      <c r="I6" s="131"/>
      <c r="J6" s="131"/>
      <c r="K6" s="131"/>
      <c r="L6" s="115"/>
      <c r="M6" s="128"/>
      <c r="N6" s="128"/>
      <c r="O6" s="128"/>
      <c r="P6" s="126"/>
      <c r="Q6" s="126"/>
      <c r="R6" s="126"/>
      <c r="S6" s="115"/>
      <c r="T6" s="131"/>
      <c r="U6" s="131"/>
      <c r="V6" s="131"/>
      <c r="W6" s="115"/>
      <c r="X6" s="128"/>
      <c r="Y6" s="128"/>
      <c r="Z6" s="128"/>
      <c r="AA6" s="126"/>
      <c r="AB6" s="126"/>
      <c r="AC6" s="126"/>
      <c r="AD6" s="115"/>
    </row>
    <row r="7" spans="1:30" x14ac:dyDescent="0.25">
      <c r="A7" s="94">
        <v>1953</v>
      </c>
      <c r="B7" s="139">
        <f>Paris_Inflow!B8-Paris_Outflow!B8+B6</f>
        <v>0</v>
      </c>
      <c r="C7" s="139">
        <f>Paris_Inflow!C8-Paris_Outflow!C8+C6</f>
        <v>0</v>
      </c>
      <c r="D7" s="136">
        <f>Paris_Inflow!D8-Paris_Outflow!D8+D6</f>
        <v>0</v>
      </c>
      <c r="E7" s="136">
        <f>Paris_Inflow!E8-Paris_Outflow!E8+E6</f>
        <v>0</v>
      </c>
      <c r="F7" s="136">
        <f>Paris_Inflow!F8-Paris_Outflow!F8+F6</f>
        <v>0</v>
      </c>
      <c r="G7" s="136">
        <f>Paris_Inflow!G8-Paris_Outflow!G8+G6</f>
        <v>0</v>
      </c>
      <c r="H7" s="115"/>
      <c r="I7" s="131"/>
      <c r="J7" s="131"/>
      <c r="K7" s="131"/>
      <c r="L7" s="115"/>
      <c r="M7" s="128"/>
      <c r="N7" s="128"/>
      <c r="O7" s="128"/>
      <c r="P7" s="126"/>
      <c r="Q7" s="126"/>
      <c r="R7" s="126"/>
      <c r="S7" s="115"/>
      <c r="T7" s="131"/>
      <c r="U7" s="131"/>
      <c r="V7" s="131"/>
      <c r="W7" s="115"/>
      <c r="X7" s="128"/>
      <c r="Y7" s="128"/>
      <c r="Z7" s="128"/>
      <c r="AA7" s="126"/>
      <c r="AB7" s="126"/>
      <c r="AC7" s="126"/>
      <c r="AD7" s="115"/>
    </row>
    <row r="8" spans="1:30" x14ac:dyDescent="0.25">
      <c r="A8" s="94">
        <v>1954</v>
      </c>
      <c r="B8" s="139">
        <f>Paris_Inflow!B9-Paris_Outflow!B9+B7</f>
        <v>0</v>
      </c>
      <c r="C8" s="139">
        <f>Paris_Inflow!C9-Paris_Outflow!C9+C7</f>
        <v>0</v>
      </c>
      <c r="D8" s="136">
        <f>Paris_Inflow!D9-Paris_Outflow!D9+D7</f>
        <v>0</v>
      </c>
      <c r="E8" s="136">
        <f>Paris_Inflow!E9-Paris_Outflow!E9+E7</f>
        <v>0</v>
      </c>
      <c r="F8" s="136">
        <f>Paris_Inflow!F9-Paris_Outflow!F9+F7</f>
        <v>0</v>
      </c>
      <c r="G8" s="136">
        <f>Paris_Inflow!G9-Paris_Outflow!G9+G7</f>
        <v>0</v>
      </c>
      <c r="H8" s="115"/>
      <c r="I8" s="131"/>
      <c r="J8" s="131"/>
      <c r="K8" s="131"/>
      <c r="L8" s="115"/>
      <c r="M8" s="128"/>
      <c r="N8" s="128"/>
      <c r="O8" s="128"/>
      <c r="P8" s="126"/>
      <c r="Q8" s="126"/>
      <c r="R8" s="126"/>
      <c r="S8" s="115"/>
      <c r="T8" s="131"/>
      <c r="U8" s="131"/>
      <c r="V8" s="131"/>
      <c r="W8" s="115"/>
      <c r="X8" s="128"/>
      <c r="Y8" s="128"/>
      <c r="Z8" s="128"/>
      <c r="AA8" s="126"/>
      <c r="AB8" s="126"/>
      <c r="AC8" s="126"/>
      <c r="AD8" s="115"/>
    </row>
    <row r="9" spans="1:30" x14ac:dyDescent="0.25">
      <c r="A9" s="94">
        <v>1955</v>
      </c>
      <c r="B9" s="139">
        <f>Paris_Inflow!B10-Paris_Outflow!B10+B8</f>
        <v>0</v>
      </c>
      <c r="C9" s="139">
        <f>Paris_Inflow!C10-Paris_Outflow!C10+C8</f>
        <v>0</v>
      </c>
      <c r="D9" s="136">
        <f>Paris_Inflow!D10-Paris_Outflow!D10+D8</f>
        <v>0</v>
      </c>
      <c r="E9" s="136">
        <f>Paris_Inflow!E10-Paris_Outflow!E10+E8</f>
        <v>0</v>
      </c>
      <c r="F9" s="136">
        <f>Paris_Inflow!F10-Paris_Outflow!F10+F8</f>
        <v>0</v>
      </c>
      <c r="G9" s="136">
        <f>Paris_Inflow!G10-Paris_Outflow!G10+G8</f>
        <v>0</v>
      </c>
      <c r="H9" s="115"/>
      <c r="I9" s="131"/>
      <c r="J9" s="131"/>
      <c r="K9" s="131"/>
      <c r="L9" s="115"/>
      <c r="M9" s="128"/>
      <c r="N9" s="128"/>
      <c r="O9" s="128"/>
      <c r="P9" s="126"/>
      <c r="Q9" s="126"/>
      <c r="R9" s="126"/>
      <c r="S9" s="115"/>
      <c r="T9" s="131"/>
      <c r="U9" s="131"/>
      <c r="V9" s="131"/>
      <c r="W9" s="115"/>
      <c r="X9" s="128"/>
      <c r="Y9" s="128"/>
      <c r="Z9" s="128"/>
      <c r="AA9" s="126"/>
      <c r="AB9" s="126"/>
      <c r="AC9" s="126"/>
      <c r="AD9" s="115"/>
    </row>
    <row r="10" spans="1:30" x14ac:dyDescent="0.25">
      <c r="A10" s="94">
        <v>1956</v>
      </c>
      <c r="B10" s="139">
        <f>Paris_Inflow!B11-Paris_Outflow!B11+B9</f>
        <v>0</v>
      </c>
      <c r="C10" s="139">
        <f>Paris_Inflow!C11-Paris_Outflow!C11+C9</f>
        <v>0</v>
      </c>
      <c r="D10" s="136">
        <f>Paris_Inflow!D11-Paris_Outflow!D11+D9</f>
        <v>0</v>
      </c>
      <c r="E10" s="136">
        <f>Paris_Inflow!E11-Paris_Outflow!E11+E9</f>
        <v>0</v>
      </c>
      <c r="F10" s="136">
        <f>Paris_Inflow!F11-Paris_Outflow!F11+F9</f>
        <v>0</v>
      </c>
      <c r="G10" s="136">
        <f>Paris_Inflow!G11-Paris_Outflow!G11+G9</f>
        <v>0</v>
      </c>
      <c r="H10" s="115"/>
      <c r="I10" s="131"/>
      <c r="J10" s="131"/>
      <c r="K10" s="131"/>
      <c r="L10" s="115"/>
      <c r="M10" s="128"/>
      <c r="N10" s="128"/>
      <c r="O10" s="128"/>
      <c r="P10" s="126"/>
      <c r="Q10" s="126"/>
      <c r="R10" s="126"/>
      <c r="S10" s="115"/>
      <c r="T10" s="131"/>
      <c r="U10" s="131"/>
      <c r="V10" s="131"/>
      <c r="W10" s="115"/>
      <c r="X10" s="128"/>
      <c r="Y10" s="128"/>
      <c r="Z10" s="128"/>
      <c r="AA10" s="126"/>
      <c r="AB10" s="126"/>
      <c r="AC10" s="126"/>
      <c r="AD10" s="115"/>
    </row>
    <row r="11" spans="1:30" x14ac:dyDescent="0.25">
      <c r="A11" s="94">
        <v>1957</v>
      </c>
      <c r="B11" s="139">
        <f>Paris_Inflow!B12-Paris_Outflow!B12+B10</f>
        <v>4950</v>
      </c>
      <c r="C11" s="139">
        <f>Paris_Inflow!C12-Paris_Outflow!C12+C10</f>
        <v>61.875</v>
      </c>
      <c r="D11" s="136">
        <f>Paris_Inflow!D12-Paris_Outflow!D12+D10</f>
        <v>61.875</v>
      </c>
      <c r="E11" s="136">
        <f>Paris_Inflow!E12-Paris_Outflow!E12+E10</f>
        <v>0</v>
      </c>
      <c r="F11" s="136">
        <f>Paris_Inflow!F12-Paris_Outflow!F12+F10</f>
        <v>13.2</v>
      </c>
      <c r="G11" s="136">
        <f>Paris_Inflow!G12-Paris_Outflow!G12+G10</f>
        <v>0</v>
      </c>
      <c r="H11" s="115"/>
      <c r="I11" s="131"/>
      <c r="J11" s="131"/>
      <c r="K11" s="131"/>
      <c r="L11" s="115"/>
      <c r="M11" s="128"/>
      <c r="N11" s="128"/>
      <c r="O11" s="128"/>
      <c r="P11" s="126"/>
      <c r="Q11" s="126"/>
      <c r="R11" s="126"/>
      <c r="S11" s="115"/>
      <c r="T11" s="131"/>
      <c r="U11" s="131"/>
      <c r="V11" s="131"/>
      <c r="W11" s="115"/>
      <c r="X11" s="128"/>
      <c r="Y11" s="128"/>
      <c r="Z11" s="128"/>
      <c r="AA11" s="126"/>
      <c r="AB11" s="126"/>
      <c r="AC11" s="126"/>
      <c r="AD11" s="115"/>
    </row>
    <row r="12" spans="1:30" x14ac:dyDescent="0.25">
      <c r="A12" s="94">
        <v>1958</v>
      </c>
      <c r="B12" s="139">
        <f>Paris_Inflow!B13-Paris_Outflow!B13+B11</f>
        <v>4950</v>
      </c>
      <c r="C12" s="139">
        <f>Paris_Inflow!C13-Paris_Outflow!C13+C11</f>
        <v>61.875</v>
      </c>
      <c r="D12" s="136">
        <f>Paris_Inflow!D13-Paris_Outflow!D13+D11</f>
        <v>61.875</v>
      </c>
      <c r="E12" s="136">
        <f>Paris_Inflow!E13-Paris_Outflow!E13+E11</f>
        <v>0</v>
      </c>
      <c r="F12" s="136">
        <f>Paris_Inflow!F13-Paris_Outflow!F13+F11</f>
        <v>13.2</v>
      </c>
      <c r="G12" s="136">
        <f>Paris_Inflow!G13-Paris_Outflow!G13+G11</f>
        <v>0</v>
      </c>
      <c r="H12" s="115"/>
      <c r="I12" s="131"/>
      <c r="J12" s="131"/>
      <c r="K12" s="131"/>
      <c r="L12" s="115"/>
      <c r="M12" s="128"/>
      <c r="N12" s="128"/>
      <c r="O12" s="128"/>
      <c r="P12" s="126"/>
      <c r="Q12" s="126"/>
      <c r="R12" s="126"/>
      <c r="S12" s="115"/>
      <c r="T12" s="131"/>
      <c r="U12" s="131"/>
      <c r="V12" s="131"/>
      <c r="W12" s="115"/>
      <c r="X12" s="128"/>
      <c r="Y12" s="128"/>
      <c r="Z12" s="128"/>
      <c r="AA12" s="126"/>
      <c r="AB12" s="126"/>
      <c r="AC12" s="126"/>
      <c r="AD12" s="115"/>
    </row>
    <row r="13" spans="1:30" x14ac:dyDescent="0.25">
      <c r="A13" s="94">
        <v>1959</v>
      </c>
      <c r="B13" s="139">
        <f>Paris_Inflow!B14-Paris_Outflow!B14+B12</f>
        <v>4950</v>
      </c>
      <c r="C13" s="139">
        <f>Paris_Inflow!C14-Paris_Outflow!C14+C12</f>
        <v>61.875</v>
      </c>
      <c r="D13" s="136">
        <f>Paris_Inflow!D14-Paris_Outflow!D14+D12</f>
        <v>61.875</v>
      </c>
      <c r="E13" s="136">
        <f>Paris_Inflow!E14-Paris_Outflow!E14+E12</f>
        <v>0</v>
      </c>
      <c r="F13" s="136">
        <f>Paris_Inflow!F14-Paris_Outflow!F14+F12</f>
        <v>13.2</v>
      </c>
      <c r="G13" s="136">
        <f>Paris_Inflow!G14-Paris_Outflow!G14+G12</f>
        <v>0</v>
      </c>
      <c r="H13" s="115"/>
      <c r="I13" s="131"/>
      <c r="J13" s="131"/>
      <c r="K13" s="131"/>
      <c r="L13" s="115"/>
      <c r="M13" s="128"/>
      <c r="N13" s="128"/>
      <c r="O13" s="128"/>
      <c r="P13" s="126"/>
      <c r="Q13" s="126"/>
      <c r="R13" s="126"/>
      <c r="S13" s="115"/>
      <c r="T13" s="131"/>
      <c r="U13" s="131"/>
      <c r="V13" s="131"/>
      <c r="W13" s="115"/>
      <c r="X13" s="128"/>
      <c r="Y13" s="128"/>
      <c r="Z13" s="128"/>
      <c r="AA13" s="126"/>
      <c r="AB13" s="126"/>
      <c r="AC13" s="126"/>
      <c r="AD13" s="115"/>
    </row>
    <row r="14" spans="1:30" x14ac:dyDescent="0.25">
      <c r="A14" s="94">
        <v>1960</v>
      </c>
      <c r="B14" s="139">
        <f>Paris_Inflow!B15-Paris_Outflow!B15+B13</f>
        <v>4950</v>
      </c>
      <c r="C14" s="139">
        <f>Paris_Inflow!C15-Paris_Outflow!C15+C13</f>
        <v>61.875</v>
      </c>
      <c r="D14" s="136">
        <f>Paris_Inflow!D15-Paris_Outflow!D15+D13</f>
        <v>61.875</v>
      </c>
      <c r="E14" s="136">
        <f>Paris_Inflow!E15-Paris_Outflow!E15+E13</f>
        <v>0</v>
      </c>
      <c r="F14" s="136">
        <f>Paris_Inflow!F15-Paris_Outflow!F15+F13</f>
        <v>13.2</v>
      </c>
      <c r="G14" s="136">
        <f>Paris_Inflow!G15-Paris_Outflow!G15+G13</f>
        <v>0</v>
      </c>
      <c r="H14" s="115"/>
      <c r="I14" s="131"/>
      <c r="J14" s="131"/>
      <c r="K14" s="131"/>
      <c r="L14" s="115"/>
      <c r="M14" s="128"/>
      <c r="N14" s="128"/>
      <c r="O14" s="128"/>
      <c r="P14" s="126"/>
      <c r="Q14" s="126"/>
      <c r="R14" s="126"/>
      <c r="S14" s="115"/>
      <c r="T14" s="131"/>
      <c r="U14" s="131"/>
      <c r="V14" s="131"/>
      <c r="W14" s="115"/>
      <c r="X14" s="128"/>
      <c r="Y14" s="128"/>
      <c r="Z14" s="128"/>
      <c r="AA14" s="126"/>
      <c r="AB14" s="126"/>
      <c r="AC14" s="126"/>
      <c r="AD14" s="115"/>
    </row>
    <row r="15" spans="1:30" x14ac:dyDescent="0.25">
      <c r="A15" s="94">
        <v>1961</v>
      </c>
      <c r="B15" s="139">
        <f>Paris_Inflow!B16-Paris_Outflow!B16+B14</f>
        <v>10623.6</v>
      </c>
      <c r="C15" s="139">
        <f>Paris_Inflow!C16-Paris_Outflow!C16+C14</f>
        <v>143.75700000000001</v>
      </c>
      <c r="D15" s="136">
        <f>Paris_Inflow!D16-Paris_Outflow!D16+D14</f>
        <v>143.75700000000001</v>
      </c>
      <c r="E15" s="136">
        <f>Paris_Inflow!E16-Paris_Outflow!E16+E14</f>
        <v>0</v>
      </c>
      <c r="F15" s="136">
        <f>Paris_Inflow!F16-Paris_Outflow!F16+F14</f>
        <v>27.680479999999999</v>
      </c>
      <c r="G15" s="136">
        <f>Paris_Inflow!G16-Paris_Outflow!G16+G14</f>
        <v>0</v>
      </c>
      <c r="H15" s="115"/>
      <c r="I15" s="131"/>
      <c r="J15" s="131"/>
      <c r="K15" s="131"/>
      <c r="L15" s="115"/>
      <c r="M15" s="128"/>
      <c r="N15" s="128"/>
      <c r="O15" s="128"/>
      <c r="P15" s="126"/>
      <c r="Q15" s="126"/>
      <c r="R15" s="126"/>
      <c r="S15" s="115"/>
      <c r="T15" s="131"/>
      <c r="U15" s="131"/>
      <c r="V15" s="131"/>
      <c r="W15" s="115"/>
      <c r="X15" s="128"/>
      <c r="Y15" s="128"/>
      <c r="Z15" s="128"/>
      <c r="AA15" s="126"/>
      <c r="AB15" s="126"/>
      <c r="AC15" s="126"/>
      <c r="AD15" s="115"/>
    </row>
    <row r="16" spans="1:30" x14ac:dyDescent="0.25">
      <c r="A16" s="94">
        <v>1962</v>
      </c>
      <c r="B16" s="139">
        <f>Paris_Inflow!B17-Paris_Outflow!B17+B15</f>
        <v>10623.6</v>
      </c>
      <c r="C16" s="139">
        <f>Paris_Inflow!C17-Paris_Outflow!C17+C15</f>
        <v>143.75700000000001</v>
      </c>
      <c r="D16" s="136">
        <f>Paris_Inflow!D17-Paris_Outflow!D17+D15</f>
        <v>143.75700000000001</v>
      </c>
      <c r="E16" s="136">
        <f>Paris_Inflow!E17-Paris_Outflow!E17+E15</f>
        <v>0</v>
      </c>
      <c r="F16" s="136">
        <f>Paris_Inflow!F17-Paris_Outflow!F17+F15</f>
        <v>27.680479999999999</v>
      </c>
      <c r="G16" s="136">
        <f>Paris_Inflow!G17-Paris_Outflow!G17+G15</f>
        <v>0</v>
      </c>
      <c r="H16" s="115"/>
      <c r="I16" s="131"/>
      <c r="J16" s="131"/>
      <c r="K16" s="131"/>
      <c r="L16" s="115"/>
      <c r="M16" s="128"/>
      <c r="N16" s="128"/>
      <c r="O16" s="128"/>
      <c r="P16" s="126"/>
      <c r="Q16" s="126"/>
      <c r="R16" s="126"/>
      <c r="S16" s="115"/>
      <c r="T16" s="131"/>
      <c r="U16" s="131"/>
      <c r="V16" s="131"/>
      <c r="W16" s="115"/>
      <c r="X16" s="128"/>
      <c r="Y16" s="128"/>
      <c r="Z16" s="128"/>
      <c r="AA16" s="126"/>
      <c r="AB16" s="126"/>
      <c r="AC16" s="126"/>
      <c r="AD16" s="115"/>
    </row>
    <row r="17" spans="1:30" x14ac:dyDescent="0.25">
      <c r="A17" s="94">
        <v>1963</v>
      </c>
      <c r="B17" s="139">
        <f>Paris_Inflow!B18-Paris_Outflow!B18+B16</f>
        <v>63354.6</v>
      </c>
      <c r="C17" s="139">
        <f>Paris_Inflow!C18-Paris_Outflow!C18+C16</f>
        <v>1330.2045000000001</v>
      </c>
      <c r="D17" s="136">
        <f>Paris_Inflow!D18-Paris_Outflow!D18+D16</f>
        <v>1330.2045000000001</v>
      </c>
      <c r="E17" s="136">
        <f>Paris_Inflow!E18-Paris_Outflow!E18+E16</f>
        <v>0</v>
      </c>
      <c r="F17" s="136">
        <f>Paris_Inflow!F18-Paris_Outflow!F18+F16</f>
        <v>105.80648000000001</v>
      </c>
      <c r="G17" s="136">
        <f>Paris_Inflow!G18-Paris_Outflow!G18+G16</f>
        <v>0</v>
      </c>
      <c r="H17" s="115"/>
      <c r="I17" s="131"/>
      <c r="J17" s="131"/>
      <c r="K17" s="131"/>
      <c r="L17" s="115"/>
      <c r="M17" s="128"/>
      <c r="N17" s="128"/>
      <c r="O17" s="128"/>
      <c r="P17" s="126"/>
      <c r="Q17" s="126"/>
      <c r="R17" s="126"/>
      <c r="S17" s="115"/>
      <c r="T17" s="131"/>
      <c r="U17" s="131"/>
      <c r="V17" s="131"/>
      <c r="W17" s="115"/>
      <c r="X17" s="128"/>
      <c r="Y17" s="128"/>
      <c r="Z17" s="128"/>
      <c r="AA17" s="126"/>
      <c r="AB17" s="126"/>
      <c r="AC17" s="126"/>
      <c r="AD17" s="115"/>
    </row>
    <row r="18" spans="1:30" x14ac:dyDescent="0.25">
      <c r="A18" s="94">
        <v>1964</v>
      </c>
      <c r="B18" s="139">
        <f>Paris_Inflow!B19-Paris_Outflow!B19+B17</f>
        <v>63354.6</v>
      </c>
      <c r="C18" s="139">
        <f>Paris_Inflow!C19-Paris_Outflow!C19+C17</f>
        <v>1330.2045000000001</v>
      </c>
      <c r="D18" s="136">
        <f>Paris_Inflow!D19-Paris_Outflow!D19+D17</f>
        <v>1330.2045000000001</v>
      </c>
      <c r="E18" s="136">
        <f>Paris_Inflow!E19-Paris_Outflow!E19+E17</f>
        <v>0</v>
      </c>
      <c r="F18" s="136">
        <f>Paris_Inflow!F19-Paris_Outflow!F19+F17</f>
        <v>105.80648000000001</v>
      </c>
      <c r="G18" s="136">
        <f>Paris_Inflow!G19-Paris_Outflow!G19+G17</f>
        <v>0</v>
      </c>
      <c r="H18" s="115"/>
      <c r="I18" s="131"/>
      <c r="J18" s="131"/>
      <c r="K18" s="131"/>
      <c r="L18" s="115"/>
      <c r="M18" s="128"/>
      <c r="N18" s="128"/>
      <c r="O18" s="128"/>
      <c r="P18" s="126"/>
      <c r="Q18" s="126"/>
      <c r="R18" s="126"/>
      <c r="S18" s="115"/>
      <c r="T18" s="131"/>
      <c r="U18" s="131"/>
      <c r="V18" s="131"/>
      <c r="W18" s="115"/>
      <c r="X18" s="128"/>
      <c r="Y18" s="128"/>
      <c r="Z18" s="128"/>
      <c r="AA18" s="126"/>
      <c r="AB18" s="126"/>
      <c r="AC18" s="126"/>
      <c r="AD18" s="115"/>
    </row>
    <row r="19" spans="1:30" x14ac:dyDescent="0.25">
      <c r="A19" s="94">
        <v>1965</v>
      </c>
      <c r="B19" s="139">
        <f>Paris_Inflow!B20-Paris_Outflow!B20+B18</f>
        <v>63354.6</v>
      </c>
      <c r="C19" s="139">
        <f>Paris_Inflow!C20-Paris_Outflow!C20+C18</f>
        <v>1330.2045000000001</v>
      </c>
      <c r="D19" s="136">
        <f>Paris_Inflow!D20-Paris_Outflow!D20+D18</f>
        <v>1330.2045000000001</v>
      </c>
      <c r="E19" s="136">
        <f>Paris_Inflow!E20-Paris_Outflow!E20+E18</f>
        <v>0</v>
      </c>
      <c r="F19" s="136">
        <f>Paris_Inflow!F20-Paris_Outflow!F20+F18</f>
        <v>105.80648000000001</v>
      </c>
      <c r="G19" s="136">
        <f>Paris_Inflow!G20-Paris_Outflow!G20+G18</f>
        <v>0</v>
      </c>
      <c r="H19" s="115"/>
      <c r="I19" s="131"/>
      <c r="J19" s="131"/>
      <c r="K19" s="131"/>
      <c r="L19" s="115"/>
      <c r="M19" s="128"/>
      <c r="N19" s="128"/>
      <c r="O19" s="128"/>
      <c r="P19" s="126"/>
      <c r="Q19" s="126"/>
      <c r="R19" s="126"/>
      <c r="S19" s="115"/>
      <c r="T19" s="131"/>
      <c r="U19" s="131"/>
      <c r="V19" s="131"/>
      <c r="W19" s="115"/>
      <c r="X19" s="128"/>
      <c r="Y19" s="128"/>
      <c r="Z19" s="128"/>
      <c r="AA19" s="126"/>
      <c r="AB19" s="126"/>
      <c r="AC19" s="126"/>
      <c r="AD19" s="115"/>
    </row>
    <row r="20" spans="1:30" x14ac:dyDescent="0.25">
      <c r="A20" s="94">
        <v>1966</v>
      </c>
      <c r="B20" s="139">
        <f>Paris_Inflow!B21-Paris_Outflow!B21+B19</f>
        <v>83358.36</v>
      </c>
      <c r="C20" s="139">
        <f>Paris_Inflow!C21-Paris_Outflow!C21+C19</f>
        <v>1730.2797</v>
      </c>
      <c r="D20" s="136">
        <f>Paris_Inflow!D21-Paris_Outflow!D21+D19</f>
        <v>1387.3580999999999</v>
      </c>
      <c r="E20" s="136">
        <f>Paris_Inflow!E21-Paris_Outflow!E21+E19</f>
        <v>342.92159999999996</v>
      </c>
      <c r="F20" s="136">
        <f>Paris_Inflow!F21-Paris_Outflow!F21+F19</f>
        <v>139.79048</v>
      </c>
      <c r="G20" s="136">
        <f>Paris_Inflow!G21-Paris_Outflow!G21+G19</f>
        <v>20.16</v>
      </c>
      <c r="H20" s="115"/>
      <c r="I20" s="131"/>
      <c r="J20" s="131"/>
      <c r="K20" s="131"/>
      <c r="L20" s="115"/>
      <c r="M20" s="128"/>
      <c r="N20" s="128"/>
      <c r="O20" s="128"/>
      <c r="P20" s="126"/>
      <c r="Q20" s="126"/>
      <c r="R20" s="126"/>
      <c r="S20" s="115"/>
      <c r="T20" s="131"/>
      <c r="U20" s="131"/>
      <c r="V20" s="131"/>
      <c r="W20" s="115"/>
      <c r="X20" s="128"/>
      <c r="Y20" s="128"/>
      <c r="Z20" s="128"/>
      <c r="AA20" s="126"/>
      <c r="AB20" s="126"/>
      <c r="AC20" s="126"/>
      <c r="AD20" s="115"/>
    </row>
    <row r="21" spans="1:30" x14ac:dyDescent="0.25">
      <c r="A21" s="94">
        <v>1967</v>
      </c>
      <c r="B21" s="139">
        <f>Paris_Inflow!B22-Paris_Outflow!B22+B20</f>
        <v>92843.16</v>
      </c>
      <c r="C21" s="139">
        <f>Paris_Inflow!C22-Paris_Outflow!C22+C20</f>
        <v>1919.9757</v>
      </c>
      <c r="D21" s="136">
        <f>Paris_Inflow!D22-Paris_Outflow!D22+D20</f>
        <v>1426.8780999999999</v>
      </c>
      <c r="E21" s="136">
        <f>Paris_Inflow!E22-Paris_Outflow!E22+E20</f>
        <v>493.09759999999994</v>
      </c>
      <c r="F21" s="136">
        <f>Paris_Inflow!F22-Paris_Outflow!F22+F20</f>
        <v>159.15528</v>
      </c>
      <c r="G21" s="136">
        <f>Paris_Inflow!G22-Paris_Outflow!G22+G20</f>
        <v>31.620799999999999</v>
      </c>
      <c r="H21" s="115"/>
      <c r="I21" s="131"/>
      <c r="J21" s="131"/>
      <c r="K21" s="131"/>
      <c r="L21" s="115"/>
      <c r="M21" s="128"/>
      <c r="N21" s="128"/>
      <c r="O21" s="128"/>
      <c r="P21" s="126"/>
      <c r="Q21" s="126"/>
      <c r="R21" s="126"/>
      <c r="S21" s="115"/>
      <c r="T21" s="131"/>
      <c r="U21" s="131"/>
      <c r="V21" s="131"/>
      <c r="W21" s="115"/>
      <c r="X21" s="128"/>
      <c r="Y21" s="128"/>
      <c r="Z21" s="128"/>
      <c r="AA21" s="126"/>
      <c r="AB21" s="126"/>
      <c r="AC21" s="126"/>
      <c r="AD21" s="115"/>
    </row>
    <row r="22" spans="1:30" x14ac:dyDescent="0.25">
      <c r="A22" s="94">
        <v>1968</v>
      </c>
      <c r="B22" s="139">
        <f>Paris_Inflow!B23-Paris_Outflow!B23+B21</f>
        <v>99754.680000000008</v>
      </c>
      <c r="C22" s="139">
        <f>Paris_Inflow!C23-Paris_Outflow!C23+C21</f>
        <v>2058.2060999999999</v>
      </c>
      <c r="D22" s="136">
        <f>Paris_Inflow!D23-Paris_Outflow!D23+D21</f>
        <v>1426.8780999999999</v>
      </c>
      <c r="E22" s="136">
        <f>Paris_Inflow!E23-Paris_Outflow!E23+E21</f>
        <v>631.32799999999997</v>
      </c>
      <c r="F22" s="136">
        <f>Paris_Inflow!F23-Paris_Outflow!F23+F21</f>
        <v>166.90456</v>
      </c>
      <c r="G22" s="136">
        <f>Paris_Inflow!G23-Paris_Outflow!G23+G21</f>
        <v>39.370080000000002</v>
      </c>
      <c r="H22" s="115"/>
      <c r="I22" s="131"/>
      <c r="J22" s="131"/>
      <c r="K22" s="131"/>
      <c r="L22" s="115"/>
      <c r="M22" s="128"/>
      <c r="N22" s="128"/>
      <c r="O22" s="128"/>
      <c r="P22" s="126"/>
      <c r="Q22" s="126"/>
      <c r="R22" s="126"/>
      <c r="S22" s="115"/>
      <c r="T22" s="131"/>
      <c r="U22" s="131"/>
      <c r="V22" s="131"/>
      <c r="W22" s="115"/>
      <c r="X22" s="128"/>
      <c r="Y22" s="128"/>
      <c r="Z22" s="128"/>
      <c r="AA22" s="126"/>
      <c r="AB22" s="126"/>
      <c r="AC22" s="126"/>
      <c r="AD22" s="115"/>
    </row>
    <row r="23" spans="1:30" x14ac:dyDescent="0.25">
      <c r="A23" s="94">
        <v>1969</v>
      </c>
      <c r="B23" s="139">
        <f>Paris_Inflow!B24-Paris_Outflow!B24+B22</f>
        <v>112104.68000000001</v>
      </c>
      <c r="C23" s="139">
        <f>Paris_Inflow!C24-Paris_Outflow!C24+C22</f>
        <v>2305.2060999999999</v>
      </c>
      <c r="D23" s="136">
        <f>Paris_Inflow!D24-Paris_Outflow!D24+D22</f>
        <v>1426.8780999999999</v>
      </c>
      <c r="E23" s="136">
        <f>Paris_Inflow!E24-Paris_Outflow!E24+E22</f>
        <v>878.32799999999997</v>
      </c>
      <c r="F23" s="136">
        <f>Paris_Inflow!F24-Paris_Outflow!F24+F22</f>
        <v>185.90456</v>
      </c>
      <c r="G23" s="136">
        <f>Paris_Inflow!G24-Paris_Outflow!G24+G22</f>
        <v>58.370080000000002</v>
      </c>
      <c r="H23" s="115"/>
      <c r="I23" s="131"/>
      <c r="J23" s="131"/>
      <c r="K23" s="131"/>
      <c r="L23" s="115"/>
      <c r="M23" s="128"/>
      <c r="N23" s="128"/>
      <c r="O23" s="128"/>
      <c r="P23" s="126"/>
      <c r="Q23" s="126"/>
      <c r="R23" s="126"/>
      <c r="S23" s="115"/>
      <c r="T23" s="131"/>
      <c r="U23" s="131"/>
      <c r="V23" s="131"/>
      <c r="W23" s="115"/>
      <c r="X23" s="128"/>
      <c r="Y23" s="128"/>
      <c r="Z23" s="128"/>
      <c r="AA23" s="126"/>
      <c r="AB23" s="126"/>
      <c r="AC23" s="126"/>
      <c r="AD23" s="115"/>
    </row>
    <row r="24" spans="1:30" x14ac:dyDescent="0.25">
      <c r="A24" s="94">
        <v>1970</v>
      </c>
      <c r="B24" s="139">
        <f>Paris_Inflow!B25-Paris_Outflow!B25+B23</f>
        <v>146189.68</v>
      </c>
      <c r="C24" s="139">
        <f>Paris_Inflow!C25-Paris_Outflow!C25+C23</f>
        <v>2995.6310999999996</v>
      </c>
      <c r="D24" s="136">
        <f>Paris_Inflow!D25-Paris_Outflow!D25+D23</f>
        <v>1470.0030999999999</v>
      </c>
      <c r="E24" s="136">
        <f>Paris_Inflow!E25-Paris_Outflow!E25+E23</f>
        <v>1525.6279999999999</v>
      </c>
      <c r="F24" s="136">
        <f>Paris_Inflow!F25-Paris_Outflow!F25+F23</f>
        <v>232.29956000000001</v>
      </c>
      <c r="G24" s="136">
        <f>Paris_Inflow!G25-Paris_Outflow!G25+G23</f>
        <v>99.983413333333331</v>
      </c>
      <c r="H24" s="115"/>
      <c r="I24" s="131"/>
      <c r="J24" s="131"/>
      <c r="K24" s="131"/>
      <c r="L24" s="115"/>
      <c r="M24" s="128"/>
      <c r="N24" s="128"/>
      <c r="O24" s="128"/>
      <c r="P24" s="126"/>
      <c r="Q24" s="126"/>
      <c r="R24" s="126"/>
      <c r="S24" s="115"/>
      <c r="T24" s="131"/>
      <c r="U24" s="131"/>
      <c r="V24" s="131"/>
      <c r="W24" s="115"/>
      <c r="X24" s="128"/>
      <c r="Y24" s="128"/>
      <c r="Z24" s="128"/>
      <c r="AA24" s="126"/>
      <c r="AB24" s="126"/>
      <c r="AC24" s="126"/>
      <c r="AD24" s="115"/>
    </row>
    <row r="25" spans="1:30" x14ac:dyDescent="0.25">
      <c r="A25" s="94">
        <v>1971</v>
      </c>
      <c r="B25" s="139">
        <f>Paris_Inflow!B26-Paris_Outflow!B26+B24</f>
        <v>161107.28</v>
      </c>
      <c r="C25" s="139">
        <f>Paris_Inflow!C26-Paris_Outflow!C26+C24</f>
        <v>3273.6190999999994</v>
      </c>
      <c r="D25" s="136">
        <f>Paris_Inflow!D26-Paris_Outflow!D26+D24</f>
        <v>1531.0951</v>
      </c>
      <c r="E25" s="136">
        <f>Paris_Inflow!E26-Paris_Outflow!E26+E24</f>
        <v>1742.5239999999999</v>
      </c>
      <c r="F25" s="136">
        <f>Paris_Inflow!F26-Paris_Outflow!F26+F24</f>
        <v>246.10356000000002</v>
      </c>
      <c r="G25" s="136">
        <f>Paris_Inflow!G26-Paris_Outflow!G26+G24</f>
        <v>114.44314666666666</v>
      </c>
      <c r="H25" s="115"/>
      <c r="I25" s="131"/>
      <c r="J25" s="131"/>
      <c r="K25" s="131"/>
      <c r="L25" s="115"/>
      <c r="M25" s="128"/>
      <c r="N25" s="128"/>
      <c r="O25" s="128"/>
      <c r="P25" s="126"/>
      <c r="Q25" s="126"/>
      <c r="R25" s="126"/>
      <c r="S25" s="115"/>
      <c r="T25" s="131"/>
      <c r="U25" s="131"/>
      <c r="V25" s="131"/>
      <c r="W25" s="115"/>
      <c r="X25" s="128"/>
      <c r="Y25" s="128"/>
      <c r="Z25" s="128"/>
      <c r="AA25" s="126"/>
      <c r="AB25" s="126"/>
      <c r="AC25" s="126"/>
      <c r="AD25" s="115"/>
    </row>
    <row r="26" spans="1:30" x14ac:dyDescent="0.25">
      <c r="A26" s="94">
        <v>1972</v>
      </c>
      <c r="B26" s="139">
        <f>Paris_Inflow!B27-Paris_Outflow!B27+B25</f>
        <v>221781.28</v>
      </c>
      <c r="C26" s="139">
        <f>Paris_Inflow!C27-Paris_Outflow!C27+C25</f>
        <v>4438.244099999999</v>
      </c>
      <c r="D26" s="136">
        <f>Paris_Inflow!D27-Paris_Outflow!D27+D25</f>
        <v>1665.9601</v>
      </c>
      <c r="E26" s="136">
        <f>Paris_Inflow!E27-Paris_Outflow!E27+E25</f>
        <v>2772.2839999999997</v>
      </c>
      <c r="F26" s="136">
        <f>Paris_Inflow!F27-Paris_Outflow!F27+F25</f>
        <v>305.28056000000004</v>
      </c>
      <c r="G26" s="136">
        <f>Paris_Inflow!G27-Paris_Outflow!G27+G25</f>
        <v>183.09381333333334</v>
      </c>
      <c r="H26" s="115"/>
      <c r="I26" s="131"/>
      <c r="J26" s="131"/>
      <c r="K26" s="131"/>
      <c r="L26" s="115"/>
      <c r="M26" s="128"/>
      <c r="N26" s="128"/>
      <c r="O26" s="128"/>
      <c r="P26" s="126"/>
      <c r="Q26" s="126"/>
      <c r="R26" s="126"/>
      <c r="S26" s="115"/>
      <c r="T26" s="131"/>
      <c r="U26" s="131"/>
      <c r="V26" s="131"/>
      <c r="W26" s="115"/>
      <c r="X26" s="128"/>
      <c r="Y26" s="128"/>
      <c r="Z26" s="128"/>
      <c r="AA26" s="126"/>
      <c r="AB26" s="126"/>
      <c r="AC26" s="126"/>
      <c r="AD26" s="115"/>
    </row>
    <row r="27" spans="1:30" x14ac:dyDescent="0.25">
      <c r="A27" s="94">
        <v>1973</v>
      </c>
      <c r="B27" s="139">
        <f>Paris_Inflow!B28-Paris_Outflow!B28+B26</f>
        <v>256431.28</v>
      </c>
      <c r="C27" s="139">
        <f>Paris_Inflow!C28-Paris_Outflow!C28+C26</f>
        <v>5006.7940999999992</v>
      </c>
      <c r="D27" s="136">
        <f>Paris_Inflow!D28-Paris_Outflow!D28+D26</f>
        <v>1728.6101000000001</v>
      </c>
      <c r="E27" s="136">
        <f>Paris_Inflow!E28-Paris_Outflow!E28+E26</f>
        <v>3278.1839999999997</v>
      </c>
      <c r="F27" s="136">
        <f>Paris_Inflow!F28-Paris_Outflow!F28+F26</f>
        <v>355.53389333333337</v>
      </c>
      <c r="G27" s="136">
        <f>Paris_Inflow!G28-Paris_Outflow!G28+G26</f>
        <v>221.80047999999999</v>
      </c>
      <c r="H27" s="115"/>
      <c r="I27" s="131"/>
      <c r="J27" s="131"/>
      <c r="K27" s="131"/>
      <c r="L27" s="115"/>
      <c r="M27" s="128"/>
      <c r="N27" s="128"/>
      <c r="O27" s="128"/>
      <c r="P27" s="126"/>
      <c r="Q27" s="126"/>
      <c r="R27" s="126"/>
      <c r="S27" s="115"/>
      <c r="T27" s="131"/>
      <c r="U27" s="131"/>
      <c r="V27" s="131"/>
      <c r="W27" s="115"/>
      <c r="X27" s="128"/>
      <c r="Y27" s="128"/>
      <c r="Z27" s="128"/>
      <c r="AA27" s="126"/>
      <c r="AB27" s="126"/>
      <c r="AC27" s="126"/>
      <c r="AD27" s="115"/>
    </row>
    <row r="28" spans="1:30" x14ac:dyDescent="0.25">
      <c r="A28" s="94">
        <v>1974</v>
      </c>
      <c r="B28" s="139">
        <f>Paris_Inflow!B29-Paris_Outflow!B29+B27</f>
        <v>399951.76</v>
      </c>
      <c r="C28" s="139">
        <f>Paris_Inflow!C29-Paris_Outflow!C29+C27</f>
        <v>7873.0466499999993</v>
      </c>
      <c r="D28" s="136">
        <f>Paris_Inflow!D29-Paris_Outflow!D29+D27</f>
        <v>2138.7398000000003</v>
      </c>
      <c r="E28" s="136">
        <f>Paris_Inflow!E29-Paris_Outflow!E29+E27</f>
        <v>5734.306849999999</v>
      </c>
      <c r="F28" s="136">
        <f>Paris_Inflow!F29-Paris_Outflow!F29+F27</f>
        <v>615.11336000000006</v>
      </c>
      <c r="G28" s="136">
        <f>Paris_Inflow!G29-Paris_Outflow!G29+G27</f>
        <v>387.70128</v>
      </c>
      <c r="H28" s="115"/>
      <c r="I28" s="131"/>
      <c r="J28" s="131"/>
      <c r="K28" s="131"/>
      <c r="L28" s="115"/>
      <c r="M28" s="128"/>
      <c r="N28" s="128"/>
      <c r="O28" s="128"/>
      <c r="P28" s="126"/>
      <c r="Q28" s="126"/>
      <c r="R28" s="126"/>
      <c r="S28" s="115"/>
      <c r="T28" s="131"/>
      <c r="U28" s="131"/>
      <c r="V28" s="131"/>
      <c r="W28" s="115"/>
      <c r="X28" s="128"/>
      <c r="Y28" s="128"/>
      <c r="Z28" s="128"/>
      <c r="AA28" s="126"/>
      <c r="AB28" s="126"/>
      <c r="AC28" s="126"/>
      <c r="AD28" s="115"/>
    </row>
    <row r="29" spans="1:30" x14ac:dyDescent="0.25">
      <c r="A29" s="94">
        <v>1975</v>
      </c>
      <c r="B29" s="139">
        <f>Paris_Inflow!B30-Paris_Outflow!B30+B28</f>
        <v>483869.80000000005</v>
      </c>
      <c r="C29" s="139">
        <f>Paris_Inflow!C30-Paris_Outflow!C30+C28</f>
        <v>9447.1451500000003</v>
      </c>
      <c r="D29" s="136">
        <f>Paris_Inflow!D30-Paris_Outflow!D30+D28</f>
        <v>2205.0323000000003</v>
      </c>
      <c r="E29" s="136">
        <f>Paris_Inflow!E30-Paris_Outflow!E30+E28</f>
        <v>7242.1128499999995</v>
      </c>
      <c r="F29" s="136">
        <f>Paris_Inflow!F30-Paris_Outflow!F30+F28</f>
        <v>706.35131384615386</v>
      </c>
      <c r="G29" s="136">
        <f>Paris_Inflow!G30-Paris_Outflow!G30+G28</f>
        <v>462.59307999999999</v>
      </c>
      <c r="H29" s="115"/>
      <c r="I29" s="131"/>
      <c r="J29" s="131"/>
      <c r="K29" s="131"/>
      <c r="L29" s="115"/>
      <c r="M29" s="128"/>
      <c r="N29" s="128"/>
      <c r="O29" s="128"/>
      <c r="P29" s="126"/>
      <c r="Q29" s="126"/>
      <c r="R29" s="126"/>
      <c r="S29" s="115"/>
      <c r="T29" s="131"/>
      <c r="U29" s="131"/>
      <c r="V29" s="131"/>
      <c r="W29" s="115"/>
      <c r="X29" s="128"/>
      <c r="Y29" s="128"/>
      <c r="Z29" s="128"/>
      <c r="AA29" s="126"/>
      <c r="AB29" s="126"/>
      <c r="AC29" s="126"/>
      <c r="AD29" s="115"/>
    </row>
    <row r="30" spans="1:30" x14ac:dyDescent="0.25">
      <c r="A30" s="94">
        <v>1976</v>
      </c>
      <c r="B30" s="139">
        <f>Paris_Inflow!B31-Paris_Outflow!B31+B29</f>
        <v>503603.37600000005</v>
      </c>
      <c r="C30" s="139">
        <f>Paris_Inflow!C31-Paris_Outflow!C31+C29</f>
        <v>9737.8398500000003</v>
      </c>
      <c r="D30" s="136">
        <f>Paris_Inflow!D31-Paris_Outflow!D31+D29</f>
        <v>2378.3270000000002</v>
      </c>
      <c r="E30" s="136">
        <f>Paris_Inflow!E31-Paris_Outflow!E31+E29</f>
        <v>7359.5128499999992</v>
      </c>
      <c r="F30" s="136">
        <f>Paris_Inflow!F31-Paris_Outflow!F31+F29</f>
        <v>741.98428615384614</v>
      </c>
      <c r="G30" s="136">
        <f>Paris_Inflow!G31-Paris_Outflow!G31+G29</f>
        <v>470.90807999999998</v>
      </c>
      <c r="H30" s="115"/>
      <c r="I30" s="131"/>
      <c r="J30" s="131"/>
      <c r="K30" s="131"/>
      <c r="L30" s="115"/>
      <c r="M30" s="128"/>
      <c r="N30" s="128"/>
      <c r="O30" s="128"/>
      <c r="P30" s="126"/>
      <c r="Q30" s="126"/>
      <c r="R30" s="126"/>
      <c r="S30" s="115"/>
      <c r="T30" s="131"/>
      <c r="U30" s="131"/>
      <c r="V30" s="131"/>
      <c r="W30" s="115"/>
      <c r="X30" s="128"/>
      <c r="Y30" s="128"/>
      <c r="Z30" s="128"/>
      <c r="AA30" s="126"/>
      <c r="AB30" s="126"/>
      <c r="AC30" s="126"/>
      <c r="AD30" s="115"/>
    </row>
    <row r="31" spans="1:30" x14ac:dyDescent="0.25">
      <c r="A31" s="94">
        <v>1977</v>
      </c>
      <c r="B31" s="139">
        <f>Paris_Inflow!B32-Paris_Outflow!B32+B30</f>
        <v>503603.37600000005</v>
      </c>
      <c r="C31" s="139">
        <f>Paris_Inflow!C32-Paris_Outflow!C32+C30</f>
        <v>9737.8398500000003</v>
      </c>
      <c r="D31" s="136">
        <f>Paris_Inflow!D32-Paris_Outflow!D32+D30</f>
        <v>2378.3270000000002</v>
      </c>
      <c r="E31" s="136">
        <f>Paris_Inflow!E32-Paris_Outflow!E32+E30</f>
        <v>7359.5128499999992</v>
      </c>
      <c r="F31" s="136">
        <f>Paris_Inflow!F32-Paris_Outflow!F32+F30</f>
        <v>741.98428615384614</v>
      </c>
      <c r="G31" s="136">
        <f>Paris_Inflow!G32-Paris_Outflow!G32+G30</f>
        <v>470.90807999999998</v>
      </c>
      <c r="H31" s="115"/>
      <c r="I31" s="131"/>
      <c r="J31" s="131"/>
      <c r="K31" s="131"/>
      <c r="L31" s="115"/>
      <c r="M31" s="128"/>
      <c r="N31" s="128"/>
      <c r="O31" s="128"/>
      <c r="P31" s="126"/>
      <c r="Q31" s="126"/>
      <c r="R31" s="126"/>
      <c r="S31" s="115"/>
      <c r="T31" s="131"/>
      <c r="U31" s="131"/>
      <c r="V31" s="131"/>
      <c r="W31" s="115"/>
      <c r="X31" s="128"/>
      <c r="Y31" s="128"/>
      <c r="Z31" s="128"/>
      <c r="AA31" s="126"/>
      <c r="AB31" s="126"/>
      <c r="AC31" s="126"/>
      <c r="AD31" s="115"/>
    </row>
    <row r="32" spans="1:30" x14ac:dyDescent="0.25">
      <c r="A32" s="94">
        <v>1978</v>
      </c>
      <c r="B32" s="139">
        <f>Paris_Inflow!B33-Paris_Outflow!B33+B31</f>
        <v>520203.87600000005</v>
      </c>
      <c r="C32" s="139">
        <f>Paris_Inflow!C33-Paris_Outflow!C33+C31</f>
        <v>10053.78485</v>
      </c>
      <c r="D32" s="136">
        <f>Paris_Inflow!D33-Paris_Outflow!D33+D31</f>
        <v>2426.5220000000004</v>
      </c>
      <c r="E32" s="136">
        <f>Paris_Inflow!E33-Paris_Outflow!E33+E31</f>
        <v>7627.2628499999992</v>
      </c>
      <c r="F32" s="136">
        <f>Paris_Inflow!F33-Paris_Outflow!F33+F31</f>
        <v>771.73428615384614</v>
      </c>
      <c r="G32" s="136">
        <f>Paris_Inflow!G33-Paris_Outflow!G33+G31</f>
        <v>485.78307999999998</v>
      </c>
      <c r="H32" s="115"/>
      <c r="I32" s="131"/>
      <c r="J32" s="131"/>
      <c r="K32" s="131"/>
      <c r="L32" s="115"/>
      <c r="M32" s="128"/>
      <c r="N32" s="128"/>
      <c r="O32" s="128"/>
      <c r="P32" s="126"/>
      <c r="Q32" s="126"/>
      <c r="R32" s="126"/>
      <c r="S32" s="115"/>
      <c r="T32" s="131"/>
      <c r="U32" s="131"/>
      <c r="V32" s="131"/>
      <c r="W32" s="115"/>
      <c r="X32" s="128"/>
      <c r="Y32" s="128"/>
      <c r="Z32" s="128"/>
      <c r="AA32" s="126"/>
      <c r="AB32" s="126"/>
      <c r="AC32" s="126"/>
      <c r="AD32" s="115"/>
    </row>
    <row r="33" spans="1:30" x14ac:dyDescent="0.25">
      <c r="A33" s="94">
        <v>1979</v>
      </c>
      <c r="B33" s="139">
        <f>Paris_Inflow!B34-Paris_Outflow!B34+B32</f>
        <v>520203.87600000005</v>
      </c>
      <c r="C33" s="139">
        <f>Paris_Inflow!C34-Paris_Outflow!C34+C32</f>
        <v>10053.78485</v>
      </c>
      <c r="D33" s="136">
        <f>Paris_Inflow!D34-Paris_Outflow!D34+D32</f>
        <v>2426.5220000000004</v>
      </c>
      <c r="E33" s="136">
        <f>Paris_Inflow!E34-Paris_Outflow!E34+E32</f>
        <v>7627.2628499999992</v>
      </c>
      <c r="F33" s="136">
        <f>Paris_Inflow!F34-Paris_Outflow!F34+F32</f>
        <v>771.73428615384614</v>
      </c>
      <c r="G33" s="136">
        <f>Paris_Inflow!G34-Paris_Outflow!G34+G32</f>
        <v>485.78307999999998</v>
      </c>
      <c r="H33" s="115"/>
      <c r="I33" s="131"/>
      <c r="J33" s="131"/>
      <c r="K33" s="131"/>
      <c r="L33" s="115"/>
      <c r="M33" s="128"/>
      <c r="N33" s="128"/>
      <c r="O33" s="128"/>
      <c r="P33" s="126"/>
      <c r="Q33" s="126"/>
      <c r="R33" s="126"/>
      <c r="S33" s="115"/>
      <c r="T33" s="131"/>
      <c r="U33" s="131"/>
      <c r="V33" s="131"/>
      <c r="W33" s="115"/>
      <c r="X33" s="128"/>
      <c r="Y33" s="128"/>
      <c r="Z33" s="128"/>
      <c r="AA33" s="126"/>
      <c r="AB33" s="126"/>
      <c r="AC33" s="126"/>
      <c r="AD33" s="115"/>
    </row>
    <row r="34" spans="1:30" x14ac:dyDescent="0.25">
      <c r="A34" s="94">
        <v>1980</v>
      </c>
      <c r="B34" s="139">
        <f>Paris_Inflow!B35-Paris_Outflow!B35+B33</f>
        <v>527170.41600000008</v>
      </c>
      <c r="C34" s="139">
        <f>Paris_Inflow!C35-Paris_Outflow!C35+C33</f>
        <v>10181.50475</v>
      </c>
      <c r="D34" s="136">
        <f>Paris_Inflow!D35-Paris_Outflow!D35+D33</f>
        <v>2461.3547000000003</v>
      </c>
      <c r="E34" s="136">
        <f>Paris_Inflow!E35-Paris_Outflow!E35+E33</f>
        <v>7720.1500499999993</v>
      </c>
      <c r="F34" s="136">
        <f>Paris_Inflow!F35-Paris_Outflow!F35+F33</f>
        <v>782.32668615384614</v>
      </c>
      <c r="G34" s="136">
        <f>Paris_Inflow!G35-Paris_Outflow!G35+G33</f>
        <v>491.07927999999998</v>
      </c>
      <c r="H34" s="115"/>
      <c r="I34" s="131"/>
      <c r="J34" s="131"/>
      <c r="K34" s="131"/>
      <c r="L34" s="115"/>
      <c r="M34" s="128"/>
      <c r="N34" s="128"/>
      <c r="O34" s="128"/>
      <c r="P34" s="126"/>
      <c r="Q34" s="126"/>
      <c r="R34" s="126"/>
      <c r="S34" s="115"/>
      <c r="T34" s="131"/>
      <c r="U34" s="131"/>
      <c r="V34" s="131"/>
      <c r="W34" s="115"/>
      <c r="X34" s="128"/>
      <c r="Y34" s="128"/>
      <c r="Z34" s="128"/>
      <c r="AA34" s="126"/>
      <c r="AB34" s="126"/>
      <c r="AC34" s="126"/>
      <c r="AD34" s="115"/>
    </row>
    <row r="35" spans="1:30" x14ac:dyDescent="0.25">
      <c r="A35" s="94">
        <v>1981</v>
      </c>
      <c r="B35" s="139">
        <f>Paris_Inflow!B36-Paris_Outflow!B36+B34</f>
        <v>554930.66600000008</v>
      </c>
      <c r="C35" s="139">
        <f>Paris_Inflow!C36-Paris_Outflow!C36+C34</f>
        <v>10730.8035</v>
      </c>
      <c r="D35" s="136">
        <f>Paris_Inflow!D36-Paris_Outflow!D36+D34</f>
        <v>2479.0734500000003</v>
      </c>
      <c r="E35" s="136">
        <f>Paris_Inflow!E36-Paris_Outflow!E36+E34</f>
        <v>8251.7300500000001</v>
      </c>
      <c r="F35" s="136">
        <f>Paris_Inflow!F36-Paris_Outflow!F36+F34</f>
        <v>808.15168615384619</v>
      </c>
      <c r="G35" s="136">
        <f>Paris_Inflow!G36-Paris_Outflow!G36+G34</f>
        <v>512.92927999999995</v>
      </c>
      <c r="H35" s="115"/>
      <c r="I35" s="131"/>
      <c r="J35" s="131"/>
      <c r="K35" s="131"/>
      <c r="L35" s="115"/>
      <c r="M35" s="128"/>
      <c r="N35" s="128"/>
      <c r="O35" s="128"/>
      <c r="P35" s="126"/>
      <c r="Q35" s="126"/>
      <c r="R35" s="126"/>
      <c r="S35" s="115"/>
      <c r="T35" s="131"/>
      <c r="U35" s="131"/>
      <c r="V35" s="131"/>
      <c r="W35" s="115"/>
      <c r="X35" s="128"/>
      <c r="Y35" s="128"/>
      <c r="Z35" s="128"/>
      <c r="AA35" s="126"/>
      <c r="AB35" s="126"/>
      <c r="AC35" s="126"/>
      <c r="AD35" s="115"/>
    </row>
    <row r="36" spans="1:30" x14ac:dyDescent="0.25">
      <c r="A36" s="94">
        <v>1982</v>
      </c>
      <c r="B36" s="139">
        <f>Paris_Inflow!B37-Paris_Outflow!B37+B35</f>
        <v>582022.20600000012</v>
      </c>
      <c r="C36" s="139">
        <f>Paris_Inflow!C37-Paris_Outflow!C37+C35</f>
        <v>11272.6343</v>
      </c>
      <c r="D36" s="136">
        <f>Paris_Inflow!D37-Paris_Outflow!D37+D35</f>
        <v>2479.0734500000003</v>
      </c>
      <c r="E36" s="136">
        <f>Paris_Inflow!E37-Paris_Outflow!E37+E35</f>
        <v>8793.5608499999998</v>
      </c>
      <c r="F36" s="136">
        <f>Paris_Inflow!F37-Paris_Outflow!F37+F35</f>
        <v>848.84358615384622</v>
      </c>
      <c r="G36" s="136">
        <f>Paris_Inflow!G37-Paris_Outflow!G37+G35</f>
        <v>553.62117999999998</v>
      </c>
      <c r="H36" s="115"/>
      <c r="I36" s="131"/>
      <c r="J36" s="131"/>
      <c r="K36" s="131"/>
      <c r="L36" s="115"/>
      <c r="M36" s="128"/>
      <c r="N36" s="128"/>
      <c r="O36" s="128"/>
      <c r="P36" s="126"/>
      <c r="Q36" s="126"/>
      <c r="R36" s="126"/>
      <c r="S36" s="115"/>
      <c r="T36" s="131"/>
      <c r="U36" s="131"/>
      <c r="V36" s="131"/>
      <c r="W36" s="115"/>
      <c r="X36" s="128"/>
      <c r="Y36" s="128"/>
      <c r="Z36" s="128"/>
      <c r="AA36" s="126"/>
      <c r="AB36" s="126"/>
      <c r="AC36" s="126"/>
      <c r="AD36" s="115"/>
    </row>
    <row r="37" spans="1:30" x14ac:dyDescent="0.25">
      <c r="A37" s="94">
        <v>1983</v>
      </c>
      <c r="B37" s="139">
        <f>Paris_Inflow!B38-Paris_Outflow!B38+B36</f>
        <v>615653.64600000018</v>
      </c>
      <c r="C37" s="139">
        <f>Paris_Inflow!C38-Paris_Outflow!C38+C36</f>
        <v>11984.029699999999</v>
      </c>
      <c r="D37" s="136">
        <f>Paris_Inflow!D38-Paris_Outflow!D38+D36</f>
        <v>2479.0734500000003</v>
      </c>
      <c r="E37" s="136">
        <f>Paris_Inflow!E38-Paris_Outflow!E38+E36</f>
        <v>9504.9562499999993</v>
      </c>
      <c r="F37" s="136">
        <f>Paris_Inflow!F38-Paris_Outflow!F38+F36</f>
        <v>889.92511791855213</v>
      </c>
      <c r="G37" s="136">
        <f>Paris_Inflow!G38-Paris_Outflow!G38+G36</f>
        <v>594.7027117647059</v>
      </c>
      <c r="H37" s="115"/>
      <c r="I37" s="131"/>
      <c r="J37" s="131"/>
      <c r="K37" s="131"/>
      <c r="L37" s="115"/>
      <c r="M37" s="128"/>
      <c r="N37" s="128"/>
      <c r="O37" s="128"/>
      <c r="P37" s="126"/>
      <c r="Q37" s="126"/>
      <c r="R37" s="126"/>
      <c r="S37" s="115"/>
      <c r="T37" s="131"/>
      <c r="U37" s="131"/>
      <c r="V37" s="131"/>
      <c r="W37" s="115"/>
      <c r="X37" s="128"/>
      <c r="Y37" s="128"/>
      <c r="Z37" s="128"/>
      <c r="AA37" s="126"/>
      <c r="AB37" s="126"/>
      <c r="AC37" s="126"/>
      <c r="AD37" s="115"/>
    </row>
    <row r="38" spans="1:30" x14ac:dyDescent="0.25">
      <c r="A38" s="94">
        <v>1984</v>
      </c>
      <c r="B38" s="139">
        <f>Paris_Inflow!B39-Paris_Outflow!B39+B37</f>
        <v>662171.64600000018</v>
      </c>
      <c r="C38" s="139">
        <f>Paris_Inflow!C39-Paris_Outflow!C39+C37</f>
        <v>12925.1847</v>
      </c>
      <c r="D38" s="136">
        <f>Paris_Inflow!D39-Paris_Outflow!D39+D37</f>
        <v>2575.0734500000003</v>
      </c>
      <c r="E38" s="136">
        <f>Paris_Inflow!E39-Paris_Outflow!E39+E37</f>
        <v>10350.11125</v>
      </c>
      <c r="F38" s="136">
        <f>Paris_Inflow!F39-Paris_Outflow!F39+F37</f>
        <v>931.6874036328378</v>
      </c>
      <c r="G38" s="136">
        <f>Paris_Inflow!G39-Paris_Outflow!G39+G37</f>
        <v>636.46499747899156</v>
      </c>
      <c r="H38" s="115"/>
      <c r="I38" s="131"/>
      <c r="J38" s="131"/>
      <c r="K38" s="131"/>
      <c r="L38" s="115"/>
      <c r="M38" s="128"/>
      <c r="N38" s="128"/>
      <c r="O38" s="128"/>
      <c r="P38" s="126"/>
      <c r="Q38" s="126"/>
      <c r="R38" s="126"/>
      <c r="S38" s="115"/>
      <c r="T38" s="131"/>
      <c r="U38" s="131"/>
      <c r="V38" s="131"/>
      <c r="W38" s="115"/>
      <c r="X38" s="128"/>
      <c r="Y38" s="128"/>
      <c r="Z38" s="128"/>
      <c r="AA38" s="126"/>
      <c r="AB38" s="126"/>
      <c r="AC38" s="126"/>
      <c r="AD38" s="115"/>
    </row>
    <row r="39" spans="1:30" x14ac:dyDescent="0.25">
      <c r="A39" s="94">
        <v>1985</v>
      </c>
      <c r="B39" s="139">
        <f>Paris_Inflow!B40-Paris_Outflow!B40+B38</f>
        <v>760861.03800000018</v>
      </c>
      <c r="C39" s="139">
        <f>Paris_Inflow!C40-Paris_Outflow!C40+C38</f>
        <v>15086.071019999999</v>
      </c>
      <c r="D39" s="136">
        <f>Paris_Inflow!D40-Paris_Outflow!D40+D38</f>
        <v>3052.0734500000003</v>
      </c>
      <c r="E39" s="136">
        <f>Paris_Inflow!E40-Paris_Outflow!E40+E38</f>
        <v>12033.99757</v>
      </c>
      <c r="F39" s="136">
        <f>Paris_Inflow!F40-Paris_Outflow!F40+F38</f>
        <v>1174.1246836328378</v>
      </c>
      <c r="G39" s="136">
        <f>Paris_Inflow!G40-Paris_Outflow!G40+G38</f>
        <v>779.2706774789915</v>
      </c>
      <c r="H39" s="115"/>
      <c r="I39" s="131"/>
      <c r="J39" s="131"/>
      <c r="K39" s="131"/>
      <c r="L39" s="115"/>
      <c r="M39" s="128"/>
      <c r="N39" s="128"/>
      <c r="O39" s="128"/>
      <c r="P39" s="126"/>
      <c r="Q39" s="126"/>
      <c r="R39" s="126"/>
      <c r="S39" s="115"/>
      <c r="T39" s="131"/>
      <c r="U39" s="131"/>
      <c r="V39" s="131"/>
      <c r="W39" s="115"/>
      <c r="X39" s="128"/>
      <c r="Y39" s="128"/>
      <c r="Z39" s="128"/>
      <c r="AA39" s="126"/>
      <c r="AB39" s="126"/>
      <c r="AC39" s="126"/>
      <c r="AD39" s="115"/>
    </row>
    <row r="40" spans="1:30" x14ac:dyDescent="0.25">
      <c r="A40" s="94">
        <v>1986</v>
      </c>
      <c r="B40" s="139">
        <f>Paris_Inflow!B41-Paris_Outflow!B41+B39</f>
        <v>816403.7505000002</v>
      </c>
      <c r="C40" s="139">
        <f>Paris_Inflow!C41-Paris_Outflow!C41+C39</f>
        <v>16212.370957499999</v>
      </c>
      <c r="D40" s="136">
        <f>Paris_Inflow!D41-Paris_Outflow!D41+D39</f>
        <v>3314.0072000000005</v>
      </c>
      <c r="E40" s="136">
        <f>Paris_Inflow!E41-Paris_Outflow!E41+E39</f>
        <v>12898.363757499999</v>
      </c>
      <c r="F40" s="136">
        <f>Paris_Inflow!F41-Paris_Outflow!F41+F39</f>
        <v>1294.7877336328379</v>
      </c>
      <c r="G40" s="136">
        <f>Paris_Inflow!G41-Paris_Outflow!G41+G39</f>
        <v>845.20872747899148</v>
      </c>
      <c r="H40" s="115"/>
      <c r="I40" s="131"/>
      <c r="J40" s="131"/>
      <c r="K40" s="131"/>
      <c r="L40" s="115"/>
      <c r="M40" s="128"/>
      <c r="N40" s="128"/>
      <c r="O40" s="128"/>
      <c r="P40" s="126"/>
      <c r="Q40" s="126"/>
      <c r="R40" s="126"/>
      <c r="S40" s="115"/>
      <c r="T40" s="131"/>
      <c r="U40" s="131"/>
      <c r="V40" s="131"/>
      <c r="W40" s="115"/>
      <c r="X40" s="128"/>
      <c r="Y40" s="128"/>
      <c r="Z40" s="128"/>
      <c r="AA40" s="126"/>
      <c r="AB40" s="126"/>
      <c r="AC40" s="126"/>
      <c r="AD40" s="115"/>
    </row>
    <row r="41" spans="1:30" x14ac:dyDescent="0.25">
      <c r="A41" s="94">
        <v>1987</v>
      </c>
      <c r="B41" s="139">
        <f>Paris_Inflow!B42-Paris_Outflow!B42+B40</f>
        <v>816403.7505000002</v>
      </c>
      <c r="C41" s="139">
        <f>Paris_Inflow!C42-Paris_Outflow!C42+C40</f>
        <v>16212.370957499999</v>
      </c>
      <c r="D41" s="136">
        <f>Paris_Inflow!D42-Paris_Outflow!D42+D40</f>
        <v>3314.0072000000005</v>
      </c>
      <c r="E41" s="136">
        <f>Paris_Inflow!E42-Paris_Outflow!E42+E40</f>
        <v>12898.363757499999</v>
      </c>
      <c r="F41" s="136">
        <f>Paris_Inflow!F42-Paris_Outflow!F42+F40</f>
        <v>1294.7877336328379</v>
      </c>
      <c r="G41" s="136">
        <f>Paris_Inflow!G42-Paris_Outflow!G42+G40</f>
        <v>845.20872747899148</v>
      </c>
      <c r="H41" s="115"/>
      <c r="I41" s="131"/>
      <c r="J41" s="131"/>
      <c r="K41" s="131"/>
      <c r="L41" s="115"/>
      <c r="M41" s="128"/>
      <c r="N41" s="128"/>
      <c r="O41" s="128"/>
      <c r="P41" s="126"/>
      <c r="Q41" s="126"/>
      <c r="R41" s="126"/>
      <c r="S41" s="115"/>
      <c r="T41" s="131"/>
      <c r="U41" s="131"/>
      <c r="V41" s="131"/>
      <c r="W41" s="115"/>
      <c r="X41" s="128"/>
      <c r="Y41" s="128"/>
      <c r="Z41" s="128"/>
      <c r="AA41" s="126"/>
      <c r="AB41" s="126"/>
      <c r="AC41" s="126"/>
      <c r="AD41" s="115"/>
    </row>
    <row r="42" spans="1:30" x14ac:dyDescent="0.25">
      <c r="A42" s="94">
        <v>1988</v>
      </c>
      <c r="B42" s="139">
        <f>Paris_Inflow!B43-Paris_Outflow!B43+B41</f>
        <v>861856.09050000017</v>
      </c>
      <c r="C42" s="139">
        <f>Paris_Inflow!C43-Paris_Outflow!C43+C41</f>
        <v>17205.989857500001</v>
      </c>
      <c r="D42" s="136">
        <f>Paris_Inflow!D43-Paris_Outflow!D43+D41</f>
        <v>3604.5947000000006</v>
      </c>
      <c r="E42" s="136">
        <f>Paris_Inflow!E43-Paris_Outflow!E43+E41</f>
        <v>13601.395157499999</v>
      </c>
      <c r="F42" s="136">
        <f>Paris_Inflow!F43-Paris_Outflow!F43+F41</f>
        <v>1372.3774536328378</v>
      </c>
      <c r="G42" s="136">
        <f>Paris_Inflow!G43-Paris_Outflow!G43+G41</f>
        <v>889.5884474789915</v>
      </c>
      <c r="H42" s="115"/>
      <c r="I42" s="131"/>
      <c r="J42" s="131"/>
      <c r="K42" s="131"/>
      <c r="L42" s="115"/>
      <c r="M42" s="128"/>
      <c r="N42" s="128"/>
      <c r="O42" s="128"/>
      <c r="P42" s="126"/>
      <c r="Q42" s="126"/>
      <c r="R42" s="126"/>
      <c r="S42" s="115"/>
      <c r="T42" s="131"/>
      <c r="U42" s="131"/>
      <c r="V42" s="131"/>
      <c r="W42" s="115"/>
      <c r="X42" s="128"/>
      <c r="Y42" s="128"/>
      <c r="Z42" s="128"/>
      <c r="AA42" s="126"/>
      <c r="AB42" s="126"/>
      <c r="AC42" s="126"/>
      <c r="AD42" s="115"/>
    </row>
    <row r="43" spans="1:30" x14ac:dyDescent="0.25">
      <c r="A43" s="94">
        <v>1989</v>
      </c>
      <c r="B43" s="139">
        <f>Paris_Inflow!B44-Paris_Outflow!B44+B42</f>
        <v>891930.33050000016</v>
      </c>
      <c r="C43" s="139">
        <f>Paris_Inflow!C44-Paris_Outflow!C44+C42</f>
        <v>18221.524657500002</v>
      </c>
      <c r="D43" s="136">
        <f>Paris_Inflow!D44-Paris_Outflow!D44+D42</f>
        <v>4349.8847000000005</v>
      </c>
      <c r="E43" s="136">
        <f>Paris_Inflow!E44-Paris_Outflow!E44+E42</f>
        <v>13871.6399575</v>
      </c>
      <c r="F43" s="136">
        <f>Paris_Inflow!F44-Paris_Outflow!F44+F42</f>
        <v>1449.5902536328379</v>
      </c>
      <c r="G43" s="136">
        <f>Paris_Inflow!G44-Paris_Outflow!G44+G42</f>
        <v>928.19484747899151</v>
      </c>
      <c r="H43" s="115"/>
      <c r="I43" s="131"/>
      <c r="J43" s="131"/>
      <c r="K43" s="131"/>
      <c r="L43" s="115"/>
      <c r="M43" s="128"/>
      <c r="N43" s="128"/>
      <c r="O43" s="128"/>
      <c r="P43" s="126"/>
      <c r="Q43" s="126"/>
      <c r="R43" s="126"/>
      <c r="S43" s="115"/>
      <c r="T43" s="131"/>
      <c r="U43" s="131"/>
      <c r="V43" s="131"/>
      <c r="W43" s="115"/>
      <c r="X43" s="128"/>
      <c r="Y43" s="128"/>
      <c r="Z43" s="128"/>
      <c r="AA43" s="126"/>
      <c r="AB43" s="126"/>
      <c r="AC43" s="126"/>
      <c r="AD43" s="115"/>
    </row>
    <row r="44" spans="1:30" x14ac:dyDescent="0.25">
      <c r="A44" s="94">
        <v>1990</v>
      </c>
      <c r="B44" s="139">
        <f>Paris_Inflow!B45-Paris_Outflow!B45+B43</f>
        <v>936161.58050000016</v>
      </c>
      <c r="C44" s="139">
        <f>Paris_Inflow!C45-Paris_Outflow!C45+C43</f>
        <v>19219.887157500001</v>
      </c>
      <c r="D44" s="136">
        <f>Paris_Inflow!D45-Paris_Outflow!D45+D43</f>
        <v>4918.5722000000005</v>
      </c>
      <c r="E44" s="136">
        <f>Paris_Inflow!E45-Paris_Outflow!E45+E43</f>
        <v>14301.314957499999</v>
      </c>
      <c r="F44" s="136">
        <f>Paris_Inflow!F45-Paris_Outflow!F45+F43</f>
        <v>1516.9464873990717</v>
      </c>
      <c r="G44" s="136">
        <f>Paris_Inflow!G45-Paris_Outflow!G45+G43</f>
        <v>961.87296436210841</v>
      </c>
      <c r="H44" s="115"/>
      <c r="I44" s="131"/>
      <c r="J44" s="131"/>
      <c r="K44" s="131"/>
      <c r="L44" s="115"/>
      <c r="M44" s="128"/>
      <c r="N44" s="128"/>
      <c r="O44" s="128"/>
      <c r="P44" s="126"/>
      <c r="Q44" s="126"/>
      <c r="R44" s="126"/>
      <c r="S44" s="115"/>
      <c r="T44" s="131"/>
      <c r="U44" s="131"/>
      <c r="V44" s="131"/>
      <c r="W44" s="115"/>
      <c r="X44" s="128"/>
      <c r="Y44" s="128"/>
      <c r="Z44" s="128"/>
      <c r="AA44" s="126"/>
      <c r="AB44" s="126"/>
      <c r="AC44" s="126"/>
      <c r="AD44" s="115"/>
    </row>
    <row r="45" spans="1:30" x14ac:dyDescent="0.25">
      <c r="A45" s="94">
        <v>1991</v>
      </c>
      <c r="B45" s="139">
        <f>Paris_Inflow!B46-Paris_Outflow!B46+B44</f>
        <v>936161.58050000016</v>
      </c>
      <c r="C45" s="139">
        <f>Paris_Inflow!C46-Paris_Outflow!C46+C44</f>
        <v>19219.887157500001</v>
      </c>
      <c r="D45" s="136">
        <f>Paris_Inflow!D46-Paris_Outflow!D46+D44</f>
        <v>4918.5722000000005</v>
      </c>
      <c r="E45" s="136">
        <f>Paris_Inflow!E46-Paris_Outflow!E46+E44</f>
        <v>14301.314957499999</v>
      </c>
      <c r="F45" s="136">
        <f>Paris_Inflow!F46-Paris_Outflow!F46+F44</f>
        <v>1516.9464873990717</v>
      </c>
      <c r="G45" s="136">
        <f>Paris_Inflow!G46-Paris_Outflow!G46+G44</f>
        <v>961.87296436210841</v>
      </c>
      <c r="H45" s="115"/>
      <c r="I45" s="131"/>
      <c r="J45" s="131"/>
      <c r="K45" s="131"/>
      <c r="L45" s="115"/>
      <c r="M45" s="128"/>
      <c r="N45" s="128"/>
      <c r="O45" s="128"/>
      <c r="P45" s="126"/>
      <c r="Q45" s="126"/>
      <c r="R45" s="126"/>
      <c r="S45" s="115"/>
      <c r="T45" s="131"/>
      <c r="U45" s="131"/>
      <c r="V45" s="131"/>
      <c r="W45" s="115"/>
      <c r="X45" s="128"/>
      <c r="Y45" s="128"/>
      <c r="Z45" s="128"/>
      <c r="AA45" s="126"/>
      <c r="AB45" s="126"/>
      <c r="AC45" s="126"/>
      <c r="AD45" s="115"/>
    </row>
    <row r="46" spans="1:30" x14ac:dyDescent="0.25">
      <c r="A46" s="94">
        <v>1992</v>
      </c>
      <c r="B46" s="139">
        <f>Paris_Inflow!B47-Paris_Outflow!B47+B45</f>
        <v>996426.0765000002</v>
      </c>
      <c r="C46" s="139">
        <f>Paris_Inflow!C47-Paris_Outflow!C47+C45</f>
        <v>20572.4677175</v>
      </c>
      <c r="D46" s="136">
        <f>Paris_Inflow!D47-Paris_Outflow!D47+D45</f>
        <v>5655.0254000000004</v>
      </c>
      <c r="E46" s="136">
        <f>Paris_Inflow!E47-Paris_Outflow!E47+E45</f>
        <v>14917.442317499999</v>
      </c>
      <c r="F46" s="136">
        <f>Paris_Inflow!F47-Paris_Outflow!F47+F45</f>
        <v>1584.5752740657383</v>
      </c>
      <c r="G46" s="136">
        <f>Paris_Inflow!G47-Paris_Outflow!G47+G45</f>
        <v>995.68735769544173</v>
      </c>
      <c r="H46" s="115"/>
      <c r="I46" s="131"/>
      <c r="J46" s="131"/>
      <c r="K46" s="131"/>
      <c r="L46" s="115"/>
      <c r="M46" s="128"/>
      <c r="N46" s="128"/>
      <c r="O46" s="128"/>
      <c r="P46" s="126"/>
      <c r="Q46" s="126"/>
      <c r="R46" s="126"/>
      <c r="S46" s="115"/>
      <c r="T46" s="131"/>
      <c r="U46" s="131"/>
      <c r="V46" s="131"/>
      <c r="W46" s="115"/>
      <c r="X46" s="128"/>
      <c r="Y46" s="128"/>
      <c r="Z46" s="128"/>
      <c r="AA46" s="126"/>
      <c r="AB46" s="126"/>
      <c r="AC46" s="126"/>
      <c r="AD46" s="115"/>
    </row>
    <row r="47" spans="1:30" x14ac:dyDescent="0.25">
      <c r="A47" s="94">
        <v>1993</v>
      </c>
      <c r="B47" s="139">
        <f>Paris_Inflow!B48-Paris_Outflow!B48+B46</f>
        <v>946405.0765000002</v>
      </c>
      <c r="C47" s="139">
        <f>Paris_Inflow!C48-Paris_Outflow!C48+C46</f>
        <v>19448.420217499999</v>
      </c>
      <c r="D47" s="136">
        <f>Paris_Inflow!D48-Paris_Outflow!D48+D46</f>
        <v>4482.8279000000002</v>
      </c>
      <c r="E47" s="136">
        <f>Paris_Inflow!E48-Paris_Outflow!E48+E46</f>
        <v>14965.592317499999</v>
      </c>
      <c r="F47" s="136">
        <f>Paris_Inflow!F48-Paris_Outflow!F48+F46</f>
        <v>1511.4426073990717</v>
      </c>
      <c r="G47" s="136">
        <f>Paris_Inflow!G48-Paris_Outflow!G48+G46</f>
        <v>998.1840243621084</v>
      </c>
      <c r="H47" s="115"/>
      <c r="I47" s="131"/>
      <c r="J47" s="131"/>
      <c r="K47" s="131"/>
      <c r="L47" s="115"/>
      <c r="M47" s="128"/>
      <c r="N47" s="128"/>
      <c r="O47" s="128"/>
      <c r="P47" s="126"/>
      <c r="Q47" s="126"/>
      <c r="R47" s="126"/>
      <c r="S47" s="115"/>
      <c r="T47" s="131"/>
      <c r="U47" s="131"/>
      <c r="V47" s="131"/>
      <c r="W47" s="115"/>
      <c r="X47" s="128"/>
      <c r="Y47" s="128"/>
      <c r="Z47" s="128"/>
      <c r="AA47" s="126"/>
      <c r="AB47" s="126"/>
      <c r="AC47" s="126"/>
      <c r="AD47" s="115"/>
    </row>
    <row r="48" spans="1:30" x14ac:dyDescent="0.25">
      <c r="A48" s="94">
        <v>1994</v>
      </c>
      <c r="B48" s="139">
        <f>Paris_Inflow!B49-Paris_Outflow!B49+B47</f>
        <v>939279.77650000015</v>
      </c>
      <c r="C48" s="139">
        <f>Paris_Inflow!C49-Paris_Outflow!C49+C47</f>
        <v>19434.906717499998</v>
      </c>
      <c r="D48" s="136">
        <f>Paris_Inflow!D49-Paris_Outflow!D49+D47</f>
        <v>4445.9729000000007</v>
      </c>
      <c r="E48" s="136">
        <f>Paris_Inflow!E49-Paris_Outflow!E49+E47</f>
        <v>14988.933817499999</v>
      </c>
      <c r="F48" s="136">
        <f>Paris_Inflow!F49-Paris_Outflow!F49+F47</f>
        <v>1511.4426073990717</v>
      </c>
      <c r="G48" s="136">
        <f>Paris_Inflow!G49-Paris_Outflow!G49+G47</f>
        <v>998.1840243621084</v>
      </c>
      <c r="H48" s="115"/>
      <c r="I48" s="131"/>
      <c r="J48" s="131"/>
      <c r="K48" s="131"/>
      <c r="L48" s="115"/>
      <c r="M48" s="128"/>
      <c r="N48" s="128"/>
      <c r="O48" s="128"/>
      <c r="P48" s="126"/>
      <c r="Q48" s="126"/>
      <c r="R48" s="126"/>
      <c r="S48" s="115"/>
      <c r="T48" s="131"/>
      <c r="U48" s="131"/>
      <c r="V48" s="131"/>
      <c r="W48" s="115"/>
      <c r="X48" s="128"/>
      <c r="Y48" s="128"/>
      <c r="Z48" s="128"/>
      <c r="AA48" s="126"/>
      <c r="AB48" s="126"/>
      <c r="AC48" s="126"/>
      <c r="AD48" s="115"/>
    </row>
    <row r="49" spans="1:30" x14ac:dyDescent="0.25">
      <c r="A49" s="94">
        <v>1995</v>
      </c>
      <c r="B49" s="139">
        <f>Paris_Inflow!B50-Paris_Outflow!B50+B48</f>
        <v>1051479.7765000002</v>
      </c>
      <c r="C49" s="139">
        <f>Paris_Inflow!C50-Paris_Outflow!C50+C48</f>
        <v>21872.706717499997</v>
      </c>
      <c r="D49" s="136">
        <f>Paris_Inflow!D50-Paris_Outflow!D50+D48</f>
        <v>5414.9729000000007</v>
      </c>
      <c r="E49" s="136">
        <f>Paris_Inflow!E50-Paris_Outflow!E50+E48</f>
        <v>16457.7338175</v>
      </c>
      <c r="F49" s="136">
        <f>Paris_Inflow!F50-Paris_Outflow!F50+F48</f>
        <v>1609.3626073990717</v>
      </c>
      <c r="G49" s="136">
        <f>Paris_Inflow!G50-Paris_Outflow!G50+G48</f>
        <v>1047.1440243621084</v>
      </c>
      <c r="H49" s="115"/>
      <c r="I49" s="131"/>
      <c r="J49" s="131"/>
      <c r="K49" s="131"/>
      <c r="L49" s="115"/>
      <c r="M49" s="128"/>
      <c r="N49" s="128"/>
      <c r="O49" s="128"/>
      <c r="P49" s="126"/>
      <c r="Q49" s="126"/>
      <c r="R49" s="126"/>
      <c r="S49" s="115"/>
      <c r="T49" s="131"/>
      <c r="U49" s="131"/>
      <c r="V49" s="131"/>
      <c r="W49" s="115"/>
      <c r="X49" s="128"/>
      <c r="Y49" s="128"/>
      <c r="Z49" s="128"/>
      <c r="AA49" s="126"/>
      <c r="AB49" s="126"/>
      <c r="AC49" s="126"/>
      <c r="AD49" s="115"/>
    </row>
    <row r="50" spans="1:30" x14ac:dyDescent="0.25">
      <c r="A50" s="94">
        <v>1996</v>
      </c>
      <c r="B50" s="139">
        <f>Paris_Inflow!B51-Paris_Outflow!B51+B49</f>
        <v>1043757.5965000001</v>
      </c>
      <c r="C50" s="139">
        <f>Paris_Inflow!C51-Paris_Outflow!C51+C49</f>
        <v>22297.585017499998</v>
      </c>
      <c r="D50" s="136">
        <f>Paris_Inflow!D51-Paris_Outflow!D51+D49</f>
        <v>5839.851200000001</v>
      </c>
      <c r="E50" s="136">
        <f>Paris_Inflow!E51-Paris_Outflow!E51+E49</f>
        <v>16457.7338175</v>
      </c>
      <c r="F50" s="136">
        <f>Paris_Inflow!F51-Paris_Outflow!F51+F49</f>
        <v>1634.9962153990718</v>
      </c>
      <c r="G50" s="136">
        <f>Paris_Inflow!G51-Paris_Outflow!G51+G49</f>
        <v>1062.9458283621084</v>
      </c>
      <c r="H50" s="115"/>
      <c r="I50" s="131"/>
      <c r="J50" s="131"/>
      <c r="K50" s="131"/>
      <c r="L50" s="115"/>
      <c r="M50" s="128"/>
      <c r="N50" s="128"/>
      <c r="O50" s="128"/>
      <c r="P50" s="126"/>
      <c r="Q50" s="126"/>
      <c r="R50" s="126"/>
      <c r="S50" s="115"/>
      <c r="T50" s="131"/>
      <c r="U50" s="131"/>
      <c r="V50" s="131"/>
      <c r="W50" s="115"/>
      <c r="X50" s="128"/>
      <c r="Y50" s="128"/>
      <c r="Z50" s="128"/>
      <c r="AA50" s="126"/>
      <c r="AB50" s="126"/>
      <c r="AC50" s="126"/>
      <c r="AD50" s="115"/>
    </row>
    <row r="51" spans="1:30" x14ac:dyDescent="0.25">
      <c r="A51" s="94">
        <v>1997</v>
      </c>
      <c r="B51" s="139">
        <f>Paris_Inflow!B52-Paris_Outflow!B52+B50</f>
        <v>1043757.5965000001</v>
      </c>
      <c r="C51" s="139">
        <f>Paris_Inflow!C52-Paris_Outflow!C52+C50</f>
        <v>22297.585017499998</v>
      </c>
      <c r="D51" s="136">
        <f>Paris_Inflow!D52-Paris_Outflow!D52+D50</f>
        <v>5839.851200000001</v>
      </c>
      <c r="E51" s="136">
        <f>Paris_Inflow!E52-Paris_Outflow!E52+E50</f>
        <v>16457.7338175</v>
      </c>
      <c r="F51" s="136">
        <f>Paris_Inflow!F52-Paris_Outflow!F52+F50</f>
        <v>1634.9962153990718</v>
      </c>
      <c r="G51" s="136">
        <f>Paris_Inflow!G52-Paris_Outflow!G52+G50</f>
        <v>1062.9458283621084</v>
      </c>
      <c r="H51" s="115"/>
      <c r="I51" s="131"/>
      <c r="J51" s="131"/>
      <c r="K51" s="131"/>
      <c r="L51" s="115"/>
      <c r="M51" s="128"/>
      <c r="N51" s="128"/>
      <c r="O51" s="128"/>
      <c r="P51" s="126"/>
      <c r="Q51" s="126"/>
      <c r="R51" s="126"/>
      <c r="S51" s="115"/>
      <c r="T51" s="131"/>
      <c r="U51" s="131"/>
      <c r="V51" s="131"/>
      <c r="W51" s="115"/>
      <c r="X51" s="128"/>
      <c r="Y51" s="128"/>
      <c r="Z51" s="128"/>
      <c r="AA51" s="126"/>
      <c r="AB51" s="126"/>
      <c r="AC51" s="126"/>
      <c r="AD51" s="115"/>
    </row>
    <row r="52" spans="1:30" x14ac:dyDescent="0.25">
      <c r="A52" s="94">
        <v>1998</v>
      </c>
      <c r="B52" s="139">
        <f>Paris_Inflow!B53-Paris_Outflow!B53+B51</f>
        <v>1071987.5165000001</v>
      </c>
      <c r="C52" s="139">
        <f>Paris_Inflow!C53-Paris_Outflow!C53+C51</f>
        <v>23099.008917499999</v>
      </c>
      <c r="D52" s="136">
        <f>Paris_Inflow!D53-Paris_Outflow!D53+D51</f>
        <v>5956.320200000001</v>
      </c>
      <c r="E52" s="136">
        <f>Paris_Inflow!E53-Paris_Outflow!E53+E51</f>
        <v>17142.688717500001</v>
      </c>
      <c r="F52" s="136">
        <f>Paris_Inflow!F53-Paris_Outflow!F53+F51</f>
        <v>1694.0747753990718</v>
      </c>
      <c r="G52" s="136">
        <f>Paris_Inflow!G53-Paris_Outflow!G53+G51</f>
        <v>1098.0478283621085</v>
      </c>
      <c r="H52" s="115"/>
      <c r="I52" s="131"/>
      <c r="J52" s="131"/>
      <c r="K52" s="131"/>
      <c r="L52" s="115"/>
      <c r="M52" s="128"/>
      <c r="N52" s="128"/>
      <c r="O52" s="128"/>
      <c r="P52" s="126"/>
      <c r="Q52" s="126"/>
      <c r="R52" s="126"/>
      <c r="S52" s="115"/>
      <c r="T52" s="131"/>
      <c r="U52" s="131"/>
      <c r="V52" s="131"/>
      <c r="W52" s="115"/>
      <c r="X52" s="128"/>
      <c r="Y52" s="128"/>
      <c r="Z52" s="128"/>
      <c r="AA52" s="126"/>
      <c r="AB52" s="126"/>
      <c r="AC52" s="126"/>
      <c r="AD52" s="115"/>
    </row>
    <row r="53" spans="1:30" x14ac:dyDescent="0.25">
      <c r="A53" s="94">
        <v>1999</v>
      </c>
      <c r="B53" s="139">
        <f>Paris_Inflow!B54-Paris_Outflow!B54+B52</f>
        <v>1083778.3165000002</v>
      </c>
      <c r="C53" s="139">
        <f>Paris_Inflow!C54-Paris_Outflow!C54+C52</f>
        <v>23582.6209175</v>
      </c>
      <c r="D53" s="136">
        <f>Paris_Inflow!D54-Paris_Outflow!D54+D52</f>
        <v>6201.900200000001</v>
      </c>
      <c r="E53" s="136">
        <f>Paris_Inflow!E54-Paris_Outflow!E54+E52</f>
        <v>17380.7207175</v>
      </c>
      <c r="F53" s="136">
        <f>Paris_Inflow!F54-Paris_Outflow!F54+F52</f>
        <v>1730.9906153990719</v>
      </c>
      <c r="G53" s="136">
        <f>Paris_Inflow!G54-Paris_Outflow!G54+G52</f>
        <v>1110.631895028775</v>
      </c>
      <c r="H53" s="115"/>
      <c r="I53" s="131"/>
      <c r="J53" s="131"/>
      <c r="K53" s="131"/>
      <c r="L53" s="115"/>
      <c r="M53" s="128"/>
      <c r="N53" s="128"/>
      <c r="O53" s="128"/>
      <c r="P53" s="126"/>
      <c r="Q53" s="126"/>
      <c r="R53" s="126"/>
      <c r="S53" s="115"/>
      <c r="T53" s="131"/>
      <c r="U53" s="131"/>
      <c r="V53" s="131"/>
      <c r="W53" s="115"/>
      <c r="X53" s="128"/>
      <c r="Y53" s="128"/>
      <c r="Z53" s="128"/>
      <c r="AA53" s="126"/>
      <c r="AB53" s="126"/>
      <c r="AC53" s="126"/>
      <c r="AD53" s="115"/>
    </row>
    <row r="54" spans="1:30" x14ac:dyDescent="0.25">
      <c r="A54" s="94">
        <v>2000</v>
      </c>
      <c r="B54" s="139">
        <f>Paris_Inflow!B55-Paris_Outflow!B55+B53</f>
        <v>1079648.3165000002</v>
      </c>
      <c r="C54" s="139">
        <f>Paris_Inflow!C55-Paris_Outflow!C55+C53</f>
        <v>23680.6209175</v>
      </c>
      <c r="D54" s="136">
        <f>Paris_Inflow!D55-Paris_Outflow!D55+D53</f>
        <v>6201.900200000001</v>
      </c>
      <c r="E54" s="136">
        <f>Paris_Inflow!E55-Paris_Outflow!E55+E53</f>
        <v>17478.7207175</v>
      </c>
      <c r="F54" s="136">
        <f>Paris_Inflow!F55-Paris_Outflow!F55+F53</f>
        <v>1732.4906153990719</v>
      </c>
      <c r="G54" s="136">
        <f>Paris_Inflow!G55-Paris_Outflow!G55+G53</f>
        <v>1107.565895028775</v>
      </c>
      <c r="H54" s="115"/>
      <c r="I54" s="131"/>
      <c r="J54" s="131"/>
      <c r="K54" s="131"/>
      <c r="L54" s="115"/>
      <c r="M54" s="128"/>
      <c r="N54" s="128"/>
      <c r="O54" s="128"/>
      <c r="P54" s="126"/>
      <c r="Q54" s="126"/>
      <c r="R54" s="126"/>
      <c r="S54" s="115"/>
      <c r="T54" s="131"/>
      <c r="U54" s="131"/>
      <c r="V54" s="131"/>
      <c r="W54" s="115"/>
      <c r="X54" s="128"/>
      <c r="Y54" s="128"/>
      <c r="Z54" s="128"/>
      <c r="AA54" s="126"/>
      <c r="AB54" s="126"/>
      <c r="AC54" s="126"/>
      <c r="AD54" s="115"/>
    </row>
    <row r="55" spans="1:30" x14ac:dyDescent="0.25">
      <c r="A55" s="94">
        <v>2001</v>
      </c>
      <c r="B55" s="139">
        <f>Paris_Inflow!B56-Paris_Outflow!B56+B54</f>
        <v>1263552.0665000002</v>
      </c>
      <c r="C55" s="139">
        <f>Paris_Inflow!C56-Paris_Outflow!C56+C54</f>
        <v>27444.6909175</v>
      </c>
      <c r="D55" s="136">
        <f>Paris_Inflow!D56-Paris_Outflow!D56+D54</f>
        <v>7501.9502000000011</v>
      </c>
      <c r="E55" s="136">
        <f>Paris_Inflow!E56-Paris_Outflow!E56+E54</f>
        <v>19942.740717500001</v>
      </c>
      <c r="F55" s="136">
        <f>Paris_Inflow!F56-Paris_Outflow!F56+F54</f>
        <v>1946.6591153990719</v>
      </c>
      <c r="G55" s="136">
        <f>Paris_Inflow!G56-Paris_Outflow!G56+G54</f>
        <v>1234.101395028775</v>
      </c>
      <c r="H55" s="115"/>
      <c r="I55" s="131"/>
      <c r="J55" s="131"/>
      <c r="K55" s="131"/>
      <c r="L55" s="115"/>
      <c r="M55" s="128"/>
      <c r="N55" s="128"/>
      <c r="O55" s="128"/>
      <c r="P55" s="126"/>
      <c r="Q55" s="126"/>
      <c r="R55" s="126"/>
      <c r="S55" s="115"/>
      <c r="T55" s="131"/>
      <c r="U55" s="131"/>
      <c r="V55" s="131"/>
      <c r="W55" s="115"/>
      <c r="X55" s="128"/>
      <c r="Y55" s="128"/>
      <c r="Z55" s="128"/>
      <c r="AA55" s="126"/>
      <c r="AB55" s="126"/>
      <c r="AC55" s="126"/>
      <c r="AD55" s="115"/>
    </row>
    <row r="56" spans="1:30" x14ac:dyDescent="0.25">
      <c r="A56" s="94">
        <v>2002</v>
      </c>
      <c r="B56" s="139">
        <f>Paris_Inflow!B57-Paris_Outflow!B57+B55</f>
        <v>1283506.9465000001</v>
      </c>
      <c r="C56" s="139">
        <f>Paris_Inflow!C57-Paris_Outflow!C57+C55</f>
        <v>28072.4949175</v>
      </c>
      <c r="D56" s="136">
        <f>Paris_Inflow!D57-Paris_Outflow!D57+D55</f>
        <v>7783.8302000000012</v>
      </c>
      <c r="E56" s="136">
        <f>Paris_Inflow!E57-Paris_Outflow!E57+E55</f>
        <v>20288.6647175</v>
      </c>
      <c r="F56" s="136">
        <f>Paris_Inflow!F57-Paris_Outflow!F57+F55</f>
        <v>1980.8447153990719</v>
      </c>
      <c r="G56" s="136">
        <f>Paris_Inflow!G57-Paris_Outflow!G57+G55</f>
        <v>1254.088595028775</v>
      </c>
      <c r="H56" s="115"/>
      <c r="I56" s="131"/>
      <c r="J56" s="131"/>
      <c r="K56" s="131"/>
      <c r="L56" s="115"/>
      <c r="M56" s="128"/>
      <c r="N56" s="128"/>
      <c r="O56" s="128"/>
      <c r="P56" s="126"/>
      <c r="Q56" s="126"/>
      <c r="R56" s="126"/>
      <c r="S56" s="115"/>
      <c r="T56" s="131"/>
      <c r="U56" s="131"/>
      <c r="V56" s="131"/>
      <c r="W56" s="115"/>
      <c r="X56" s="128"/>
      <c r="Y56" s="128"/>
      <c r="Z56" s="128"/>
      <c r="AA56" s="126"/>
      <c r="AB56" s="126"/>
      <c r="AC56" s="126"/>
      <c r="AD56" s="115"/>
    </row>
    <row r="57" spans="1:30" x14ac:dyDescent="0.25">
      <c r="A57" s="94">
        <v>2003</v>
      </c>
      <c r="B57" s="139">
        <f>Paris_Inflow!B58-Paris_Outflow!B58+B56</f>
        <v>1271885.3065000002</v>
      </c>
      <c r="C57" s="139">
        <f>Paris_Inflow!C58-Paris_Outflow!C58+C56</f>
        <v>28167.446917500001</v>
      </c>
      <c r="D57" s="136">
        <f>Paris_Inflow!D58-Paris_Outflow!D58+D56</f>
        <v>7824.5582000000013</v>
      </c>
      <c r="E57" s="136">
        <f>Paris_Inflow!E58-Paris_Outflow!E58+E56</f>
        <v>20342.888717499998</v>
      </c>
      <c r="F57" s="136">
        <f>Paris_Inflow!F58-Paris_Outflow!F58+F56</f>
        <v>2004.659715399072</v>
      </c>
      <c r="G57" s="136">
        <f>Paris_Inflow!G58-Paris_Outflow!G58+G56</f>
        <v>1256.8838616954417</v>
      </c>
      <c r="H57" s="115"/>
      <c r="I57" s="131"/>
      <c r="J57" s="131"/>
      <c r="K57" s="131"/>
      <c r="L57" s="115"/>
      <c r="M57" s="128"/>
      <c r="N57" s="128"/>
      <c r="O57" s="128"/>
      <c r="P57" s="126"/>
      <c r="Q57" s="126"/>
      <c r="R57" s="126"/>
      <c r="S57" s="115"/>
      <c r="T57" s="131"/>
      <c r="U57" s="131"/>
      <c r="V57" s="131"/>
      <c r="W57" s="115"/>
      <c r="X57" s="128"/>
      <c r="Y57" s="128"/>
      <c r="Z57" s="128"/>
      <c r="AA57" s="126"/>
      <c r="AB57" s="126"/>
      <c r="AC57" s="126"/>
      <c r="AD57" s="115"/>
    </row>
    <row r="58" spans="1:30" x14ac:dyDescent="0.25">
      <c r="A58" s="94">
        <v>2004</v>
      </c>
      <c r="B58" s="139">
        <f>Paris_Inflow!B59-Paris_Outflow!B59+B57</f>
        <v>1318371.3065000002</v>
      </c>
      <c r="C58" s="139">
        <f>Paris_Inflow!C59-Paris_Outflow!C59+C57</f>
        <v>29347.2969175</v>
      </c>
      <c r="D58" s="136">
        <f>Paris_Inflow!D59-Paris_Outflow!D59+D57</f>
        <v>7993.4882000000016</v>
      </c>
      <c r="E58" s="136">
        <f>Paris_Inflow!E59-Paris_Outflow!E59+E57</f>
        <v>21353.808717499996</v>
      </c>
      <c r="F58" s="136">
        <f>Paris_Inflow!F59-Paris_Outflow!F59+F57</f>
        <v>2063.9210487324053</v>
      </c>
      <c r="G58" s="136">
        <f>Paris_Inflow!G59-Paris_Outflow!G59+G57</f>
        <v>1295.3878616954416</v>
      </c>
      <c r="H58" s="115"/>
      <c r="I58" s="131"/>
      <c r="J58" s="131"/>
      <c r="K58" s="131"/>
      <c r="L58" s="115"/>
      <c r="M58" s="128"/>
      <c r="N58" s="128"/>
      <c r="O58" s="128"/>
      <c r="P58" s="126"/>
      <c r="Q58" s="126"/>
      <c r="R58" s="126"/>
      <c r="S58" s="115"/>
      <c r="T58" s="131"/>
      <c r="U58" s="131"/>
      <c r="V58" s="131"/>
      <c r="W58" s="115"/>
      <c r="X58" s="128"/>
      <c r="Y58" s="128"/>
      <c r="Z58" s="128"/>
      <c r="AA58" s="126"/>
      <c r="AB58" s="126"/>
      <c r="AC58" s="126"/>
      <c r="AD58" s="115"/>
    </row>
    <row r="59" spans="1:30" x14ac:dyDescent="0.25">
      <c r="A59" s="94">
        <v>2005</v>
      </c>
      <c r="B59" s="139">
        <f>Paris_Inflow!B60-Paris_Outflow!B60+B58</f>
        <v>1352931.3065000002</v>
      </c>
      <c r="C59" s="139">
        <f>Paris_Inflow!C60-Paris_Outflow!C60+C58</f>
        <v>30521.2416175</v>
      </c>
      <c r="D59" s="136">
        <f>Paris_Inflow!D60-Paris_Outflow!D60+D58</f>
        <v>7791.0935000000018</v>
      </c>
      <c r="E59" s="136">
        <f>Paris_Inflow!E60-Paris_Outflow!E60+E58</f>
        <v>22730.148117499997</v>
      </c>
      <c r="F59" s="136">
        <f>Paris_Inflow!F60-Paris_Outflow!F60+F58</f>
        <v>2072.1860487324052</v>
      </c>
      <c r="G59" s="136">
        <f>Paris_Inflow!G60-Paris_Outflow!G60+G58</f>
        <v>1332.2631416954416</v>
      </c>
      <c r="H59" s="115"/>
      <c r="I59" s="131"/>
      <c r="J59" s="131"/>
      <c r="K59" s="131"/>
      <c r="L59" s="115"/>
      <c r="M59" s="128"/>
      <c r="N59" s="128"/>
      <c r="O59" s="128"/>
      <c r="P59" s="126"/>
      <c r="Q59" s="126"/>
      <c r="R59" s="126"/>
      <c r="S59" s="115"/>
      <c r="T59" s="131"/>
      <c r="U59" s="131"/>
      <c r="V59" s="131"/>
      <c r="W59" s="115"/>
      <c r="X59" s="128"/>
      <c r="Y59" s="128"/>
      <c r="Z59" s="128"/>
      <c r="AA59" s="126"/>
      <c r="AB59" s="126"/>
      <c r="AC59" s="126"/>
      <c r="AD59" s="115"/>
    </row>
    <row r="60" spans="1:30" x14ac:dyDescent="0.25">
      <c r="A60" s="94">
        <v>2006</v>
      </c>
      <c r="B60" s="139">
        <f>Paris_Inflow!B61-Paris_Outflow!B61+B59</f>
        <v>1372486.3805000002</v>
      </c>
      <c r="C60" s="139">
        <f>Paris_Inflow!C61-Paris_Outflow!C61+C59</f>
        <v>30946.5993475</v>
      </c>
      <c r="D60" s="136">
        <f>Paris_Inflow!D61-Paris_Outflow!D61+D59</f>
        <v>7842.5638700000018</v>
      </c>
      <c r="E60" s="136">
        <f>Paris_Inflow!E61-Paris_Outflow!E61+E59</f>
        <v>23104.035477499998</v>
      </c>
      <c r="F60" s="136">
        <f>Paris_Inflow!F61-Paris_Outflow!F61+F59</f>
        <v>2109.2912487324052</v>
      </c>
      <c r="G60" s="136">
        <f>Paris_Inflow!G61-Paris_Outflow!G61+G59</f>
        <v>1360.9749416954417</v>
      </c>
      <c r="H60" s="115"/>
      <c r="I60" s="131"/>
      <c r="J60" s="131"/>
      <c r="K60" s="131"/>
      <c r="L60" s="115"/>
      <c r="M60" s="128"/>
      <c r="N60" s="128"/>
      <c r="O60" s="128"/>
      <c r="P60" s="126"/>
      <c r="Q60" s="126"/>
      <c r="R60" s="126"/>
      <c r="S60" s="115"/>
      <c r="T60" s="131"/>
      <c r="U60" s="131"/>
      <c r="V60" s="131"/>
      <c r="W60" s="115"/>
      <c r="X60" s="128"/>
      <c r="Y60" s="128"/>
      <c r="Z60" s="128"/>
      <c r="AA60" s="126"/>
      <c r="AB60" s="126"/>
      <c r="AC60" s="126"/>
      <c r="AD60" s="115"/>
    </row>
    <row r="61" spans="1:30" x14ac:dyDescent="0.25">
      <c r="A61" s="94">
        <v>2007</v>
      </c>
      <c r="B61" s="139">
        <f>Paris_Inflow!B62-Paris_Outflow!B62+B60</f>
        <v>1370316.3805000002</v>
      </c>
      <c r="C61" s="139">
        <f>Paris_Inflow!C62-Paris_Outflow!C62+C60</f>
        <v>31136.049847499999</v>
      </c>
      <c r="D61" s="136">
        <f>Paris_Inflow!D62-Paris_Outflow!D62+D60</f>
        <v>7892.5063700000019</v>
      </c>
      <c r="E61" s="136">
        <f>Paris_Inflow!E62-Paris_Outflow!E62+E60</f>
        <v>23243.543477499999</v>
      </c>
      <c r="F61" s="136">
        <f>Paris_Inflow!F62-Paris_Outflow!F62+F60</f>
        <v>2124.3662948862511</v>
      </c>
      <c r="G61" s="136">
        <f>Paris_Inflow!G62-Paris_Outflow!G62+G60</f>
        <v>1374.6261416954417</v>
      </c>
      <c r="H61" s="115"/>
      <c r="I61" s="131"/>
      <c r="J61" s="131"/>
      <c r="K61" s="131"/>
      <c r="L61" s="115"/>
      <c r="M61" s="128"/>
      <c r="N61" s="128"/>
      <c r="O61" s="128"/>
      <c r="P61" s="126"/>
      <c r="Q61" s="126"/>
      <c r="R61" s="126"/>
      <c r="S61" s="115"/>
      <c r="T61" s="131"/>
      <c r="U61" s="131"/>
      <c r="V61" s="131"/>
      <c r="W61" s="115"/>
      <c r="X61" s="128"/>
      <c r="Y61" s="128"/>
      <c r="Z61" s="128"/>
      <c r="AA61" s="126"/>
      <c r="AB61" s="126"/>
      <c r="AC61" s="126"/>
      <c r="AD61" s="115"/>
    </row>
    <row r="62" spans="1:30" x14ac:dyDescent="0.25">
      <c r="A62" s="94">
        <v>2008</v>
      </c>
      <c r="B62" s="139">
        <f>Paris_Inflow!B63-Paris_Outflow!B63+B61</f>
        <v>1433460.0805000002</v>
      </c>
      <c r="C62" s="139">
        <f>Paris_Inflow!C63-Paris_Outflow!C63+C61</f>
        <v>32486.8778475</v>
      </c>
      <c r="D62" s="136">
        <f>Paris_Inflow!D63-Paris_Outflow!D63+D61</f>
        <v>8115.5668700000015</v>
      </c>
      <c r="E62" s="136">
        <f>Paris_Inflow!E63-Paris_Outflow!E63+E61</f>
        <v>24371.310977499998</v>
      </c>
      <c r="F62" s="136">
        <f>Paris_Inflow!F63-Paris_Outflow!F63+F61</f>
        <v>2180.2182567910131</v>
      </c>
      <c r="G62" s="136">
        <f>Paris_Inflow!G63-Paris_Outflow!G63+G61</f>
        <v>1411.4502940763941</v>
      </c>
      <c r="H62" s="115"/>
      <c r="I62" s="131"/>
      <c r="J62" s="131"/>
      <c r="K62" s="131"/>
      <c r="L62" s="115"/>
      <c r="M62" s="128"/>
      <c r="N62" s="128"/>
      <c r="O62" s="128"/>
      <c r="P62" s="126"/>
      <c r="Q62" s="126"/>
      <c r="R62" s="126"/>
      <c r="S62" s="115"/>
      <c r="T62" s="131"/>
      <c r="U62" s="131"/>
      <c r="V62" s="131"/>
      <c r="W62" s="115"/>
      <c r="X62" s="128"/>
      <c r="Y62" s="128"/>
      <c r="Z62" s="128"/>
      <c r="AA62" s="126"/>
      <c r="AB62" s="126"/>
      <c r="AC62" s="126"/>
      <c r="AD62" s="115"/>
    </row>
    <row r="63" spans="1:30" x14ac:dyDescent="0.25">
      <c r="A63" s="94">
        <v>2009</v>
      </c>
      <c r="B63" s="139">
        <f>Paris_Inflow!B64-Paris_Outflow!B64+B62</f>
        <v>1439665.0405000001</v>
      </c>
      <c r="C63" s="139">
        <f>Paris_Inflow!C64-Paris_Outflow!C64+C62</f>
        <v>32635.6370475</v>
      </c>
      <c r="D63" s="136">
        <f>Paris_Inflow!D64-Paris_Outflow!D64+D62</f>
        <v>8115.5668700000015</v>
      </c>
      <c r="E63" s="136">
        <f>Paris_Inflow!E64-Paris_Outflow!E64+E62</f>
        <v>24520.070177499998</v>
      </c>
      <c r="F63" s="136">
        <f>Paris_Inflow!F64-Paris_Outflow!F64+F62</f>
        <v>2184.9564567910129</v>
      </c>
      <c r="G63" s="136">
        <f>Paris_Inflow!G64-Paris_Outflow!G64+G62</f>
        <v>1416.1884940763941</v>
      </c>
      <c r="H63" s="115"/>
      <c r="I63" s="131"/>
      <c r="J63" s="131"/>
      <c r="K63" s="131"/>
      <c r="L63" s="115"/>
      <c r="M63" s="128"/>
      <c r="N63" s="128"/>
      <c r="O63" s="128"/>
      <c r="P63" s="126"/>
      <c r="Q63" s="126"/>
      <c r="R63" s="126"/>
      <c r="S63" s="115"/>
      <c r="T63" s="131"/>
      <c r="U63" s="131"/>
      <c r="V63" s="131"/>
      <c r="W63" s="115"/>
      <c r="X63" s="128"/>
      <c r="Y63" s="128"/>
      <c r="Z63" s="128"/>
      <c r="AA63" s="126"/>
      <c r="AB63" s="126"/>
      <c r="AC63" s="126"/>
      <c r="AD63" s="115"/>
    </row>
    <row r="64" spans="1:30" x14ac:dyDescent="0.25">
      <c r="A64" s="94">
        <v>2010</v>
      </c>
      <c r="B64" s="139">
        <f>Paris_Inflow!B65-Paris_Outflow!B65+B63</f>
        <v>1419244.2905000001</v>
      </c>
      <c r="C64" s="139">
        <f>Paris_Inflow!C65-Paris_Outflow!C65+C63</f>
        <v>32613.624847499999</v>
      </c>
      <c r="D64" s="136">
        <f>Paris_Inflow!D65-Paris_Outflow!D65+D63</f>
        <v>7985.9506700000011</v>
      </c>
      <c r="E64" s="136">
        <f>Paris_Inflow!E65-Paris_Outflow!E65+E63</f>
        <v>24627.674177499997</v>
      </c>
      <c r="F64" s="136">
        <f>Paris_Inflow!F65-Paris_Outflow!F65+F63</f>
        <v>2191.822056791013</v>
      </c>
      <c r="G64" s="136">
        <f>Paris_Inflow!G65-Paris_Outflow!G65+G63</f>
        <v>1423.0540940763942</v>
      </c>
      <c r="H64" s="115"/>
      <c r="I64" s="131"/>
      <c r="J64" s="131"/>
      <c r="K64" s="131"/>
      <c r="L64" s="115"/>
      <c r="M64" s="128"/>
      <c r="N64" s="128"/>
      <c r="O64" s="128"/>
      <c r="P64" s="126"/>
      <c r="Q64" s="126"/>
      <c r="R64" s="126"/>
      <c r="S64" s="115"/>
      <c r="T64" s="131"/>
      <c r="U64" s="131"/>
      <c r="V64" s="131"/>
      <c r="W64" s="115"/>
      <c r="X64" s="128"/>
      <c r="Y64" s="128"/>
      <c r="Z64" s="128"/>
      <c r="AA64" s="126"/>
      <c r="AB64" s="126"/>
      <c r="AC64" s="126"/>
      <c r="AD64" s="115"/>
    </row>
    <row r="65" spans="1:30" x14ac:dyDescent="0.25">
      <c r="A65" s="94">
        <v>2011</v>
      </c>
      <c r="B65" s="139">
        <f>Paris_Inflow!B66-Paris_Outflow!B66+B64</f>
        <v>1499644.2905000001</v>
      </c>
      <c r="C65" s="139">
        <f>Paris_Inflow!C66-Paris_Outflow!C66+C64</f>
        <v>34500.124847499996</v>
      </c>
      <c r="D65" s="136">
        <f>Paris_Inflow!D66-Paris_Outflow!D66+D64</f>
        <v>8660.950670000002</v>
      </c>
      <c r="E65" s="136">
        <f>Paris_Inflow!E66-Paris_Outflow!E66+E64</f>
        <v>25839.174177499997</v>
      </c>
      <c r="F65" s="136">
        <f>Paris_Inflow!F66-Paris_Outflow!F66+F64</f>
        <v>2305.1596229285792</v>
      </c>
      <c r="G65" s="136">
        <f>Paris_Inflow!G66-Paris_Outflow!G66+G64</f>
        <v>1476.8657342880344</v>
      </c>
      <c r="H65" s="115"/>
      <c r="I65" s="131"/>
      <c r="J65" s="131"/>
      <c r="K65" s="131"/>
      <c r="L65" s="115"/>
      <c r="M65" s="128"/>
      <c r="N65" s="128"/>
      <c r="O65" s="128"/>
      <c r="P65" s="126"/>
      <c r="Q65" s="126"/>
      <c r="R65" s="126"/>
      <c r="S65" s="115"/>
      <c r="T65" s="131"/>
      <c r="U65" s="131"/>
      <c r="V65" s="131"/>
      <c r="W65" s="115"/>
      <c r="X65" s="128"/>
      <c r="Y65" s="128"/>
      <c r="Z65" s="128"/>
      <c r="AA65" s="126"/>
      <c r="AB65" s="126"/>
      <c r="AC65" s="126"/>
      <c r="AD65" s="115"/>
    </row>
    <row r="66" spans="1:30" x14ac:dyDescent="0.25">
      <c r="A66" s="94">
        <v>2012</v>
      </c>
      <c r="B66" s="139">
        <f>Paris_Inflow!B67-Paris_Outflow!B67+B65</f>
        <v>1488020.7905000001</v>
      </c>
      <c r="C66" s="139">
        <f>Paris_Inflow!C67-Paris_Outflow!C67+C65</f>
        <v>34500.124847499996</v>
      </c>
      <c r="D66" s="136">
        <f>Paris_Inflow!D67-Paris_Outflow!D67+D65</f>
        <v>8660.950670000002</v>
      </c>
      <c r="E66" s="136">
        <f>Paris_Inflow!E67-Paris_Outflow!E67+E65</f>
        <v>25839.174177499997</v>
      </c>
      <c r="F66" s="136">
        <f>Paris_Inflow!F67-Paris_Outflow!F67+F65</f>
        <v>2305.1596229285792</v>
      </c>
      <c r="G66" s="136">
        <f>Paris_Inflow!G67-Paris_Outflow!G67+G65</f>
        <v>1476.8657342880344</v>
      </c>
      <c r="H66" s="115"/>
      <c r="I66" s="131"/>
      <c r="J66" s="131"/>
      <c r="K66" s="131"/>
      <c r="L66" s="115"/>
      <c r="M66" s="128"/>
      <c r="N66" s="128"/>
      <c r="O66" s="128"/>
      <c r="P66" s="126"/>
      <c r="Q66" s="126"/>
      <c r="R66" s="126"/>
      <c r="S66" s="115"/>
      <c r="T66" s="131"/>
      <c r="U66" s="131"/>
      <c r="V66" s="131"/>
      <c r="W66" s="115"/>
      <c r="X66" s="128"/>
      <c r="Y66" s="128"/>
      <c r="Z66" s="128"/>
      <c r="AA66" s="126"/>
      <c r="AB66" s="126"/>
      <c r="AC66" s="126"/>
      <c r="AD66" s="115"/>
    </row>
    <row r="67" spans="1:30" x14ac:dyDescent="0.25">
      <c r="A67" s="94">
        <v>2013</v>
      </c>
      <c r="B67" s="139">
        <f>Paris_Inflow!B68-Paris_Outflow!B68+B66</f>
        <v>1552500.7905000001</v>
      </c>
      <c r="C67" s="139">
        <f>Paris_Inflow!C68-Paris_Outflow!C68+C66</f>
        <v>35789.724847499994</v>
      </c>
      <c r="D67" s="136">
        <f>Paris_Inflow!D68-Paris_Outflow!D68+D66</f>
        <v>8892.1506700000027</v>
      </c>
      <c r="E67" s="136">
        <f>Paris_Inflow!E68-Paris_Outflow!E68+E66</f>
        <v>25839.174177499997</v>
      </c>
      <c r="F67" s="136">
        <f>Paris_Inflow!F68-Paris_Outflow!F68+F66</f>
        <v>2327.9791784841345</v>
      </c>
      <c r="G67" s="136">
        <f>Paris_Inflow!G68-Paris_Outflow!G68+G66</f>
        <v>1511.0950676213679</v>
      </c>
      <c r="H67" s="115"/>
      <c r="I67" s="131"/>
      <c r="J67" s="131"/>
      <c r="K67" s="131"/>
      <c r="L67" s="115"/>
      <c r="M67" s="128"/>
      <c r="N67" s="128"/>
      <c r="O67" s="128"/>
      <c r="P67" s="126"/>
      <c r="Q67" s="126"/>
      <c r="R67" s="126"/>
      <c r="S67" s="115"/>
      <c r="T67" s="131"/>
      <c r="U67" s="131"/>
      <c r="V67" s="131"/>
      <c r="W67" s="115"/>
      <c r="X67" s="128"/>
      <c r="Y67" s="128"/>
      <c r="Z67" s="128"/>
      <c r="AA67" s="126"/>
      <c r="AB67" s="126"/>
      <c r="AC67" s="126"/>
      <c r="AD67" s="115"/>
    </row>
    <row r="68" spans="1:30" x14ac:dyDescent="0.25">
      <c r="A68" s="94">
        <v>2014</v>
      </c>
      <c r="B68" s="139">
        <f>Paris_Inflow!B69-Paris_Outflow!B69+B67</f>
        <v>1656308.4705000001</v>
      </c>
      <c r="C68" s="139">
        <f>Paris_Inflow!C69-Paris_Outflow!C69+C67</f>
        <v>38441.604447499994</v>
      </c>
      <c r="D68" s="136">
        <f>Paris_Inflow!D69-Paris_Outflow!D69+D67</f>
        <v>9863.0834700000032</v>
      </c>
      <c r="E68" s="136">
        <f>Paris_Inflow!E69-Paris_Outflow!E69+E67</f>
        <v>27520.120977499999</v>
      </c>
      <c r="F68" s="136">
        <f>Paris_Inflow!F69-Paris_Outflow!F69+F67</f>
        <v>2424.1072673730232</v>
      </c>
      <c r="G68" s="136">
        <f>Paris_Inflow!G69-Paris_Outflow!G69+G67</f>
        <v>1582.2696009547012</v>
      </c>
      <c r="H68" s="115"/>
      <c r="I68" s="131"/>
      <c r="J68" s="131"/>
      <c r="K68" s="131"/>
      <c r="L68" s="115"/>
      <c r="M68" s="128"/>
      <c r="N68" s="128"/>
      <c r="O68" s="128"/>
      <c r="P68" s="126"/>
      <c r="Q68" s="126"/>
      <c r="R68" s="126"/>
      <c r="S68" s="115"/>
      <c r="T68" s="131"/>
      <c r="U68" s="131"/>
      <c r="V68" s="131"/>
      <c r="W68" s="115"/>
      <c r="X68" s="128"/>
      <c r="Y68" s="128"/>
      <c r="Z68" s="128"/>
      <c r="AA68" s="126"/>
      <c r="AB68" s="126"/>
      <c r="AC68" s="126"/>
      <c r="AD68" s="115"/>
    </row>
    <row r="69" spans="1:30" x14ac:dyDescent="0.25">
      <c r="A69" s="94">
        <v>2015</v>
      </c>
      <c r="B69" s="139">
        <f>Paris_Inflow!B70-Paris_Outflow!B70+B68</f>
        <v>1636280.4705000001</v>
      </c>
      <c r="C69" s="139">
        <f>Paris_Inflow!C70-Paris_Outflow!C70+C68</f>
        <v>38263.044447499997</v>
      </c>
      <c r="D69" s="136">
        <f>Paris_Inflow!D70-Paris_Outflow!D70+D68</f>
        <v>9767.0834700000032</v>
      </c>
      <c r="E69" s="136">
        <f>Paris_Inflow!E70-Paris_Outflow!E70+E68</f>
        <v>27437.560977499998</v>
      </c>
      <c r="F69" s="136">
        <f>Paris_Inflow!F70-Paris_Outflow!F70+F68</f>
        <v>2419.2912673730234</v>
      </c>
      <c r="G69" s="136">
        <f>Paris_Inflow!G70-Paris_Outflow!G70+G68</f>
        <v>1577.4536009547012</v>
      </c>
      <c r="H69" s="115"/>
      <c r="I69" s="131"/>
      <c r="J69" s="131"/>
      <c r="K69" s="131"/>
      <c r="L69" s="115"/>
      <c r="M69" s="128"/>
      <c r="N69" s="128"/>
      <c r="O69" s="128"/>
      <c r="P69" s="126"/>
      <c r="Q69" s="126"/>
      <c r="R69" s="126"/>
      <c r="S69" s="115"/>
      <c r="T69" s="131"/>
      <c r="U69" s="131"/>
      <c r="V69" s="131"/>
      <c r="W69" s="115"/>
      <c r="X69" s="128"/>
      <c r="Y69" s="128"/>
      <c r="Z69" s="128"/>
      <c r="AA69" s="126"/>
      <c r="AB69" s="126"/>
      <c r="AC69" s="126"/>
      <c r="AD69" s="115"/>
    </row>
    <row r="70" spans="1:30" x14ac:dyDescent="0.25">
      <c r="A70" s="94">
        <v>2016</v>
      </c>
      <c r="B70" s="139">
        <f>Paris_Inflow!B71-Paris_Outflow!B71+B69</f>
        <v>1637278.4705000001</v>
      </c>
      <c r="C70" s="139">
        <f>Paris_Inflow!C71-Paris_Outflow!C71+C69</f>
        <v>38529.144447499995</v>
      </c>
      <c r="D70" s="136">
        <f>Paris_Inflow!D71-Paris_Outflow!D71+D69</f>
        <v>9992.2334700000029</v>
      </c>
      <c r="E70" s="136">
        <f>Paris_Inflow!E71-Paris_Outflow!E71+E69</f>
        <v>27478.510977499998</v>
      </c>
      <c r="F70" s="136">
        <f>Paris_Inflow!F71-Paris_Outflow!F71+F69</f>
        <v>2414.8739340396901</v>
      </c>
      <c r="G70" s="136">
        <f>Paris_Inflow!G71-Paris_Outflow!G71+G69</f>
        <v>1570.9969342880345</v>
      </c>
      <c r="H70" s="115"/>
      <c r="I70" s="131"/>
      <c r="J70" s="131"/>
      <c r="K70" s="131"/>
      <c r="L70" s="115"/>
      <c r="M70" s="128"/>
      <c r="N70" s="128"/>
      <c r="O70" s="128"/>
      <c r="P70" s="126"/>
      <c r="Q70" s="126"/>
      <c r="R70" s="126"/>
      <c r="S70" s="115"/>
      <c r="T70" s="131"/>
      <c r="U70" s="131"/>
      <c r="V70" s="131"/>
      <c r="W70" s="115"/>
      <c r="X70" s="128"/>
      <c r="Y70" s="128"/>
      <c r="Z70" s="128"/>
      <c r="AA70" s="126"/>
      <c r="AB70" s="126"/>
      <c r="AC70" s="126"/>
      <c r="AD70" s="115"/>
    </row>
    <row r="71" spans="1:30" x14ac:dyDescent="0.25">
      <c r="A71" s="94">
        <v>2017</v>
      </c>
      <c r="B71" s="139">
        <f>Paris_Inflow!B72-Paris_Outflow!B72+B70</f>
        <v>1601375.2305000001</v>
      </c>
      <c r="C71" s="139">
        <f>Paris_Inflow!C72-Paris_Outflow!C72+C70</f>
        <v>37563.742047499996</v>
      </c>
      <c r="D71" s="136">
        <f>Paris_Inflow!D72-Paris_Outflow!D72+D70</f>
        <v>9165.0614700000024</v>
      </c>
      <c r="E71" s="136">
        <f>Paris_Inflow!E72-Paris_Outflow!E72+E70</f>
        <v>27340.280577499998</v>
      </c>
      <c r="F71" s="136">
        <f>Paris_Inflow!F72-Paris_Outflow!F72+F70</f>
        <v>2392.6441740396899</v>
      </c>
      <c r="G71" s="136">
        <f>Paris_Inflow!G72-Paris_Outflow!G72+G70</f>
        <v>1563.2476542880345</v>
      </c>
      <c r="H71" s="115"/>
      <c r="I71" s="131"/>
      <c r="J71" s="131"/>
      <c r="K71" s="131"/>
      <c r="L71" s="115"/>
      <c r="M71" s="128"/>
      <c r="N71" s="128"/>
      <c r="O71" s="128"/>
      <c r="P71" s="126"/>
      <c r="Q71" s="126"/>
      <c r="R71" s="126"/>
      <c r="S71" s="115"/>
      <c r="T71" s="131"/>
      <c r="U71" s="131"/>
      <c r="V71" s="131"/>
      <c r="W71" s="115"/>
      <c r="X71" s="128"/>
      <c r="Y71" s="128"/>
      <c r="Z71" s="128"/>
      <c r="AA71" s="126"/>
      <c r="AB71" s="126"/>
      <c r="AC71" s="126"/>
      <c r="AD71" s="115"/>
    </row>
    <row r="72" spans="1:30" x14ac:dyDescent="0.25">
      <c r="A72" s="94">
        <v>2018</v>
      </c>
      <c r="B72" s="139">
        <f>Paris_Inflow!B73-Paris_Outflow!B73+B71</f>
        <v>1634018.8305000002</v>
      </c>
      <c r="C72" s="139">
        <f>Paris_Inflow!C73-Paris_Outflow!C73+C71</f>
        <v>38229.093047499999</v>
      </c>
      <c r="D72" s="136">
        <f>Paris_Inflow!D73-Paris_Outflow!D73+D71</f>
        <v>9334.1014700000032</v>
      </c>
      <c r="E72" s="136">
        <f>Paris_Inflow!E73-Paris_Outflow!E73+E71</f>
        <v>27836.591577499999</v>
      </c>
      <c r="F72" s="136">
        <f>Paris_Inflow!F73-Paris_Outflow!F73+F71</f>
        <v>2462.9033793730232</v>
      </c>
      <c r="G72" s="136">
        <f>Paris_Inflow!G73-Paris_Outflow!G73+G71</f>
        <v>1613.4328009547012</v>
      </c>
      <c r="H72" s="115"/>
      <c r="I72" s="131"/>
      <c r="J72" s="131"/>
      <c r="K72" s="131"/>
      <c r="L72" s="115"/>
      <c r="M72" s="128"/>
      <c r="N72" s="128"/>
      <c r="O72" s="128"/>
      <c r="P72" s="126"/>
      <c r="Q72" s="126"/>
      <c r="R72" s="126"/>
      <c r="S72" s="115"/>
      <c r="T72" s="131"/>
      <c r="U72" s="131"/>
      <c r="V72" s="131"/>
      <c r="W72" s="115"/>
      <c r="X72" s="128"/>
      <c r="Y72" s="128"/>
      <c r="Z72" s="128"/>
      <c r="AA72" s="126"/>
      <c r="AB72" s="126"/>
      <c r="AC72" s="126"/>
      <c r="AD72" s="115"/>
    </row>
    <row r="73" spans="1:30" x14ac:dyDescent="0.25">
      <c r="A73" s="94">
        <v>2019</v>
      </c>
      <c r="B73" s="139">
        <f>Paris_Inflow!B74-Paris_Outflow!B74+B72</f>
        <v>1666402.8305000002</v>
      </c>
      <c r="C73" s="139">
        <f>Paris_Inflow!C74-Paris_Outflow!C74+C72</f>
        <v>38876.773047499999</v>
      </c>
      <c r="D73" s="136">
        <f>Paris_Inflow!D74-Paris_Outflow!D74+D72</f>
        <v>9334.1014700000032</v>
      </c>
      <c r="E73" s="136">
        <f>Paris_Inflow!E74-Paris_Outflow!E74+E72</f>
        <v>28484.2715775</v>
      </c>
      <c r="F73" s="136">
        <f>Paris_Inflow!F74-Paris_Outflow!F74+F72</f>
        <v>2515.9652460396896</v>
      </c>
      <c r="G73" s="136">
        <f>Paris_Inflow!G74-Paris_Outflow!G74+G72</f>
        <v>1651.3341342880344</v>
      </c>
      <c r="H73" s="115"/>
      <c r="I73" s="131"/>
      <c r="J73" s="131"/>
      <c r="K73" s="131"/>
      <c r="L73" s="115"/>
      <c r="M73" s="128"/>
      <c r="N73" s="128"/>
      <c r="O73" s="128"/>
      <c r="P73" s="126"/>
      <c r="Q73" s="126"/>
      <c r="R73" s="126"/>
      <c r="S73" s="115"/>
      <c r="T73" s="131"/>
      <c r="U73" s="131"/>
      <c r="V73" s="131"/>
      <c r="W73" s="115"/>
      <c r="X73" s="128"/>
      <c r="Y73" s="128"/>
      <c r="Z73" s="128"/>
      <c r="AA73" s="126"/>
      <c r="AB73" s="126"/>
      <c r="AC73" s="126"/>
      <c r="AD73" s="115"/>
    </row>
    <row r="74" spans="1:30" x14ac:dyDescent="0.25">
      <c r="A74" s="94">
        <v>2020</v>
      </c>
      <c r="B74" s="139">
        <f>Paris_Inflow!B75-Paris_Outflow!B75+B73</f>
        <v>1803036.1229800002</v>
      </c>
      <c r="C74" s="139">
        <f>Paris_Inflow!C75-Paris_Outflow!C75+C73</f>
        <v>42113.116167499997</v>
      </c>
      <c r="D74" s="136">
        <f>Paris_Inflow!D75-Paris_Outflow!D75+D73</f>
        <v>10418.417420000003</v>
      </c>
      <c r="E74" s="136">
        <f>Paris_Inflow!E75-Paris_Outflow!E75+E73</f>
        <v>30636.298747500001</v>
      </c>
      <c r="F74" s="136">
        <f>Paris_Inflow!F75-Paris_Outflow!F75+F73</f>
        <v>2699.0367160396895</v>
      </c>
      <c r="G74" s="136">
        <f>Paris_Inflow!G75-Paris_Outflow!G75+G73</f>
        <v>1740.0092442880346</v>
      </c>
      <c r="H74" s="115"/>
      <c r="I74" s="131"/>
      <c r="J74" s="131"/>
      <c r="K74" s="131"/>
      <c r="L74" s="115"/>
      <c r="M74" s="128"/>
      <c r="N74" s="128"/>
      <c r="O74" s="128"/>
      <c r="P74" s="126"/>
      <c r="Q74" s="126"/>
      <c r="R74" s="126"/>
      <c r="S74" s="115"/>
      <c r="T74" s="131"/>
      <c r="U74" s="131"/>
      <c r="V74" s="131"/>
      <c r="W74" s="115"/>
      <c r="X74" s="128"/>
      <c r="Y74" s="128"/>
      <c r="Z74" s="128"/>
      <c r="AA74" s="126"/>
      <c r="AB74" s="126"/>
      <c r="AC74" s="126"/>
      <c r="AD74" s="115"/>
    </row>
    <row r="75" spans="1:30" x14ac:dyDescent="0.25">
      <c r="A75" s="94">
        <v>2021</v>
      </c>
      <c r="B75" s="139">
        <f>Paris_Inflow!B76-Paris_Outflow!B76+B74</f>
        <v>1810059.4089800003</v>
      </c>
      <c r="C75" s="139">
        <f>Paris_Inflow!C76-Paris_Outflow!C76+C74</f>
        <v>43570.240667499995</v>
      </c>
      <c r="D75" s="136">
        <f>Paris_Inflow!D76-Paris_Outflow!D76+D74</f>
        <v>11152.812720000004</v>
      </c>
      <c r="E75" s="136">
        <f>Paris_Inflow!E76-Paris_Outflow!E76+E74</f>
        <v>31359.027947499999</v>
      </c>
      <c r="F75" s="136">
        <f>Paris_Inflow!F76-Paris_Outflow!F76+F74</f>
        <v>2721.2710760396894</v>
      </c>
      <c r="G75" s="136">
        <f>Paris_Inflow!G76-Paris_Outflow!G76+G74</f>
        <v>1754.5003242880346</v>
      </c>
      <c r="H75" s="115"/>
      <c r="I75" s="131"/>
      <c r="J75" s="131"/>
      <c r="K75" s="131"/>
      <c r="L75" s="115"/>
      <c r="M75" s="128"/>
      <c r="N75" s="128"/>
      <c r="O75" s="128"/>
      <c r="P75" s="126"/>
      <c r="Q75" s="126"/>
      <c r="R75" s="126"/>
      <c r="S75" s="115"/>
      <c r="T75" s="131"/>
      <c r="U75" s="131"/>
      <c r="V75" s="131"/>
      <c r="W75" s="115"/>
      <c r="X75" s="128"/>
      <c r="Y75" s="128"/>
      <c r="Z75" s="128"/>
      <c r="AA75" s="126"/>
      <c r="AB75" s="126"/>
      <c r="AC75" s="126"/>
      <c r="AD75" s="115"/>
    </row>
    <row r="76" spans="1:30" x14ac:dyDescent="0.25">
      <c r="A76" s="94">
        <v>2022</v>
      </c>
      <c r="B76" s="139">
        <f>Paris_Inflow!B77-Paris_Outflow!B77+B75</f>
        <v>1810901.6089800003</v>
      </c>
      <c r="C76" s="139">
        <f>Paris_Inflow!C77-Paris_Outflow!C77+C75</f>
        <v>44389.238667499994</v>
      </c>
      <c r="D76" s="136">
        <f>Paris_Inflow!D77-Paris_Outflow!D77+D75</f>
        <v>11099.892720000003</v>
      </c>
      <c r="E76" s="136">
        <f>Paris_Inflow!E77-Paris_Outflow!E77+E75</f>
        <v>32230.9459475</v>
      </c>
      <c r="F76" s="136">
        <f>Paris_Inflow!F77-Paris_Outflow!F77+F75</f>
        <v>2745.1908760396896</v>
      </c>
      <c r="G76" s="136">
        <f>Paris_Inflow!G77-Paris_Outflow!G77+G75</f>
        <v>1793.2951242880345</v>
      </c>
      <c r="H76" s="115"/>
      <c r="I76" s="131"/>
      <c r="J76" s="131"/>
      <c r="K76" s="131"/>
      <c r="L76" s="115"/>
      <c r="M76" s="128"/>
      <c r="N76" s="128"/>
      <c r="O76" s="128"/>
      <c r="P76" s="126"/>
      <c r="Q76" s="126"/>
      <c r="R76" s="126"/>
      <c r="S76" s="115"/>
      <c r="T76" s="131"/>
      <c r="U76" s="131"/>
      <c r="V76" s="131"/>
      <c r="W76" s="115"/>
      <c r="X76" s="128"/>
      <c r="Y76" s="128"/>
      <c r="Z76" s="128"/>
      <c r="AA76" s="126"/>
      <c r="AB76" s="126"/>
      <c r="AC76" s="126"/>
      <c r="AD76" s="115"/>
    </row>
    <row r="77" spans="1:30" x14ac:dyDescent="0.25">
      <c r="A77" s="94">
        <v>2023</v>
      </c>
      <c r="B77" s="139">
        <f>Paris_Inflow!B78-Paris_Outflow!B78+B76</f>
        <v>1801074.9089800003</v>
      </c>
      <c r="C77" s="139">
        <f>Paris_Inflow!C78-Paris_Outflow!C78+C76</f>
        <v>44664.256667499998</v>
      </c>
      <c r="D77" s="136">
        <f>Paris_Inflow!D78-Paris_Outflow!D78+D76</f>
        <v>11099.892720000003</v>
      </c>
      <c r="E77" s="136">
        <f>Paris_Inflow!E78-Paris_Outflow!E78+E76</f>
        <v>32505.9639475</v>
      </c>
      <c r="F77" s="136">
        <f>Paris_Inflow!F78-Paris_Outflow!F78+F76</f>
        <v>2742.8023760396895</v>
      </c>
      <c r="G77" s="136">
        <f>Paris_Inflow!G78-Paris_Outflow!G78+G76</f>
        <v>1790.9066242880344</v>
      </c>
      <c r="H77" s="115"/>
      <c r="I77" s="131"/>
      <c r="J77" s="131"/>
      <c r="K77" s="131"/>
      <c r="L77" s="115"/>
      <c r="M77" s="128"/>
      <c r="N77" s="128"/>
      <c r="O77" s="128"/>
      <c r="P77" s="126"/>
      <c r="Q77" s="126"/>
      <c r="R77" s="126"/>
      <c r="S77" s="115"/>
      <c r="T77" s="131"/>
      <c r="U77" s="131"/>
      <c r="V77" s="131"/>
      <c r="W77" s="115"/>
      <c r="X77" s="128"/>
      <c r="Y77" s="128"/>
      <c r="Z77" s="128"/>
      <c r="AA77" s="126"/>
      <c r="AB77" s="126"/>
      <c r="AC77" s="126"/>
      <c r="AD77" s="115"/>
    </row>
    <row r="78" spans="1:30" x14ac:dyDescent="0.25">
      <c r="A78" s="94">
        <v>2024</v>
      </c>
      <c r="B78" s="139">
        <f>Paris_Inflow!B79-Paris_Outflow!B79+B77</f>
        <v>1864802.4589800003</v>
      </c>
      <c r="C78" s="139">
        <f>Paris_Inflow!C79-Paris_Outflow!C79+C77</f>
        <v>46483.441042499995</v>
      </c>
      <c r="D78" s="136">
        <f>Paris_Inflow!D79-Paris_Outflow!D79+D77</f>
        <v>11688.332720000004</v>
      </c>
      <c r="E78" s="136">
        <f>Paris_Inflow!E79-Paris_Outflow!E79+E77</f>
        <v>33736.708322500002</v>
      </c>
      <c r="F78" s="136">
        <f>Paris_Inflow!F79-Paris_Outflow!F79+F77</f>
        <v>2897.9957093730227</v>
      </c>
      <c r="G78" s="136">
        <f>Paris_Inflow!G79-Paris_Outflow!G79+G77</f>
        <v>1897.0632909547012</v>
      </c>
      <c r="H78" s="115"/>
      <c r="I78" s="131"/>
      <c r="J78" s="131"/>
      <c r="K78" s="131"/>
      <c r="L78" s="115"/>
      <c r="M78" s="128"/>
      <c r="N78" s="128"/>
      <c r="O78" s="128"/>
      <c r="P78" s="126"/>
      <c r="Q78" s="126"/>
      <c r="R78" s="126"/>
      <c r="S78" s="115"/>
      <c r="T78" s="131"/>
      <c r="U78" s="131"/>
      <c r="V78" s="131"/>
      <c r="W78" s="115"/>
      <c r="X78" s="128"/>
      <c r="Y78" s="128"/>
      <c r="Z78" s="128"/>
      <c r="AA78" s="126"/>
      <c r="AB78" s="126"/>
      <c r="AC78" s="126"/>
      <c r="AD78" s="115"/>
    </row>
    <row r="79" spans="1:30" x14ac:dyDescent="0.25">
      <c r="A79" s="94">
        <v>2025</v>
      </c>
      <c r="B79" s="139">
        <f>Paris_Inflow!B80-Paris_Outflow!B80+B78</f>
        <v>1921873.1591704765</v>
      </c>
      <c r="C79" s="139">
        <f>Paris_Inflow!C80-Paris_Outflow!C80+C78</f>
        <v>48539.310090119041</v>
      </c>
      <c r="D79" s="136">
        <f>Paris_Inflow!D80-Paris_Outflow!D80+D78</f>
        <v>12179.166053333338</v>
      </c>
      <c r="E79" s="136">
        <f>Paris_Inflow!E80-Paris_Outflow!E80+E78</f>
        <v>35301.74403678572</v>
      </c>
      <c r="F79" s="136">
        <f>Paris_Inflow!F80-Paris_Outflow!F80+F78</f>
        <v>3044.8385665158798</v>
      </c>
      <c r="G79" s="136">
        <f>Paris_Inflow!G80-Paris_Outflow!G80+G78</f>
        <v>1970.4847195261298</v>
      </c>
      <c r="H79" s="115"/>
      <c r="I79" s="131"/>
      <c r="J79" s="131"/>
      <c r="K79" s="131"/>
      <c r="L79" s="115"/>
      <c r="M79" s="128"/>
      <c r="N79" s="128"/>
      <c r="O79" s="128"/>
      <c r="P79" s="126"/>
      <c r="Q79" s="126"/>
      <c r="R79" s="126"/>
      <c r="S79" s="115"/>
      <c r="T79" s="131"/>
      <c r="U79" s="131"/>
      <c r="V79" s="131"/>
      <c r="W79" s="115"/>
      <c r="X79" s="128"/>
      <c r="Y79" s="128"/>
      <c r="Z79" s="128"/>
      <c r="AA79" s="126"/>
      <c r="AB79" s="126"/>
      <c r="AC79" s="126"/>
      <c r="AD79" s="115"/>
    </row>
    <row r="80" spans="1:30" x14ac:dyDescent="0.25">
      <c r="A80" s="94">
        <v>2026</v>
      </c>
      <c r="B80" s="139">
        <f>Paris_Inflow!B81-Paris_Outflow!B81+B79</f>
        <v>1918784.0216704765</v>
      </c>
      <c r="C80" s="139">
        <f>Paris_Inflow!C81-Paris_Outflow!C81+C79</f>
        <v>48539.310090119041</v>
      </c>
      <c r="D80" s="136">
        <f>Paris_Inflow!D81-Paris_Outflow!D81+D79</f>
        <v>12179.166053333338</v>
      </c>
      <c r="E80" s="136">
        <f>Paris_Inflow!E81-Paris_Outflow!E81+E79</f>
        <v>35301.74403678572</v>
      </c>
      <c r="F80" s="136">
        <f>Paris_Inflow!F81-Paris_Outflow!F81+F79</f>
        <v>3044.8385665158798</v>
      </c>
      <c r="G80" s="136">
        <f>Paris_Inflow!G81-Paris_Outflow!G81+G79</f>
        <v>1970.4847195261298</v>
      </c>
      <c r="H80" s="115"/>
      <c r="I80" s="131">
        <f>C80*Hypotheses!$D$19/1000</f>
        <v>0.29123586054071426</v>
      </c>
      <c r="J80" s="131">
        <f>C80*Hypotheses!$D$20/1000</f>
        <v>0.58247172108142853</v>
      </c>
      <c r="K80" s="131">
        <f>C80*Hypotheses!$D$21/1000</f>
        <v>1.1649434421628571</v>
      </c>
      <c r="L80" s="115"/>
      <c r="M80" s="128">
        <f>C80*Hypotheses!$D$31*Hypotheses!H45</f>
        <v>2912.3586054071425</v>
      </c>
      <c r="N80" s="128">
        <f>C80*Hypotheses!$D$31*Hypotheses!I45</f>
        <v>3040.350273076433</v>
      </c>
      <c r="O80" s="128">
        <f>C80*Hypotheses!$D$31*Hypotheses!J45</f>
        <v>3200.3398576630466</v>
      </c>
      <c r="P80" s="126">
        <f>C80*Hypotheses!$D$30*Hypotheses!H45</f>
        <v>728.08965135178562</v>
      </c>
      <c r="Q80" s="126">
        <f>C80*Hypotheses!$D$30*Hypotheses!I45</f>
        <v>760.08756826910826</v>
      </c>
      <c r="R80" s="126">
        <f>C80*Hypotheses!$D$30*Hypotheses!J45</f>
        <v>800.08496441576165</v>
      </c>
      <c r="S80" s="115"/>
      <c r="T80" s="131">
        <f t="shared" ref="T80:V124" si="0">I80+T79</f>
        <v>0.29123586054071426</v>
      </c>
      <c r="U80" s="131">
        <f t="shared" ref="U80:V91" si="1">J80+U79</f>
        <v>0.58247172108142853</v>
      </c>
      <c r="V80" s="131">
        <f t="shared" si="1"/>
        <v>1.1649434421628571</v>
      </c>
      <c r="W80" s="115"/>
      <c r="X80" s="128">
        <f t="shared" ref="X80:AC91" si="2">M80+X79</f>
        <v>2912.3586054071425</v>
      </c>
      <c r="Y80" s="128">
        <f t="shared" si="2"/>
        <v>3040.350273076433</v>
      </c>
      <c r="Z80" s="128">
        <f t="shared" si="2"/>
        <v>3200.3398576630466</v>
      </c>
      <c r="AA80" s="126">
        <f t="shared" si="2"/>
        <v>728.08965135178562</v>
      </c>
      <c r="AB80" s="126">
        <f t="shared" si="2"/>
        <v>760.08756826910826</v>
      </c>
      <c r="AC80" s="126">
        <f t="shared" si="2"/>
        <v>800.08496441576165</v>
      </c>
      <c r="AD80" s="115"/>
    </row>
    <row r="81" spans="1:30" x14ac:dyDescent="0.25">
      <c r="A81" s="94">
        <v>2027</v>
      </c>
      <c r="B81" s="139">
        <f>Paris_Inflow!B82-Paris_Outflow!B82+B80</f>
        <v>1913250.0216704765</v>
      </c>
      <c r="C81" s="139">
        <f>Paris_Inflow!C82-Paris_Outflow!C82+C80</f>
        <v>49993.21509011904</v>
      </c>
      <c r="D81" s="136">
        <f>Paris_Inflow!D82-Paris_Outflow!D82+D80</f>
        <v>12026.991053333339</v>
      </c>
      <c r="E81" s="136">
        <f>Paris_Inflow!E82-Paris_Outflow!E82+E80</f>
        <v>36907.824036785722</v>
      </c>
      <c r="F81" s="136">
        <f>Paris_Inflow!F82-Paris_Outflow!F82+F80</f>
        <v>3124.5642331825466</v>
      </c>
      <c r="G81" s="136">
        <f>Paris_Inflow!G82-Paris_Outflow!G82+G80</f>
        <v>2043.2730785004887</v>
      </c>
      <c r="H81" s="115"/>
      <c r="I81" s="131">
        <f>C81*Hypotheses!$D$19/1000</f>
        <v>0.29995929054071424</v>
      </c>
      <c r="J81" s="131">
        <f>C81*Hypotheses!$D$20/1000</f>
        <v>0.59991858108142848</v>
      </c>
      <c r="K81" s="131">
        <f>C81*Hypotheses!$D$21/1000</f>
        <v>1.199837162162857</v>
      </c>
      <c r="L81" s="115"/>
      <c r="M81" s="128">
        <f>C81*Hypotheses!$D$31*Hypotheses!H46</f>
        <v>2999.5929054071421</v>
      </c>
      <c r="N81" s="128">
        <f>C81*Hypotheses!$D$31*Hypotheses!I46</f>
        <v>3215.3981365969548</v>
      </c>
      <c r="O81" s="128">
        <f>C81*Hypotheses!$D$31*Hypotheses!J46</f>
        <v>3485.1546755842201</v>
      </c>
      <c r="P81" s="126">
        <f>C81*Hypotheses!$D$30*Hypotheses!H46</f>
        <v>749.89822635178552</v>
      </c>
      <c r="Q81" s="126">
        <f>C81*Hypotheses!$D$30*Hypotheses!I46</f>
        <v>803.84953414923871</v>
      </c>
      <c r="R81" s="126">
        <f>C81*Hypotheses!$D$30*Hypotheses!J46</f>
        <v>871.28866889605501</v>
      </c>
      <c r="S81" s="115"/>
      <c r="T81" s="131">
        <f t="shared" si="0"/>
        <v>0.5911951510814285</v>
      </c>
      <c r="U81" s="131">
        <f t="shared" si="1"/>
        <v>1.182390302162857</v>
      </c>
      <c r="V81" s="131">
        <f t="shared" si="1"/>
        <v>2.364780604325714</v>
      </c>
      <c r="W81" s="115"/>
      <c r="X81" s="128">
        <f t="shared" si="2"/>
        <v>5911.9515108142841</v>
      </c>
      <c r="Y81" s="128">
        <f t="shared" si="2"/>
        <v>6255.7484096733879</v>
      </c>
      <c r="Z81" s="128">
        <f t="shared" si="2"/>
        <v>6685.4945332472671</v>
      </c>
      <c r="AA81" s="126">
        <f t="shared" si="2"/>
        <v>1477.987877703571</v>
      </c>
      <c r="AB81" s="126">
        <f t="shared" si="2"/>
        <v>1563.937102418347</v>
      </c>
      <c r="AC81" s="126">
        <f t="shared" si="2"/>
        <v>1671.3736333118168</v>
      </c>
      <c r="AD81" s="115"/>
    </row>
    <row r="82" spans="1:30" x14ac:dyDescent="0.25">
      <c r="A82" s="94">
        <v>2028</v>
      </c>
      <c r="B82" s="139">
        <f>Paris_Inflow!B83-Paris_Outflow!B83+B81</f>
        <v>1907959.1016704766</v>
      </c>
      <c r="C82" s="139">
        <f>Paris_Inflow!C83-Paris_Outflow!C83+C81</f>
        <v>49993.21509011904</v>
      </c>
      <c r="D82" s="136">
        <f>Paris_Inflow!D83-Paris_Outflow!D83+D81</f>
        <v>12026.991053333339</v>
      </c>
      <c r="E82" s="136">
        <f>Paris_Inflow!E83-Paris_Outflow!E83+E81</f>
        <v>36907.824036785722</v>
      </c>
      <c r="F82" s="136">
        <f>Paris_Inflow!F83-Paris_Outflow!F83+F81</f>
        <v>3124.5642331825466</v>
      </c>
      <c r="G82" s="136">
        <f>Paris_Inflow!G83-Paris_Outflow!G83+G81</f>
        <v>2043.2730785004887</v>
      </c>
      <c r="H82" s="115"/>
      <c r="I82" s="131">
        <f>C82*Hypotheses!$D$19/1000</f>
        <v>0.29995929054071424</v>
      </c>
      <c r="J82" s="131">
        <f>C82*Hypotheses!$D$20/1000</f>
        <v>0.59991858108142848</v>
      </c>
      <c r="K82" s="131">
        <f>C82*Hypotheses!$D$21/1000</f>
        <v>1.199837162162857</v>
      </c>
      <c r="L82" s="115"/>
      <c r="M82" s="128">
        <f>C82*Hypotheses!$D$31*Hypotheses!H47</f>
        <v>2999.5929054071421</v>
      </c>
      <c r="N82" s="128">
        <f>C82*Hypotheses!$D$31*Hypotheses!I47</f>
        <v>3351.291943020844</v>
      </c>
      <c r="O82" s="128">
        <f>C82*Hypotheses!$D$31*Hypotheses!J47</f>
        <v>3790.9157400379713</v>
      </c>
      <c r="P82" s="126">
        <f>C82*Hypotheses!$D$30*Hypotheses!H47</f>
        <v>749.89822635178552</v>
      </c>
      <c r="Q82" s="126">
        <f>C82*Hypotheses!$D$30*Hypotheses!I47</f>
        <v>837.82298575521099</v>
      </c>
      <c r="R82" s="126">
        <f>C82*Hypotheses!$D$30*Hypotheses!J47</f>
        <v>947.72893500949283</v>
      </c>
      <c r="S82" s="115"/>
      <c r="T82" s="131">
        <f t="shared" si="0"/>
        <v>0.89115444162214275</v>
      </c>
      <c r="U82" s="131">
        <f t="shared" si="1"/>
        <v>1.7823088832442855</v>
      </c>
      <c r="V82" s="131">
        <f t="shared" si="1"/>
        <v>3.564617766488571</v>
      </c>
      <c r="W82" s="115"/>
      <c r="X82" s="128">
        <f t="shared" si="2"/>
        <v>8911.5444162214262</v>
      </c>
      <c r="Y82" s="128">
        <f t="shared" si="2"/>
        <v>9607.0403526942318</v>
      </c>
      <c r="Z82" s="128">
        <f t="shared" si="2"/>
        <v>10476.410273285239</v>
      </c>
      <c r="AA82" s="126">
        <f t="shared" si="2"/>
        <v>2227.8861040553566</v>
      </c>
      <c r="AB82" s="126">
        <f t="shared" si="2"/>
        <v>2401.760088173558</v>
      </c>
      <c r="AC82" s="126">
        <f t="shared" si="2"/>
        <v>2619.1025683213097</v>
      </c>
      <c r="AD82" s="115"/>
    </row>
    <row r="83" spans="1:30" x14ac:dyDescent="0.25">
      <c r="A83" s="94">
        <v>2029</v>
      </c>
      <c r="B83" s="139">
        <f>Paris_Inflow!B84-Paris_Outflow!B84+B82</f>
        <v>1907959.1016704766</v>
      </c>
      <c r="C83" s="139">
        <f>Paris_Inflow!C84-Paris_Outflow!C84+C82</f>
        <v>49993.21509011904</v>
      </c>
      <c r="D83" s="136">
        <f>Paris_Inflow!D84-Paris_Outflow!D84+D82</f>
        <v>12026.991053333339</v>
      </c>
      <c r="E83" s="136">
        <f>Paris_Inflow!E84-Paris_Outflow!E84+E82</f>
        <v>36907.824036785722</v>
      </c>
      <c r="F83" s="136">
        <f>Paris_Inflow!F84-Paris_Outflow!F84+F82</f>
        <v>3124.5642331825466</v>
      </c>
      <c r="G83" s="136">
        <f>Paris_Inflow!G84-Paris_Outflow!G84+G82</f>
        <v>2043.2730785004887</v>
      </c>
      <c r="H83" s="115"/>
      <c r="I83" s="131">
        <f>C83*Hypotheses!$D$19/1000</f>
        <v>0.29995929054071424</v>
      </c>
      <c r="J83" s="131">
        <f>C83*Hypotheses!$D$20/1000</f>
        <v>0.59991858108142848</v>
      </c>
      <c r="K83" s="131">
        <f>C83*Hypotheses!$D$21/1000</f>
        <v>1.199837162162857</v>
      </c>
      <c r="L83" s="115"/>
      <c r="M83" s="128">
        <f>C83*Hypotheses!$D$31*Hypotheses!H48</f>
        <v>2999.5929054071421</v>
      </c>
      <c r="N83" s="128">
        <f>C83*Hypotheses!$D$31*Hypotheses!I48</f>
        <v>3568.626156271815</v>
      </c>
      <c r="O83" s="128">
        <f>C83*Hypotheses!$D$31*Hypotheses!J48</f>
        <v>4279.9177198526559</v>
      </c>
      <c r="P83" s="126">
        <f>C83*Hypotheses!$D$30*Hypotheses!H48</f>
        <v>749.89822635178552</v>
      </c>
      <c r="Q83" s="126">
        <f>C83*Hypotheses!$D$30*Hypotheses!I48</f>
        <v>892.15653906795376</v>
      </c>
      <c r="R83" s="126">
        <f>C83*Hypotheses!$D$30*Hypotheses!J48</f>
        <v>1069.979429963164</v>
      </c>
      <c r="S83" s="115"/>
      <c r="T83" s="131">
        <f t="shared" si="0"/>
        <v>1.1911137321628571</v>
      </c>
      <c r="U83" s="131">
        <f t="shared" si="1"/>
        <v>2.3822274643257142</v>
      </c>
      <c r="V83" s="131">
        <f t="shared" si="1"/>
        <v>4.7644549286514284</v>
      </c>
      <c r="W83" s="115"/>
      <c r="X83" s="128">
        <f t="shared" si="2"/>
        <v>11911.137321628568</v>
      </c>
      <c r="Y83" s="128">
        <f t="shared" si="2"/>
        <v>13175.666508966047</v>
      </c>
      <c r="Z83" s="128">
        <f t="shared" si="2"/>
        <v>14756.327993137895</v>
      </c>
      <c r="AA83" s="126">
        <f t="shared" si="2"/>
        <v>2977.7843304071421</v>
      </c>
      <c r="AB83" s="126">
        <f t="shared" si="2"/>
        <v>3293.9166272415118</v>
      </c>
      <c r="AC83" s="126">
        <f t="shared" si="2"/>
        <v>3689.0819982844737</v>
      </c>
      <c r="AD83" s="115"/>
    </row>
    <row r="84" spans="1:30" x14ac:dyDescent="0.25">
      <c r="A84" s="94">
        <v>2030</v>
      </c>
      <c r="B84" s="139">
        <f>Paris_Inflow!B85-Paris_Outflow!B85+B83</f>
        <v>1874469.7266704766</v>
      </c>
      <c r="C84" s="139">
        <f>Paris_Inflow!C85-Paris_Outflow!C85+C83</f>
        <v>49424.52759011904</v>
      </c>
      <c r="D84" s="136">
        <f>Paris_Inflow!D85-Paris_Outflow!D85+D83</f>
        <v>11458.303553333339</v>
      </c>
      <c r="E84" s="136">
        <f>Paris_Inflow!E85-Paris_Outflow!E85+E83</f>
        <v>36907.824036785722</v>
      </c>
      <c r="F84" s="136">
        <f>Paris_Inflow!F85-Paris_Outflow!F85+F83</f>
        <v>3124.5642331825466</v>
      </c>
      <c r="G84" s="136">
        <f>Paris_Inflow!G85-Paris_Outflow!G85+G83</f>
        <v>2043.2730785004887</v>
      </c>
      <c r="H84" s="115"/>
      <c r="I84" s="131">
        <f>C84*Hypotheses!$D$19/1000</f>
        <v>0.2965471655407142</v>
      </c>
      <c r="J84" s="131">
        <f>C84*Hypotheses!$D$20/1000</f>
        <v>0.59309433108142839</v>
      </c>
      <c r="K84" s="131">
        <f>C84*Hypotheses!$D$21/1000</f>
        <v>1.1861886621628568</v>
      </c>
      <c r="L84" s="115"/>
      <c r="M84" s="128">
        <f>C84*Hypotheses!$D$31*Hypotheses!H49</f>
        <v>2965.4716554071424</v>
      </c>
      <c r="N84" s="128">
        <f>C84*Hypotheses!$D$31*Hypotheses!I49</f>
        <v>3865.2927861422231</v>
      </c>
      <c r="O84" s="128">
        <f>C84*Hypotheses!$D$31*Hypotheses!J49</f>
        <v>4990.0691995610741</v>
      </c>
      <c r="P84" s="126">
        <f>C84*Hypotheses!$D$30*Hypotheses!H49</f>
        <v>741.3679138517856</v>
      </c>
      <c r="Q84" s="126">
        <f>C84*Hypotheses!$D$30*Hypotheses!I49</f>
        <v>966.32319653555578</v>
      </c>
      <c r="R84" s="126">
        <f>C84*Hypotheses!$D$30*Hypotheses!J49</f>
        <v>1247.5172998902685</v>
      </c>
      <c r="S84" s="115"/>
      <c r="T84" s="131">
        <f t="shared" si="0"/>
        <v>1.4876608977035712</v>
      </c>
      <c r="U84" s="131">
        <f t="shared" si="1"/>
        <v>2.9753217954071425</v>
      </c>
      <c r="V84" s="131">
        <f t="shared" si="1"/>
        <v>5.950643590814285</v>
      </c>
      <c r="W84" s="115"/>
      <c r="X84" s="128">
        <f t="shared" si="2"/>
        <v>14876.60897703571</v>
      </c>
      <c r="Y84" s="128">
        <f t="shared" si="2"/>
        <v>17040.95929510827</v>
      </c>
      <c r="Z84" s="128">
        <f t="shared" si="2"/>
        <v>19746.397192698969</v>
      </c>
      <c r="AA84" s="126">
        <f t="shared" si="2"/>
        <v>3719.1522442589276</v>
      </c>
      <c r="AB84" s="126">
        <f t="shared" si="2"/>
        <v>4260.2398237770676</v>
      </c>
      <c r="AC84" s="126">
        <f t="shared" si="2"/>
        <v>4936.5992981747422</v>
      </c>
      <c r="AD84" s="115"/>
    </row>
    <row r="85" spans="1:30" x14ac:dyDescent="0.25">
      <c r="A85" s="94">
        <v>2031</v>
      </c>
      <c r="B85" s="139">
        <f>Paris_Inflow!B86-Paris_Outflow!B86+B84</f>
        <v>1874469.7266704766</v>
      </c>
      <c r="C85" s="139">
        <f>Paris_Inflow!C86-Paris_Outflow!C86+C84</f>
        <v>49424.52759011904</v>
      </c>
      <c r="D85" s="136">
        <f>Paris_Inflow!D86-Paris_Outflow!D86+D84</f>
        <v>11458.303553333339</v>
      </c>
      <c r="E85" s="136">
        <f>Paris_Inflow!E86-Paris_Outflow!E86+E84</f>
        <v>36907.824036785722</v>
      </c>
      <c r="F85" s="136">
        <f>Paris_Inflow!F86-Paris_Outflow!F86+F84</f>
        <v>3124.5642331825466</v>
      </c>
      <c r="G85" s="136">
        <f>Paris_Inflow!G86-Paris_Outflow!G86+G84</f>
        <v>2043.2730785004887</v>
      </c>
      <c r="H85" s="115"/>
      <c r="I85" s="131">
        <f>C85*Hypotheses!$D$19/1000</f>
        <v>0.2965471655407142</v>
      </c>
      <c r="J85" s="131">
        <f>C85*Hypotheses!$D$20/1000</f>
        <v>0.59309433108142839</v>
      </c>
      <c r="K85" s="131">
        <f>C85*Hypotheses!$D$21/1000</f>
        <v>1.1861886621628568</v>
      </c>
      <c r="L85" s="115"/>
      <c r="M85" s="128">
        <f>C85*Hypotheses!$D$31*Hypotheses!H50</f>
        <v>2965.4716554071424</v>
      </c>
      <c r="N85" s="128">
        <f>C85*Hypotheses!$D$31*Hypotheses!I50</f>
        <v>4379.4432014003323</v>
      </c>
      <c r="O85" s="128">
        <f>C85*Hypotheses!$D$31*Hypotheses!J50</f>
        <v>6146.9076338918194</v>
      </c>
      <c r="P85" s="126">
        <f>C85*Hypotheses!$D$30*Hypotheses!H50</f>
        <v>741.3679138517856</v>
      </c>
      <c r="Q85" s="126">
        <f>C85*Hypotheses!$D$30*Hypotheses!I50</f>
        <v>1094.8608003500831</v>
      </c>
      <c r="R85" s="126">
        <f>C85*Hypotheses!$D$30*Hypotheses!J50</f>
        <v>1536.7269084729548</v>
      </c>
      <c r="S85" s="115"/>
      <c r="T85" s="131">
        <f t="shared" si="0"/>
        <v>1.7842080632442854</v>
      </c>
      <c r="U85" s="131">
        <f t="shared" si="1"/>
        <v>3.5684161264885708</v>
      </c>
      <c r="V85" s="131">
        <f t="shared" si="1"/>
        <v>7.1368322529771415</v>
      </c>
      <c r="W85" s="115"/>
      <c r="X85" s="128">
        <f t="shared" si="2"/>
        <v>17842.080632442852</v>
      </c>
      <c r="Y85" s="128">
        <f t="shared" si="2"/>
        <v>21420.402496508603</v>
      </c>
      <c r="Z85" s="128">
        <f t="shared" si="2"/>
        <v>25893.304826590789</v>
      </c>
      <c r="AA85" s="126">
        <f t="shared" si="2"/>
        <v>4460.5201581107131</v>
      </c>
      <c r="AB85" s="126">
        <f t="shared" si="2"/>
        <v>5355.1006241271507</v>
      </c>
      <c r="AC85" s="126">
        <f t="shared" si="2"/>
        <v>6473.3262066476973</v>
      </c>
      <c r="AD85" s="115"/>
    </row>
    <row r="86" spans="1:30" x14ac:dyDescent="0.25">
      <c r="A86" s="94">
        <v>2032</v>
      </c>
      <c r="B86" s="139">
        <f>Paris_Inflow!B87-Paris_Outflow!B87+B85</f>
        <v>1870252.5426704767</v>
      </c>
      <c r="C86" s="139">
        <f>Paris_Inflow!C87-Paris_Outflow!C87+C85</f>
        <v>49424.52759011904</v>
      </c>
      <c r="D86" s="136">
        <f>Paris_Inflow!D87-Paris_Outflow!D87+D85</f>
        <v>11458.303553333339</v>
      </c>
      <c r="E86" s="136">
        <f>Paris_Inflow!E87-Paris_Outflow!E87+E85</f>
        <v>36907.824036785722</v>
      </c>
      <c r="F86" s="136">
        <f>Paris_Inflow!F87-Paris_Outflow!F87+F85</f>
        <v>3124.5642331825466</v>
      </c>
      <c r="G86" s="136">
        <f>Paris_Inflow!G87-Paris_Outflow!G87+G85</f>
        <v>2043.2730785004887</v>
      </c>
      <c r="H86" s="115"/>
      <c r="I86" s="131">
        <f>C86*Hypotheses!$D$19/1000</f>
        <v>0.2965471655407142</v>
      </c>
      <c r="J86" s="131">
        <f>C86*Hypotheses!$D$20/1000</f>
        <v>0.59309433108142839</v>
      </c>
      <c r="K86" s="131">
        <f>C86*Hypotheses!$D$21/1000</f>
        <v>1.1861886621628568</v>
      </c>
      <c r="L86" s="115"/>
      <c r="M86" s="128">
        <f>C86*Hypotheses!$D$31*Hypotheses!H51</f>
        <v>2965.4716554071424</v>
      </c>
      <c r="N86" s="128">
        <f>C86*Hypotheses!$D$31*Hypotheses!I51</f>
        <v>5129.3825356893449</v>
      </c>
      <c r="O86" s="128">
        <f>C86*Hypotheses!$D$31*Hypotheses!J51</f>
        <v>7834.2711360420981</v>
      </c>
      <c r="P86" s="126">
        <f>C86*Hypotheses!$D$30*Hypotheses!H51</f>
        <v>741.3679138517856</v>
      </c>
      <c r="Q86" s="126">
        <f>C86*Hypotheses!$D$30*Hypotheses!I51</f>
        <v>1282.3456339223362</v>
      </c>
      <c r="R86" s="126">
        <f>C86*Hypotheses!$D$30*Hypotheses!J51</f>
        <v>1958.5677840105245</v>
      </c>
      <c r="S86" s="115"/>
      <c r="T86" s="131">
        <f t="shared" si="0"/>
        <v>2.0807552287849997</v>
      </c>
      <c r="U86" s="131">
        <f t="shared" si="1"/>
        <v>4.1615104575699995</v>
      </c>
      <c r="V86" s="131">
        <f t="shared" si="1"/>
        <v>8.323020915139999</v>
      </c>
      <c r="W86" s="115"/>
      <c r="X86" s="128">
        <f t="shared" si="2"/>
        <v>20807.552287849994</v>
      </c>
      <c r="Y86" s="128">
        <f t="shared" si="2"/>
        <v>26549.785032197949</v>
      </c>
      <c r="Z86" s="128">
        <f t="shared" si="2"/>
        <v>33727.575962632887</v>
      </c>
      <c r="AA86" s="126">
        <f t="shared" si="2"/>
        <v>5201.8880719624985</v>
      </c>
      <c r="AB86" s="126">
        <f t="shared" si="2"/>
        <v>6637.4462580494874</v>
      </c>
      <c r="AC86" s="126">
        <f t="shared" si="2"/>
        <v>8431.8939906582218</v>
      </c>
      <c r="AD86" s="115"/>
    </row>
    <row r="87" spans="1:30" x14ac:dyDescent="0.25">
      <c r="A87" s="94">
        <v>2033</v>
      </c>
      <c r="B87" s="139">
        <f>Paris_Inflow!B88-Paris_Outflow!B88+B86</f>
        <v>1870252.5426704767</v>
      </c>
      <c r="C87" s="139">
        <f>Paris_Inflow!C88-Paris_Outflow!C88+C86</f>
        <v>49424.52759011904</v>
      </c>
      <c r="D87" s="136">
        <f>Paris_Inflow!D88-Paris_Outflow!D88+D86</f>
        <v>11458.303553333339</v>
      </c>
      <c r="E87" s="136">
        <f>Paris_Inflow!E88-Paris_Outflow!E88+E86</f>
        <v>36907.824036785722</v>
      </c>
      <c r="F87" s="136">
        <f>Paris_Inflow!F88-Paris_Outflow!F88+F86</f>
        <v>3124.5642331825466</v>
      </c>
      <c r="G87" s="136">
        <f>Paris_Inflow!G88-Paris_Outflow!G88+G86</f>
        <v>2043.2730785004887</v>
      </c>
      <c r="H87" s="115"/>
      <c r="I87" s="131">
        <f>C87*Hypotheses!$D$19/1000</f>
        <v>0.2965471655407142</v>
      </c>
      <c r="J87" s="131">
        <f>C87*Hypotheses!$D$20/1000</f>
        <v>0.59309433108142839</v>
      </c>
      <c r="K87" s="131">
        <f>C87*Hypotheses!$D$21/1000</f>
        <v>1.1861886621628568</v>
      </c>
      <c r="L87" s="115"/>
      <c r="M87" s="128">
        <f>C87*Hypotheses!$D$31*Hypotheses!H52</f>
        <v>2965.4716554071424</v>
      </c>
      <c r="N87" s="128">
        <f>C87*Hypotheses!$D$31*Hypotheses!I52</f>
        <v>6155.624303557659</v>
      </c>
      <c r="O87" s="128">
        <f>C87*Hypotheses!$D$31*Hypotheses!J52</f>
        <v>10143.315113745804</v>
      </c>
      <c r="P87" s="126">
        <f>C87*Hypotheses!$D$30*Hypotheses!H52</f>
        <v>741.3679138517856</v>
      </c>
      <c r="Q87" s="126">
        <f>C87*Hypotheses!$D$30*Hypotheses!I52</f>
        <v>1538.9060758894148</v>
      </c>
      <c r="R87" s="126">
        <f>C87*Hypotheses!$D$30*Hypotheses!J52</f>
        <v>2535.8287784364511</v>
      </c>
      <c r="S87" s="115"/>
      <c r="T87" s="131">
        <f t="shared" si="0"/>
        <v>2.3773023943257141</v>
      </c>
      <c r="U87" s="131">
        <f t="shared" si="1"/>
        <v>4.7546047886514282</v>
      </c>
      <c r="V87" s="131">
        <f t="shared" si="1"/>
        <v>9.5092095773028564</v>
      </c>
      <c r="W87" s="115"/>
      <c r="X87" s="128">
        <f t="shared" si="2"/>
        <v>23773.023943257136</v>
      </c>
      <c r="Y87" s="128">
        <f t="shared" si="2"/>
        <v>32705.409335755608</v>
      </c>
      <c r="Z87" s="128">
        <f t="shared" si="2"/>
        <v>43870.891076378692</v>
      </c>
      <c r="AA87" s="126">
        <f t="shared" si="2"/>
        <v>5943.255985814284</v>
      </c>
      <c r="AB87" s="126">
        <f t="shared" si="2"/>
        <v>8176.3523339389021</v>
      </c>
      <c r="AC87" s="126">
        <f t="shared" si="2"/>
        <v>10967.722769094673</v>
      </c>
      <c r="AD87" s="115"/>
    </row>
    <row r="88" spans="1:30" x14ac:dyDescent="0.25">
      <c r="A88" s="94">
        <v>2034</v>
      </c>
      <c r="B88" s="139">
        <f>Paris_Inflow!B89-Paris_Outflow!B89+B87</f>
        <v>1863127.2426704767</v>
      </c>
      <c r="C88" s="139">
        <f>Paris_Inflow!C89-Paris_Outflow!C89+C87</f>
        <v>49411.014090119039</v>
      </c>
      <c r="D88" s="136">
        <f>Paris_Inflow!D89-Paris_Outflow!D89+D87</f>
        <v>11421.448553333339</v>
      </c>
      <c r="E88" s="136">
        <f>Paris_Inflow!E89-Paris_Outflow!E89+E87</f>
        <v>36931.165536785724</v>
      </c>
      <c r="F88" s="136">
        <f>Paris_Inflow!F89-Paris_Outflow!F89+F87</f>
        <v>3124.5642331825466</v>
      </c>
      <c r="G88" s="136">
        <f>Paris_Inflow!G89-Paris_Outflow!G89+G87</f>
        <v>2043.2730785004887</v>
      </c>
      <c r="H88" s="115"/>
      <c r="I88" s="131">
        <f>C88*Hypotheses!$D$19/1000</f>
        <v>0.29646608454071421</v>
      </c>
      <c r="J88" s="131">
        <f>C88*Hypotheses!$D$20/1000</f>
        <v>0.59293216908142843</v>
      </c>
      <c r="K88" s="131">
        <f>C88*Hypotheses!$D$21/1000</f>
        <v>1.1858643381628569</v>
      </c>
      <c r="L88" s="115"/>
      <c r="M88" s="128">
        <f>C88*Hypotheses!$D$31*Hypotheses!H53</f>
        <v>2964.6608454071425</v>
      </c>
      <c r="N88" s="128">
        <f>C88*Hypotheses!$D$31*Hypotheses!I53</f>
        <v>7441.7809987458941</v>
      </c>
      <c r="O88" s="128">
        <f>C88*Hypotheses!$D$31*Hypotheses!J53</f>
        <v>13038.181190419331</v>
      </c>
      <c r="P88" s="126">
        <f>C88*Hypotheses!$D$30*Hypotheses!H53</f>
        <v>741.16521135178562</v>
      </c>
      <c r="Q88" s="126">
        <f>C88*Hypotheses!$D$30*Hypotheses!I53</f>
        <v>1860.4452496864735</v>
      </c>
      <c r="R88" s="126">
        <f>C88*Hypotheses!$D$30*Hypotheses!J53</f>
        <v>3259.5452976048327</v>
      </c>
      <c r="S88" s="115"/>
      <c r="T88" s="131">
        <f t="shared" si="0"/>
        <v>2.6737684788664282</v>
      </c>
      <c r="U88" s="131">
        <f t="shared" si="1"/>
        <v>5.3475369577328564</v>
      </c>
      <c r="V88" s="131">
        <f t="shared" si="1"/>
        <v>10.695073915465713</v>
      </c>
      <c r="W88" s="115"/>
      <c r="X88" s="128">
        <f t="shared" si="2"/>
        <v>26737.684788664279</v>
      </c>
      <c r="Y88" s="128">
        <f t="shared" si="2"/>
        <v>40147.190334501502</v>
      </c>
      <c r="Z88" s="128">
        <f t="shared" si="2"/>
        <v>56909.072266798023</v>
      </c>
      <c r="AA88" s="126">
        <f t="shared" si="2"/>
        <v>6684.4211971660698</v>
      </c>
      <c r="AB88" s="126">
        <f t="shared" si="2"/>
        <v>10036.797583625375</v>
      </c>
      <c r="AC88" s="126">
        <f t="shared" si="2"/>
        <v>14227.268066699506</v>
      </c>
      <c r="AD88" s="115"/>
    </row>
    <row r="89" spans="1:30" x14ac:dyDescent="0.25">
      <c r="A89" s="94">
        <v>2035</v>
      </c>
      <c r="B89" s="139">
        <f>Paris_Inflow!B90-Paris_Outflow!B90+B88</f>
        <v>1824367.2426704767</v>
      </c>
      <c r="C89" s="139">
        <f>Paris_Inflow!C90-Paris_Outflow!C90+C88</f>
        <v>49360.014090119039</v>
      </c>
      <c r="D89" s="136">
        <f>Paris_Inflow!D90-Paris_Outflow!D90+D88</f>
        <v>11370.448553333339</v>
      </c>
      <c r="E89" s="136">
        <f>Paris_Inflow!E90-Paris_Outflow!E90+E88</f>
        <v>36931.165536785724</v>
      </c>
      <c r="F89" s="136">
        <f>Paris_Inflow!F90-Paris_Outflow!F90+F88</f>
        <v>3124.5642331825466</v>
      </c>
      <c r="G89" s="136">
        <f>Paris_Inflow!G90-Paris_Outflow!G90+G88</f>
        <v>2043.2730785004887</v>
      </c>
      <c r="H89" s="115"/>
      <c r="I89" s="131">
        <f>C89*Hypotheses!$D$19/1000</f>
        <v>0.29616008454071424</v>
      </c>
      <c r="J89" s="131">
        <f>C89*Hypotheses!$D$20/1000</f>
        <v>0.59232016908142848</v>
      </c>
      <c r="K89" s="131">
        <f>C89*Hypotheses!$D$21/1000</f>
        <v>1.184640338162857</v>
      </c>
      <c r="L89" s="115"/>
      <c r="M89" s="128">
        <f>C89*Hypotheses!$D$31*Hypotheses!H54</f>
        <v>2961.6008454071425</v>
      </c>
      <c r="N89" s="128">
        <f>C89*Hypotheses!$D$31*Hypotheses!I54</f>
        <v>8884.8025362214285</v>
      </c>
      <c r="O89" s="128">
        <f>C89*Hypotheses!$D$31*Hypotheses!J54</f>
        <v>16288.804649739284</v>
      </c>
      <c r="P89" s="126">
        <f>C89*Hypotheses!$D$30*Hypotheses!H54</f>
        <v>740.40021135178563</v>
      </c>
      <c r="Q89" s="126">
        <f>C89*Hypotheses!$D$30*Hypotheses!I54</f>
        <v>2221.2006340553571</v>
      </c>
      <c r="R89" s="126">
        <f>C89*Hypotheses!$D$30*Hypotheses!J54</f>
        <v>4072.2011624348211</v>
      </c>
      <c r="S89" s="115"/>
      <c r="T89" s="131">
        <f t="shared" si="0"/>
        <v>2.9699285634071426</v>
      </c>
      <c r="U89" s="131">
        <f t="shared" si="1"/>
        <v>5.9398571268142852</v>
      </c>
      <c r="V89" s="131">
        <f t="shared" si="1"/>
        <v>11.87971425362857</v>
      </c>
      <c r="W89" s="115"/>
      <c r="X89" s="128">
        <f t="shared" si="2"/>
        <v>29699.285634071421</v>
      </c>
      <c r="Y89" s="128">
        <f t="shared" si="2"/>
        <v>49031.992870722926</v>
      </c>
      <c r="Z89" s="128">
        <f t="shared" si="2"/>
        <v>73197.876916537309</v>
      </c>
      <c r="AA89" s="126">
        <f t="shared" si="2"/>
        <v>7424.8214085178552</v>
      </c>
      <c r="AB89" s="126">
        <f t="shared" si="2"/>
        <v>12257.998217680732</v>
      </c>
      <c r="AC89" s="126">
        <f t="shared" si="2"/>
        <v>18299.469229134327</v>
      </c>
      <c r="AD89" s="115"/>
    </row>
    <row r="90" spans="1:30" x14ac:dyDescent="0.25">
      <c r="A90" s="94">
        <v>2036</v>
      </c>
      <c r="B90" s="139">
        <f>Paris_Inflow!B91-Paris_Outflow!B91+B89</f>
        <v>1822045.0626704767</v>
      </c>
      <c r="C90" s="139">
        <f>Paris_Inflow!C91-Paris_Outflow!C91+C89</f>
        <v>49789.617390119041</v>
      </c>
      <c r="D90" s="136">
        <f>Paris_Inflow!D91-Paris_Outflow!D91+D89</f>
        <v>11800.05185333334</v>
      </c>
      <c r="E90" s="136">
        <f>Paris_Inflow!E91-Paris_Outflow!E91+E89</f>
        <v>36931.165536785724</v>
      </c>
      <c r="F90" s="136">
        <f>Paris_Inflow!F91-Paris_Outflow!F91+F89</f>
        <v>3150.1978411825467</v>
      </c>
      <c r="G90" s="136">
        <f>Paris_Inflow!G91-Paris_Outflow!G91+G89</f>
        <v>2056.0898825004888</v>
      </c>
      <c r="H90" s="115"/>
      <c r="I90" s="131">
        <f>C90*Hypotheses!$D$19/1000</f>
        <v>0.29873770434071423</v>
      </c>
      <c r="J90" s="131">
        <f>C90*Hypotheses!$D$20/1000</f>
        <v>0.59747540868142845</v>
      </c>
      <c r="K90" s="131">
        <f>C90*Hypotheses!$D$21/1000</f>
        <v>1.1949508173628569</v>
      </c>
      <c r="L90" s="115"/>
      <c r="M90" s="128">
        <f>C90*Hypotheses!$D$31*Hypotheses!H55</f>
        <v>2987.3770434071425</v>
      </c>
      <c r="N90" s="128">
        <f>C90*Hypotheses!$D$31*Hypotheses!I55</f>
        <v>10425.459909355077</v>
      </c>
      <c r="O90" s="128">
        <f>C90*Hypotheses!$D$31*Hypotheses!J55</f>
        <v>19723.063491789995</v>
      </c>
      <c r="P90" s="126">
        <f>C90*Hypotheses!$D$30*Hypotheses!H55</f>
        <v>746.84426085178563</v>
      </c>
      <c r="Q90" s="126">
        <f>C90*Hypotheses!$D$30*Hypotheses!I55</f>
        <v>2606.3649773387692</v>
      </c>
      <c r="R90" s="126">
        <f>C90*Hypotheses!$D$30*Hypotheses!J55</f>
        <v>4930.7658729474988</v>
      </c>
      <c r="S90" s="115"/>
      <c r="T90" s="131">
        <f t="shared" si="0"/>
        <v>3.2686662677478568</v>
      </c>
      <c r="U90" s="131">
        <f t="shared" si="1"/>
        <v>6.5373325354957137</v>
      </c>
      <c r="V90" s="131">
        <f t="shared" si="1"/>
        <v>13.074665070991427</v>
      </c>
      <c r="W90" s="115"/>
      <c r="X90" s="128">
        <f t="shared" si="2"/>
        <v>32686.662677478562</v>
      </c>
      <c r="Y90" s="128">
        <f t="shared" si="2"/>
        <v>59457.452780078005</v>
      </c>
      <c r="Z90" s="128">
        <f t="shared" si="2"/>
        <v>92920.940408327297</v>
      </c>
      <c r="AA90" s="126">
        <f t="shared" si="2"/>
        <v>8171.6656693696405</v>
      </c>
      <c r="AB90" s="126">
        <f t="shared" si="2"/>
        <v>14864.363195019501</v>
      </c>
      <c r="AC90" s="126">
        <f t="shared" si="2"/>
        <v>23230.235102081824</v>
      </c>
      <c r="AD90" s="115"/>
    </row>
    <row r="91" spans="1:30" x14ac:dyDescent="0.25">
      <c r="A91" s="94">
        <v>2037</v>
      </c>
      <c r="B91" s="139">
        <f>Paris_Inflow!B92-Paris_Outflow!B92+B90</f>
        <v>1822045.0626704767</v>
      </c>
      <c r="C91" s="139">
        <f>Paris_Inflow!C92-Paris_Outflow!C92+C90</f>
        <v>49789.617390119041</v>
      </c>
      <c r="D91" s="136">
        <f>Paris_Inflow!D92-Paris_Outflow!D92+D90</f>
        <v>11800.05185333334</v>
      </c>
      <c r="E91" s="136">
        <f>Paris_Inflow!E92-Paris_Outflow!E92+E90</f>
        <v>36931.165536785724</v>
      </c>
      <c r="F91" s="136">
        <f>Paris_Inflow!F92-Paris_Outflow!F92+F90</f>
        <v>3150.1978411825467</v>
      </c>
      <c r="G91" s="136">
        <f>Paris_Inflow!G92-Paris_Outflow!G92+G90</f>
        <v>2056.0898825004888</v>
      </c>
      <c r="H91" s="115"/>
      <c r="I91" s="131">
        <f>C91*Hypotheses!$D$19/1000</f>
        <v>0.29873770434071423</v>
      </c>
      <c r="J91" s="131">
        <f>C91*Hypotheses!$D$20/1000</f>
        <v>0.59747540868142845</v>
      </c>
      <c r="K91" s="131">
        <f>C91*Hypotheses!$D$21/1000</f>
        <v>1.1949508173628569</v>
      </c>
      <c r="L91" s="115"/>
      <c r="M91" s="128">
        <f>C91*Hypotheses!$D$31*Hypotheses!H56</f>
        <v>2987.3770434071425</v>
      </c>
      <c r="N91" s="128">
        <f>C91*Hypotheses!$D$31*Hypotheses!I56</f>
        <v>11723.16750414767</v>
      </c>
      <c r="O91" s="128">
        <f>C91*Hypotheses!$D$31*Hypotheses!J56</f>
        <v>22642.905580073329</v>
      </c>
      <c r="P91" s="126">
        <f>C91*Hypotheses!$D$30*Hypotheses!H56</f>
        <v>746.84426085178563</v>
      </c>
      <c r="Q91" s="126">
        <f>C91*Hypotheses!$D$30*Hypotheses!I56</f>
        <v>2930.7918760369175</v>
      </c>
      <c r="R91" s="126">
        <f>C91*Hypotheses!$D$30*Hypotheses!J56</f>
        <v>5660.7263950183324</v>
      </c>
      <c r="S91" s="115"/>
      <c r="T91" s="131">
        <f t="shared" si="0"/>
        <v>3.5674039720885711</v>
      </c>
      <c r="U91" s="131">
        <f t="shared" si="1"/>
        <v>7.1348079441771421</v>
      </c>
      <c r="V91" s="131">
        <f t="shared" si="1"/>
        <v>14.269615888354284</v>
      </c>
      <c r="W91" s="115"/>
      <c r="X91" s="128">
        <f t="shared" si="2"/>
        <v>35674.039720885703</v>
      </c>
      <c r="Y91" s="128">
        <f t="shared" si="2"/>
        <v>71180.620284225675</v>
      </c>
      <c r="Z91" s="128">
        <f t="shared" si="2"/>
        <v>115563.84598840063</v>
      </c>
      <c r="AA91" s="126">
        <f t="shared" si="2"/>
        <v>8918.5099302214257</v>
      </c>
      <c r="AB91" s="126">
        <f t="shared" si="2"/>
        <v>17795.155071056419</v>
      </c>
      <c r="AC91" s="126">
        <f t="shared" si="2"/>
        <v>28890.961497100157</v>
      </c>
      <c r="AD91" s="115"/>
    </row>
    <row r="92" spans="1:30" x14ac:dyDescent="0.25">
      <c r="A92" s="94">
        <v>2038</v>
      </c>
      <c r="B92" s="139">
        <f>Paris_Inflow!B93-Paris_Outflow!B93+B91</f>
        <v>1796766.4626704766</v>
      </c>
      <c r="C92" s="139">
        <f>Paris_Inflow!C93-Paris_Outflow!C93+C91</f>
        <v>49678.506990119044</v>
      </c>
      <c r="D92" s="136">
        <f>Paris_Inflow!D93-Paris_Outflow!D93+D91</f>
        <v>11732.65985333334</v>
      </c>
      <c r="E92" s="136">
        <f>Paris_Inflow!E93-Paris_Outflow!E93+E91</f>
        <v>36887.447136785726</v>
      </c>
      <c r="F92" s="136">
        <f>Paris_Inflow!F93-Paris_Outflow!F93+F91</f>
        <v>3150.1978411825467</v>
      </c>
      <c r="G92" s="136">
        <f>Paris_Inflow!G93-Paris_Outflow!G93+G91</f>
        <v>2056.0898825004888</v>
      </c>
      <c r="H92" s="115"/>
      <c r="I92" s="131">
        <f>C92*Hypotheses!$D$19/1000</f>
        <v>0.29807104194071427</v>
      </c>
      <c r="J92" s="131">
        <f>C92*Hypotheses!$D$20/1000</f>
        <v>0.59614208388142853</v>
      </c>
      <c r="K92" s="131">
        <f>C92*Hypotheses!$D$21/1000</f>
        <v>1.1922841677628571</v>
      </c>
      <c r="L92" s="115"/>
      <c r="M92" s="128">
        <f>C92*Hypotheses!$D$31*Hypotheses!H57</f>
        <v>2980.7104194071426</v>
      </c>
      <c r="N92" s="128">
        <f>C92*Hypotheses!$D$31*Hypotheses!I57</f>
        <v>12728.521458734065</v>
      </c>
      <c r="O92" s="128">
        <f>C92*Hypotheses!$D$31*Hypotheses!J57</f>
        <v>24913.285257892716</v>
      </c>
      <c r="P92" s="126">
        <f>C92*Hypotheses!$D$30*Hypotheses!H57</f>
        <v>745.17760485178565</v>
      </c>
      <c r="Q92" s="126">
        <f>C92*Hypotheses!$D$30*Hypotheses!I57</f>
        <v>3182.1303646835163</v>
      </c>
      <c r="R92" s="126">
        <f>C92*Hypotheses!$D$30*Hypotheses!J57</f>
        <v>6228.321314473179</v>
      </c>
      <c r="S92" s="115"/>
      <c r="T92" s="131">
        <f t="shared" si="0"/>
        <v>3.8654750140292853</v>
      </c>
      <c r="U92" s="131">
        <f t="shared" si="0"/>
        <v>7.7309500280585706</v>
      </c>
      <c r="V92" s="131">
        <f t="shared" si="0"/>
        <v>15.461900056117141</v>
      </c>
      <c r="W92" s="115"/>
      <c r="X92" s="128">
        <f t="shared" ref="X92:AC124" si="3">M92+X91</f>
        <v>38654.750140292846</v>
      </c>
      <c r="Y92" s="128">
        <f t="shared" si="3"/>
        <v>83909.141742959735</v>
      </c>
      <c r="Z92" s="128">
        <f t="shared" si="3"/>
        <v>140477.13124629334</v>
      </c>
      <c r="AA92" s="126">
        <f t="shared" si="3"/>
        <v>9663.6875350732116</v>
      </c>
      <c r="AB92" s="126">
        <f t="shared" si="3"/>
        <v>20977.285435739934</v>
      </c>
      <c r="AC92" s="126">
        <f t="shared" si="3"/>
        <v>35119.282811573335</v>
      </c>
      <c r="AD92" s="115"/>
    </row>
    <row r="93" spans="1:30" x14ac:dyDescent="0.25">
      <c r="A93" s="94">
        <v>2039</v>
      </c>
      <c r="B93" s="139">
        <f>Paris_Inflow!B94-Paris_Outflow!B94+B92</f>
        <v>1774105.2626704767</v>
      </c>
      <c r="C93" s="139">
        <f>Paris_Inflow!C94-Paris_Outflow!C94+C92</f>
        <v>49509.09699011904</v>
      </c>
      <c r="D93" s="136">
        <f>Paris_Inflow!D94-Paris_Outflow!D94+D92</f>
        <v>11563.24985333334</v>
      </c>
      <c r="E93" s="136">
        <f>Paris_Inflow!E94-Paris_Outflow!E94+E92</f>
        <v>36887.447136785726</v>
      </c>
      <c r="F93" s="136">
        <f>Paris_Inflow!F94-Paris_Outflow!F94+F92</f>
        <v>3150.1978411825467</v>
      </c>
      <c r="G93" s="136">
        <f>Paris_Inflow!G94-Paris_Outflow!G94+G92</f>
        <v>2054.4755491671554</v>
      </c>
      <c r="H93" s="115"/>
      <c r="I93" s="131">
        <f>C93*Hypotheses!$D$19/1000</f>
        <v>0.29705458194071421</v>
      </c>
      <c r="J93" s="131">
        <f>C93*Hypotheses!$D$20/1000</f>
        <v>0.59410916388142843</v>
      </c>
      <c r="K93" s="131">
        <f>C93*Hypotheses!$D$21/1000</f>
        <v>1.1882183277628569</v>
      </c>
      <c r="L93" s="115"/>
      <c r="M93" s="128">
        <f>C93*Hypotheses!$D$31*Hypotheses!H58</f>
        <v>2970.5458194071425</v>
      </c>
      <c r="N93" s="128">
        <f>C93*Hypotheses!$D$31*Hypotheses!I58</f>
        <v>13436.338130340042</v>
      </c>
      <c r="O93" s="128">
        <f>C93*Hypotheses!$D$31*Hypotheses!J58</f>
        <v>26518.578519006169</v>
      </c>
      <c r="P93" s="126">
        <f>C93*Hypotheses!$D$30*Hypotheses!H58</f>
        <v>742.63645485178563</v>
      </c>
      <c r="Q93" s="126">
        <f>C93*Hypotheses!$D$30*Hypotheses!I58</f>
        <v>3359.0845325850105</v>
      </c>
      <c r="R93" s="126">
        <f>C93*Hypotheses!$D$30*Hypotheses!J58</f>
        <v>6629.6446297515422</v>
      </c>
      <c r="S93" s="115"/>
      <c r="T93" s="131">
        <f t="shared" si="0"/>
        <v>4.1625295959699997</v>
      </c>
      <c r="U93" s="131">
        <f t="shared" si="0"/>
        <v>8.3250591919399994</v>
      </c>
      <c r="V93" s="131">
        <f t="shared" si="0"/>
        <v>16.650118383879999</v>
      </c>
      <c r="W93" s="115"/>
      <c r="X93" s="128">
        <f t="shared" si="3"/>
        <v>41625.295959699986</v>
      </c>
      <c r="Y93" s="128">
        <f t="shared" si="3"/>
        <v>97345.479873299773</v>
      </c>
      <c r="Z93" s="128">
        <f t="shared" si="3"/>
        <v>166995.70976529951</v>
      </c>
      <c r="AA93" s="126">
        <f t="shared" si="3"/>
        <v>10406.323989924997</v>
      </c>
      <c r="AB93" s="126">
        <f t="shared" si="3"/>
        <v>24336.369968324943</v>
      </c>
      <c r="AC93" s="126">
        <f t="shared" si="3"/>
        <v>41748.927441324879</v>
      </c>
      <c r="AD93" s="115"/>
    </row>
    <row r="94" spans="1:30" x14ac:dyDescent="0.25">
      <c r="A94" s="94">
        <v>2040</v>
      </c>
      <c r="B94" s="139">
        <f>Paris_Inflow!B95-Paris_Outflow!B95+B93</f>
        <v>1769975.2626704767</v>
      </c>
      <c r="C94" s="139">
        <f>Paris_Inflow!C95-Paris_Outflow!C95+C93</f>
        <v>49607.09699011904</v>
      </c>
      <c r="D94" s="136">
        <f>Paris_Inflow!D95-Paris_Outflow!D95+D93</f>
        <v>11563.24985333334</v>
      </c>
      <c r="E94" s="136">
        <f>Paris_Inflow!E95-Paris_Outflow!E95+E93</f>
        <v>36985.447136785726</v>
      </c>
      <c r="F94" s="136">
        <f>Paris_Inflow!F95-Paris_Outflow!F95+F93</f>
        <v>3151.6978411825467</v>
      </c>
      <c r="G94" s="136">
        <f>Paris_Inflow!G95-Paris_Outflow!G95+G93</f>
        <v>2051.4095491671555</v>
      </c>
      <c r="H94" s="115"/>
      <c r="I94" s="131">
        <f>C94*Hypotheses!$D$19/1000</f>
        <v>0.29764258194071425</v>
      </c>
      <c r="J94" s="131">
        <f>C94*Hypotheses!$D$20/1000</f>
        <v>0.59528516388142849</v>
      </c>
      <c r="K94" s="131">
        <f>C94*Hypotheses!$D$21/1000</f>
        <v>1.190570327762857</v>
      </c>
      <c r="L94" s="115"/>
      <c r="M94" s="128">
        <f>C94*Hypotheses!$D$31*Hypotheses!H59</f>
        <v>2976.4258194071426</v>
      </c>
      <c r="N94" s="128">
        <f>C94*Hypotheses!$D$31*Hypotheses!I59</f>
        <v>13978.984114521854</v>
      </c>
      <c r="O94" s="128">
        <f>C94*Hypotheses!$D$31*Hypotheses!J59</f>
        <v>27732.181983415245</v>
      </c>
      <c r="P94" s="126">
        <f>C94*Hypotheses!$D$30*Hypotheses!H59</f>
        <v>744.10645485178566</v>
      </c>
      <c r="Q94" s="126">
        <f>C94*Hypotheses!$D$30*Hypotheses!I59</f>
        <v>3494.7460286304636</v>
      </c>
      <c r="R94" s="126">
        <f>C94*Hypotheses!$D$30*Hypotheses!J59</f>
        <v>6933.0454958538112</v>
      </c>
      <c r="S94" s="115"/>
      <c r="T94" s="131">
        <f t="shared" si="0"/>
        <v>4.4601721779107137</v>
      </c>
      <c r="U94" s="131">
        <f t="shared" si="0"/>
        <v>8.9203443558214275</v>
      </c>
      <c r="V94" s="131">
        <f t="shared" si="0"/>
        <v>17.840688711642855</v>
      </c>
      <c r="W94" s="115"/>
      <c r="X94" s="128">
        <f t="shared" si="3"/>
        <v>44601.721779107131</v>
      </c>
      <c r="Y94" s="128">
        <f t="shared" si="3"/>
        <v>111324.46398782163</v>
      </c>
      <c r="Z94" s="128">
        <f t="shared" si="3"/>
        <v>194727.89174871476</v>
      </c>
      <c r="AA94" s="126">
        <f t="shared" si="3"/>
        <v>11150.430444776783</v>
      </c>
      <c r="AB94" s="126">
        <f t="shared" si="3"/>
        <v>27831.115996955406</v>
      </c>
      <c r="AC94" s="126">
        <f t="shared" si="3"/>
        <v>48681.972937178689</v>
      </c>
      <c r="AD94" s="115"/>
    </row>
    <row r="95" spans="1:30" x14ac:dyDescent="0.25">
      <c r="A95" s="94">
        <v>2041</v>
      </c>
      <c r="B95" s="139">
        <f>Paris_Inflow!B96-Paris_Outflow!B96+B94</f>
        <v>1710524.6376704767</v>
      </c>
      <c r="C95" s="139">
        <f>Paris_Inflow!C96-Paris_Outflow!C96+C94</f>
        <v>49607.09699011904</v>
      </c>
      <c r="D95" s="136">
        <f>Paris_Inflow!D96-Paris_Outflow!D96+D94</f>
        <v>11563.24985333334</v>
      </c>
      <c r="E95" s="136">
        <f>Paris_Inflow!E96-Paris_Outflow!E96+E94</f>
        <v>36985.447136785726</v>
      </c>
      <c r="F95" s="136">
        <f>Paris_Inflow!F96-Paris_Outflow!F96+F94</f>
        <v>3151.6978411825467</v>
      </c>
      <c r="G95" s="136">
        <f>Paris_Inflow!G96-Paris_Outflow!G96+G94</f>
        <v>2051.4095491671555</v>
      </c>
      <c r="H95" s="115"/>
      <c r="I95" s="131">
        <f>C95*Hypotheses!$D$19/1000</f>
        <v>0.29764258194071425</v>
      </c>
      <c r="J95" s="131">
        <f>C95*Hypotheses!$D$20/1000</f>
        <v>0.59528516388142849</v>
      </c>
      <c r="K95" s="131">
        <f>C95*Hypotheses!$D$21/1000</f>
        <v>1.190570327762857</v>
      </c>
      <c r="L95" s="115"/>
      <c r="M95" s="128">
        <f>C95*Hypotheses!$D$31*Hypotheses!H60</f>
        <v>2976.4258194071426</v>
      </c>
      <c r="N95" s="128">
        <f>C95*Hypotheses!$D$31*Hypotheses!I60</f>
        <v>14317.490723301162</v>
      </c>
      <c r="O95" s="128">
        <f>C95*Hypotheses!$D$31*Hypotheses!J60</f>
        <v>28493.82185316868</v>
      </c>
      <c r="P95" s="126">
        <f>C95*Hypotheses!$D$30*Hypotheses!H60</f>
        <v>744.10645485178566</v>
      </c>
      <c r="Q95" s="126">
        <f>C95*Hypotheses!$D$30*Hypotheses!I60</f>
        <v>3579.3726808252904</v>
      </c>
      <c r="R95" s="126">
        <f>C95*Hypotheses!$D$30*Hypotheses!J60</f>
        <v>7123.45546329217</v>
      </c>
      <c r="S95" s="115"/>
      <c r="T95" s="131">
        <f t="shared" si="0"/>
        <v>4.7578147598514278</v>
      </c>
      <c r="U95" s="131">
        <f t="shared" si="0"/>
        <v>9.5156295197028555</v>
      </c>
      <c r="V95" s="131">
        <f t="shared" si="0"/>
        <v>19.031259039405711</v>
      </c>
      <c r="W95" s="115"/>
      <c r="X95" s="128">
        <f t="shared" si="3"/>
        <v>47578.147598514275</v>
      </c>
      <c r="Y95" s="128">
        <f t="shared" si="3"/>
        <v>125641.95471112279</v>
      </c>
      <c r="Z95" s="128">
        <f t="shared" si="3"/>
        <v>223221.71360188344</v>
      </c>
      <c r="AA95" s="126">
        <f t="shared" si="3"/>
        <v>11894.536899628569</v>
      </c>
      <c r="AB95" s="126">
        <f t="shared" si="3"/>
        <v>31410.488677780697</v>
      </c>
      <c r="AC95" s="126">
        <f t="shared" si="3"/>
        <v>55805.428400470861</v>
      </c>
      <c r="AD95" s="115"/>
    </row>
    <row r="96" spans="1:30" x14ac:dyDescent="0.25">
      <c r="A96" s="94">
        <v>2042</v>
      </c>
      <c r="B96" s="139">
        <f>Paris_Inflow!B97-Paris_Outflow!B97+B95</f>
        <v>1700109.9176704767</v>
      </c>
      <c r="C96" s="139">
        <f>Paris_Inflow!C97-Paris_Outflow!C97+C95</f>
        <v>49607.09699011904</v>
      </c>
      <c r="D96" s="136">
        <f>Paris_Inflow!D97-Paris_Outflow!D97+D95</f>
        <v>11563.24985333334</v>
      </c>
      <c r="E96" s="136">
        <f>Paris_Inflow!E97-Paris_Outflow!E97+E95</f>
        <v>36985.447136785726</v>
      </c>
      <c r="F96" s="136">
        <f>Paris_Inflow!F97-Paris_Outflow!F97+F95</f>
        <v>3151.6978411825467</v>
      </c>
      <c r="G96" s="136">
        <f>Paris_Inflow!G97-Paris_Outflow!G97+G95</f>
        <v>2051.4095491671555</v>
      </c>
      <c r="H96" s="115"/>
      <c r="I96" s="131">
        <f>C96*Hypotheses!$D$19/1000</f>
        <v>0.29764258194071425</v>
      </c>
      <c r="J96" s="131">
        <f>C96*Hypotheses!$D$20/1000</f>
        <v>0.59528516388142849</v>
      </c>
      <c r="K96" s="131">
        <f>C96*Hypotheses!$D$21/1000</f>
        <v>1.190570327762857</v>
      </c>
      <c r="L96" s="115"/>
      <c r="M96" s="128">
        <f>C96*Hypotheses!$D$31*Hypotheses!H61</f>
        <v>2976.4258194071426</v>
      </c>
      <c r="N96" s="128">
        <f>C96*Hypotheses!$D$31*Hypotheses!I61</f>
        <v>14533.146375304683</v>
      </c>
      <c r="O96" s="128">
        <f>C96*Hypotheses!$D$31*Hypotheses!J61</f>
        <v>28979.047070176606</v>
      </c>
      <c r="P96" s="126">
        <f>C96*Hypotheses!$D$30*Hypotheses!H61</f>
        <v>744.10645485178566</v>
      </c>
      <c r="Q96" s="126">
        <f>C96*Hypotheses!$D$30*Hypotheses!I61</f>
        <v>3633.2865938261707</v>
      </c>
      <c r="R96" s="126">
        <f>C96*Hypotheses!$D$30*Hypotheses!J61</f>
        <v>7244.7617675441516</v>
      </c>
      <c r="S96" s="115"/>
      <c r="T96" s="131">
        <f t="shared" si="0"/>
        <v>5.0554573417921418</v>
      </c>
      <c r="U96" s="131">
        <f t="shared" si="0"/>
        <v>10.110914683584284</v>
      </c>
      <c r="V96" s="131">
        <f t="shared" si="0"/>
        <v>20.221829367168567</v>
      </c>
      <c r="W96" s="115"/>
      <c r="X96" s="128">
        <f t="shared" si="3"/>
        <v>50554.57341792142</v>
      </c>
      <c r="Y96" s="128">
        <f t="shared" si="3"/>
        <v>140175.10108642746</v>
      </c>
      <c r="Z96" s="128">
        <f t="shared" si="3"/>
        <v>252200.76067206005</v>
      </c>
      <c r="AA96" s="126">
        <f t="shared" si="3"/>
        <v>12638.643354480355</v>
      </c>
      <c r="AB96" s="126">
        <f t="shared" si="3"/>
        <v>35043.775271606864</v>
      </c>
      <c r="AC96" s="126">
        <f t="shared" si="3"/>
        <v>63050.190168015011</v>
      </c>
      <c r="AD96" s="115"/>
    </row>
    <row r="97" spans="1:30" x14ac:dyDescent="0.25">
      <c r="A97" s="94">
        <v>2043</v>
      </c>
      <c r="B97" s="139">
        <f>Paris_Inflow!B98-Paris_Outflow!B98+B96</f>
        <v>1688488.2776704768</v>
      </c>
      <c r="C97" s="139">
        <f>Paris_Inflow!C98-Paris_Outflow!C98+C96</f>
        <v>49702.048990119038</v>
      </c>
      <c r="D97" s="136">
        <f>Paris_Inflow!D98-Paris_Outflow!D98+D96</f>
        <v>11603.977853333339</v>
      </c>
      <c r="E97" s="136">
        <f>Paris_Inflow!E98-Paris_Outflow!E98+E96</f>
        <v>37039.671136785728</v>
      </c>
      <c r="F97" s="136">
        <f>Paris_Inflow!F98-Paris_Outflow!F98+F96</f>
        <v>3175.5128411825467</v>
      </c>
      <c r="G97" s="136">
        <f>Paris_Inflow!G98-Paris_Outflow!G98+G96</f>
        <v>2054.2048158338221</v>
      </c>
      <c r="H97" s="115"/>
      <c r="I97" s="131">
        <f>C97*Hypotheses!$D$19/1000</f>
        <v>0.29821229394071425</v>
      </c>
      <c r="J97" s="131">
        <f>C97*Hypotheses!$D$20/1000</f>
        <v>0.59642458788142849</v>
      </c>
      <c r="K97" s="131">
        <f>C97*Hypotheses!$D$21/1000</f>
        <v>1.192849175762857</v>
      </c>
      <c r="L97" s="115"/>
      <c r="M97" s="128">
        <f>C97*Hypotheses!$D$31*Hypotheses!H62</f>
        <v>2982.1229394071424</v>
      </c>
      <c r="N97" s="128">
        <f>C97*Hypotheses!$D$31*Hypotheses!I62</f>
        <v>14696.066339751927</v>
      </c>
      <c r="O97" s="128">
        <f>C97*Hypotheses!$D$31*Hypotheses!J62</f>
        <v>29338.495590182905</v>
      </c>
      <c r="P97" s="126">
        <f>C97*Hypotheses!$D$30*Hypotheses!H62</f>
        <v>745.53073485178561</v>
      </c>
      <c r="Q97" s="126">
        <f>C97*Hypotheses!$D$30*Hypotheses!I62</f>
        <v>3674.0165849379819</v>
      </c>
      <c r="R97" s="126">
        <f>C97*Hypotheses!$D$30*Hypotheses!J62</f>
        <v>7334.6238975457263</v>
      </c>
      <c r="S97" s="115"/>
      <c r="T97" s="131">
        <f t="shared" si="0"/>
        <v>5.3536696357328557</v>
      </c>
      <c r="U97" s="131">
        <f t="shared" si="0"/>
        <v>10.707339271465711</v>
      </c>
      <c r="V97" s="131">
        <f t="shared" si="0"/>
        <v>21.414678542931423</v>
      </c>
      <c r="W97" s="115"/>
      <c r="X97" s="128">
        <f t="shared" si="3"/>
        <v>53536.696357328561</v>
      </c>
      <c r="Y97" s="128">
        <f t="shared" si="3"/>
        <v>154871.1674261794</v>
      </c>
      <c r="Z97" s="128">
        <f t="shared" si="3"/>
        <v>281539.25626224297</v>
      </c>
      <c r="AA97" s="126">
        <f t="shared" si="3"/>
        <v>13384.17408933214</v>
      </c>
      <c r="AB97" s="126">
        <f t="shared" si="3"/>
        <v>38717.791856544849</v>
      </c>
      <c r="AC97" s="126">
        <f t="shared" si="3"/>
        <v>70384.814065560742</v>
      </c>
      <c r="AD97" s="115"/>
    </row>
    <row r="98" spans="1:30" x14ac:dyDescent="0.25">
      <c r="A98" s="94">
        <v>2044</v>
      </c>
      <c r="B98" s="139">
        <f>Paris_Inflow!B99-Paris_Outflow!B99+B97</f>
        <v>1673492.2776704768</v>
      </c>
      <c r="C98" s="139">
        <f>Paris_Inflow!C99-Paris_Outflow!C99+C97</f>
        <v>49959.66899011904</v>
      </c>
      <c r="D98" s="136">
        <f>Paris_Inflow!D99-Paris_Outflow!D99+D97</f>
        <v>11772.90785333334</v>
      </c>
      <c r="E98" s="136">
        <f>Paris_Inflow!E99-Paris_Outflow!E99+E97</f>
        <v>37128.36113678573</v>
      </c>
      <c r="F98" s="136">
        <f>Paris_Inflow!F99-Paris_Outflow!F99+F97</f>
        <v>3200.9741745158799</v>
      </c>
      <c r="G98" s="136">
        <f>Paris_Inflow!G99-Paris_Outflow!G99+G97</f>
        <v>2058.9088158338222</v>
      </c>
      <c r="H98" s="115"/>
      <c r="I98" s="131">
        <f>C98*Hypotheses!$D$19/1000</f>
        <v>0.29975801394071427</v>
      </c>
      <c r="J98" s="131">
        <f>C98*Hypotheses!$D$20/1000</f>
        <v>0.59951602788142855</v>
      </c>
      <c r="K98" s="131">
        <f>C98*Hypotheses!$D$21/1000</f>
        <v>1.1990320557628571</v>
      </c>
      <c r="L98" s="115"/>
      <c r="M98" s="128">
        <f>C98*Hypotheses!$D$31*Hypotheses!H63</f>
        <v>2997.5801394071423</v>
      </c>
      <c r="N98" s="128">
        <f>C98*Hypotheses!$D$31*Hypotheses!I63</f>
        <v>14856.163732946625</v>
      </c>
      <c r="O98" s="128">
        <f>C98*Hypotheses!$D$31*Hypotheses!J63</f>
        <v>29679.393224870975</v>
      </c>
      <c r="P98" s="126">
        <f>C98*Hypotheses!$D$30*Hypotheses!H63</f>
        <v>749.39503485178557</v>
      </c>
      <c r="Q98" s="126">
        <f>C98*Hypotheses!$D$30*Hypotheses!I63</f>
        <v>3714.0409332366562</v>
      </c>
      <c r="R98" s="126">
        <f>C98*Hypotheses!$D$30*Hypotheses!J63</f>
        <v>7419.8483062177438</v>
      </c>
      <c r="S98" s="115"/>
      <c r="T98" s="131">
        <f t="shared" si="0"/>
        <v>5.6534276496735698</v>
      </c>
      <c r="U98" s="131">
        <f t="shared" si="0"/>
        <v>11.30685529934714</v>
      </c>
      <c r="V98" s="131">
        <f t="shared" si="0"/>
        <v>22.613710598694279</v>
      </c>
      <c r="W98" s="115"/>
      <c r="X98" s="128">
        <f t="shared" si="3"/>
        <v>56534.276496735707</v>
      </c>
      <c r="Y98" s="128">
        <f t="shared" si="3"/>
        <v>169727.33115912601</v>
      </c>
      <c r="Z98" s="128">
        <f t="shared" si="3"/>
        <v>311218.64948711393</v>
      </c>
      <c r="AA98" s="126">
        <f t="shared" si="3"/>
        <v>14133.569124183927</v>
      </c>
      <c r="AB98" s="126">
        <f t="shared" si="3"/>
        <v>42431.832789781503</v>
      </c>
      <c r="AC98" s="126">
        <f t="shared" si="3"/>
        <v>77804.662371778482</v>
      </c>
      <c r="AD98" s="115"/>
    </row>
    <row r="99" spans="1:30" x14ac:dyDescent="0.25">
      <c r="A99" s="94">
        <v>2045</v>
      </c>
      <c r="B99" s="139">
        <f>Paris_Inflow!B100-Paris_Outflow!B100+B98</f>
        <v>1655492.2776704768</v>
      </c>
      <c r="C99" s="139">
        <f>Paris_Inflow!C100-Paris_Outflow!C100+C98</f>
        <v>50100.188690119037</v>
      </c>
      <c r="D99" s="136">
        <f>Paris_Inflow!D100-Paris_Outflow!D100+D98</f>
        <v>11632.388153333339</v>
      </c>
      <c r="E99" s="136">
        <f>Paris_Inflow!E100-Paris_Outflow!E100+E98</f>
        <v>37409.400536785732</v>
      </c>
      <c r="F99" s="136">
        <f>Paris_Inflow!F100-Paris_Outflow!F100+F98</f>
        <v>3200.9741745158799</v>
      </c>
      <c r="G99" s="136">
        <f>Paris_Inflow!G100-Paris_Outflow!G100+G98</f>
        <v>2078.1590958338224</v>
      </c>
      <c r="H99" s="115"/>
      <c r="I99" s="131">
        <f>C99*Hypotheses!$D$19/1000</f>
        <v>0.30060113214071427</v>
      </c>
      <c r="J99" s="131">
        <f>C99*Hypotheses!$D$20/1000</f>
        <v>0.60120226428142853</v>
      </c>
      <c r="K99" s="131">
        <f>C99*Hypotheses!$D$21/1000</f>
        <v>1.2024045285628571</v>
      </c>
      <c r="L99" s="115"/>
      <c r="M99" s="128">
        <f>C99*Hypotheses!$D$31*Hypotheses!H64</f>
        <v>3006.0113214071425</v>
      </c>
      <c r="N99" s="128">
        <f>C99*Hypotheses!$D$31*Hypotheses!I64</f>
        <v>14949.581464432151</v>
      </c>
      <c r="O99" s="128">
        <f>C99*Hypotheses!$D$31*Hypotheses!J64</f>
        <v>29879.04414321341</v>
      </c>
      <c r="P99" s="126">
        <f>C99*Hypotheses!$D$30*Hypotheses!H64</f>
        <v>751.50283035178563</v>
      </c>
      <c r="Q99" s="126">
        <f>C99*Hypotheses!$D$30*Hypotheses!I64</f>
        <v>3737.3953661080377</v>
      </c>
      <c r="R99" s="126">
        <f>C99*Hypotheses!$D$30*Hypotheses!J64</f>
        <v>7469.7610358033526</v>
      </c>
      <c r="S99" s="115"/>
      <c r="T99" s="131">
        <f t="shared" si="0"/>
        <v>5.9540287818142836</v>
      </c>
      <c r="U99" s="131">
        <f t="shared" si="0"/>
        <v>11.908057563628567</v>
      </c>
      <c r="V99" s="131">
        <f t="shared" si="0"/>
        <v>23.816115127257135</v>
      </c>
      <c r="W99" s="115"/>
      <c r="X99" s="128">
        <f t="shared" si="3"/>
        <v>59540.287818142853</v>
      </c>
      <c r="Y99" s="128">
        <f t="shared" si="3"/>
        <v>184676.91262355816</v>
      </c>
      <c r="Z99" s="128">
        <f t="shared" si="3"/>
        <v>341097.69363032735</v>
      </c>
      <c r="AA99" s="126">
        <f t="shared" si="3"/>
        <v>14885.071954535713</v>
      </c>
      <c r="AB99" s="126">
        <f t="shared" si="3"/>
        <v>46169.228155889541</v>
      </c>
      <c r="AC99" s="126">
        <f t="shared" si="3"/>
        <v>85274.423407581839</v>
      </c>
      <c r="AD99" s="115"/>
    </row>
    <row r="100" spans="1:30" x14ac:dyDescent="0.25">
      <c r="A100" s="94">
        <v>2046</v>
      </c>
      <c r="B100" s="139">
        <f>Paris_Inflow!B101-Paris_Outflow!B101+B99</f>
        <v>1640086.8876704769</v>
      </c>
      <c r="C100" s="139">
        <f>Paris_Inflow!C101-Paris_Outflow!C101+C99</f>
        <v>50013.280820119035</v>
      </c>
      <c r="D100" s="136">
        <f>Paris_Inflow!D101-Paris_Outflow!D101+D99</f>
        <v>11545.480283333338</v>
      </c>
      <c r="E100" s="136">
        <f>Paris_Inflow!E101-Paris_Outflow!E101+E99</f>
        <v>37409.400536785732</v>
      </c>
      <c r="F100" s="136">
        <f>Paris_Inflow!F101-Paris_Outflow!F101+F99</f>
        <v>3200.9741745158799</v>
      </c>
      <c r="G100" s="136">
        <f>Paris_Inflow!G101-Paris_Outflow!G101+G99</f>
        <v>2082.1340958338224</v>
      </c>
      <c r="H100" s="115"/>
      <c r="I100" s="131">
        <f>C100*Hypotheses!$D$19/1000</f>
        <v>0.30007968492071424</v>
      </c>
      <c r="J100" s="131">
        <f>C100*Hypotheses!$D$20/1000</f>
        <v>0.60015936984142848</v>
      </c>
      <c r="K100" s="131">
        <f>C100*Hypotheses!$D$21/1000</f>
        <v>1.200318739682857</v>
      </c>
      <c r="L100" s="115"/>
      <c r="M100" s="128">
        <f>C100*Hypotheses!$D$31*Hypotheses!H65</f>
        <v>3000.7968492071423</v>
      </c>
      <c r="N100" s="128">
        <f>C100*Hypotheses!$D$31*Hypotheses!I65</f>
        <v>14955.12962030091</v>
      </c>
      <c r="O100" s="128">
        <f>C100*Hypotheses!$D$31*Hypotheses!J65</f>
        <v>29898.045584168121</v>
      </c>
      <c r="P100" s="126">
        <f>C100*Hypotheses!$D$30*Hypotheses!H65</f>
        <v>750.19921230178556</v>
      </c>
      <c r="Q100" s="126">
        <f>C100*Hypotheses!$D$30*Hypotheses!I65</f>
        <v>3738.7824050752274</v>
      </c>
      <c r="R100" s="126">
        <f>C100*Hypotheses!$D$30*Hypotheses!J65</f>
        <v>7474.5113960420304</v>
      </c>
      <c r="S100" s="115"/>
      <c r="T100" s="131">
        <f t="shared" si="0"/>
        <v>6.2541084667349978</v>
      </c>
      <c r="U100" s="131">
        <f t="shared" si="0"/>
        <v>12.508216933469996</v>
      </c>
      <c r="V100" s="131">
        <f t="shared" si="0"/>
        <v>25.016433866939991</v>
      </c>
      <c r="W100" s="115"/>
      <c r="X100" s="128">
        <f t="shared" si="3"/>
        <v>62541.084667349998</v>
      </c>
      <c r="Y100" s="128">
        <f t="shared" si="3"/>
        <v>199632.04224385906</v>
      </c>
      <c r="Z100" s="128">
        <f t="shared" si="3"/>
        <v>370995.73921449546</v>
      </c>
      <c r="AA100" s="126">
        <f t="shared" si="3"/>
        <v>15635.2711668375</v>
      </c>
      <c r="AB100" s="126">
        <f t="shared" si="3"/>
        <v>49908.010560964765</v>
      </c>
      <c r="AC100" s="126">
        <f t="shared" si="3"/>
        <v>92748.934803623866</v>
      </c>
      <c r="AD100" s="115"/>
    </row>
    <row r="101" spans="1:30" x14ac:dyDescent="0.25">
      <c r="A101" s="94">
        <v>2047</v>
      </c>
      <c r="B101" s="139">
        <f>Paris_Inflow!B102-Paris_Outflow!B102+B100</f>
        <v>1628374.487670477</v>
      </c>
      <c r="C101" s="139">
        <f>Paris_Inflow!C102-Paris_Outflow!C102+C100</f>
        <v>50059.595320119035</v>
      </c>
      <c r="D101" s="136">
        <f>Paris_Inflow!D102-Paris_Outflow!D102+D100</f>
        <v>11595.422783333337</v>
      </c>
      <c r="E101" s="136">
        <f>Paris_Inflow!E102-Paris_Outflow!E102+E100</f>
        <v>37405.772536785735</v>
      </c>
      <c r="F101" s="136">
        <f>Paris_Inflow!F102-Paris_Outflow!F102+F100</f>
        <v>3207.1446873363925</v>
      </c>
      <c r="G101" s="136">
        <f>Paris_Inflow!G102-Paris_Outflow!G102+G100</f>
        <v>2086.8807625004893</v>
      </c>
      <c r="H101" s="115"/>
      <c r="I101" s="131">
        <f>C101*Hypotheses!$D$19/1000</f>
        <v>0.30035757192071422</v>
      </c>
      <c r="J101" s="131">
        <f>C101*Hypotheses!$D$20/1000</f>
        <v>0.60071514384142843</v>
      </c>
      <c r="K101" s="131">
        <f>C101*Hypotheses!$D$21/1000</f>
        <v>1.2014302876828569</v>
      </c>
      <c r="L101" s="115"/>
      <c r="M101" s="128">
        <f>C101*Hypotheses!$D$31*Hypotheses!H66</f>
        <v>3003.5757192071419</v>
      </c>
      <c r="N101" s="128">
        <f>C101*Hypotheses!$D$31*Hypotheses!I66</f>
        <v>14988.17175253164</v>
      </c>
      <c r="O101" s="128">
        <f>C101*Hypotheses!$D$31*Hypotheses!J66</f>
        <v>29968.916794187262</v>
      </c>
      <c r="P101" s="126">
        <f>C101*Hypotheses!$D$30*Hypotheses!H66</f>
        <v>750.89392980178548</v>
      </c>
      <c r="Q101" s="126">
        <f>C101*Hypotheses!$D$30*Hypotheses!I66</f>
        <v>3747.04293813291</v>
      </c>
      <c r="R101" s="126">
        <f>C101*Hypotheses!$D$30*Hypotheses!J66</f>
        <v>7492.2291985468155</v>
      </c>
      <c r="S101" s="115"/>
      <c r="T101" s="131">
        <f t="shared" si="0"/>
        <v>6.5544660386557121</v>
      </c>
      <c r="U101" s="131">
        <f t="shared" si="0"/>
        <v>13.108932077311424</v>
      </c>
      <c r="V101" s="131">
        <f t="shared" si="0"/>
        <v>26.217864154622848</v>
      </c>
      <c r="W101" s="115"/>
      <c r="X101" s="128">
        <f t="shared" si="3"/>
        <v>65544.660386557138</v>
      </c>
      <c r="Y101" s="128">
        <f t="shared" si="3"/>
        <v>214620.2139963907</v>
      </c>
      <c r="Z101" s="128">
        <f t="shared" si="3"/>
        <v>400964.65600868274</v>
      </c>
      <c r="AA101" s="126">
        <f t="shared" si="3"/>
        <v>16386.165096639284</v>
      </c>
      <c r="AB101" s="126">
        <f t="shared" si="3"/>
        <v>53655.053499097674</v>
      </c>
      <c r="AC101" s="126">
        <f t="shared" si="3"/>
        <v>100241.16400217068</v>
      </c>
      <c r="AD101" s="115"/>
    </row>
    <row r="102" spans="1:30" x14ac:dyDescent="0.25">
      <c r="A102" s="94">
        <v>2048</v>
      </c>
      <c r="B102" s="139">
        <f>Paris_Inflow!B103-Paris_Outflow!B103+B101</f>
        <v>1576297.487670477</v>
      </c>
      <c r="C102" s="139">
        <f>Paris_Inflow!C103-Paris_Outflow!C103+C101</f>
        <v>49843.595320119035</v>
      </c>
      <c r="D102" s="136">
        <f>Paris_Inflow!D103-Paris_Outflow!D103+D101</f>
        <v>11379.422783333337</v>
      </c>
      <c r="E102" s="136">
        <f>Paris_Inflow!E103-Paris_Outflow!E103+E101</f>
        <v>37405.772536785735</v>
      </c>
      <c r="F102" s="136">
        <f>Paris_Inflow!F103-Paris_Outflow!F103+F101</f>
        <v>3207.1446873363925</v>
      </c>
      <c r="G102" s="136">
        <f>Paris_Inflow!G103-Paris_Outflow!G103+G101</f>
        <v>2086.8807625004893</v>
      </c>
      <c r="H102" s="115"/>
      <c r="I102" s="131">
        <f>C102*Hypotheses!$D$19/1000</f>
        <v>0.29906157192071425</v>
      </c>
      <c r="J102" s="131">
        <f>C102*Hypotheses!$D$20/1000</f>
        <v>0.59812314384142851</v>
      </c>
      <c r="K102" s="131">
        <f>C102*Hypotheses!$D$21/1000</f>
        <v>1.196246287682857</v>
      </c>
      <c r="L102" s="115"/>
      <c r="M102" s="128">
        <f>C102*Hypotheses!$D$31*Hypotheses!H67</f>
        <v>2990.6157192071423</v>
      </c>
      <c r="N102" s="128">
        <f>C102*Hypotheses!$D$31*Hypotheses!I67</f>
        <v>14935.120759018138</v>
      </c>
      <c r="O102" s="128">
        <f>C102*Hypotheses!$D$31*Hypotheses!J67</f>
        <v>29865.752058781887</v>
      </c>
      <c r="P102" s="126">
        <f>C102*Hypotheses!$D$30*Hypotheses!H67</f>
        <v>747.65392980178558</v>
      </c>
      <c r="Q102" s="126">
        <f>C102*Hypotheses!$D$30*Hypotheses!I67</f>
        <v>3733.7801897545346</v>
      </c>
      <c r="R102" s="126">
        <f>C102*Hypotheses!$D$30*Hypotheses!J67</f>
        <v>7466.4380146954718</v>
      </c>
      <c r="S102" s="115"/>
      <c r="T102" s="131">
        <f t="shared" si="0"/>
        <v>6.8535276105764265</v>
      </c>
      <c r="U102" s="131">
        <f t="shared" si="0"/>
        <v>13.707055221152853</v>
      </c>
      <c r="V102" s="131">
        <f t="shared" si="0"/>
        <v>27.414110442305706</v>
      </c>
      <c r="W102" s="115"/>
      <c r="X102" s="128">
        <f t="shared" si="3"/>
        <v>68535.276105764278</v>
      </c>
      <c r="Y102" s="128">
        <f t="shared" si="3"/>
        <v>229555.33475540884</v>
      </c>
      <c r="Z102" s="128">
        <f t="shared" si="3"/>
        <v>430830.4080674646</v>
      </c>
      <c r="AA102" s="126">
        <f t="shared" si="3"/>
        <v>17133.81902644107</v>
      </c>
      <c r="AB102" s="126">
        <f t="shared" si="3"/>
        <v>57388.83368885221</v>
      </c>
      <c r="AC102" s="126">
        <f t="shared" si="3"/>
        <v>107707.60201686615</v>
      </c>
      <c r="AD102" s="115"/>
    </row>
    <row r="103" spans="1:30" x14ac:dyDescent="0.25">
      <c r="A103" s="94">
        <v>2049</v>
      </c>
      <c r="B103" s="139">
        <f>Paris_Inflow!B104-Paris_Outflow!B104+B102</f>
        <v>1571365.487670477</v>
      </c>
      <c r="C103" s="139">
        <f>Paris_Inflow!C104-Paris_Outflow!C104+C102</f>
        <v>49843.595320119035</v>
      </c>
      <c r="D103" s="136">
        <f>Paris_Inflow!D104-Paris_Outflow!D104+D102</f>
        <v>11379.422783333337</v>
      </c>
      <c r="E103" s="136">
        <f>Paris_Inflow!E104-Paris_Outflow!E104+E102</f>
        <v>37405.772536785735</v>
      </c>
      <c r="F103" s="136">
        <f>Paris_Inflow!F104-Paris_Outflow!F104+F102</f>
        <v>3207.1446873363925</v>
      </c>
      <c r="G103" s="136">
        <f>Paris_Inflow!G104-Paris_Outflow!G104+G102</f>
        <v>2086.8807625004893</v>
      </c>
      <c r="H103" s="115"/>
      <c r="I103" s="131">
        <f>C103*Hypotheses!$D$19/1000</f>
        <v>0.29906157192071425</v>
      </c>
      <c r="J103" s="131">
        <f>C103*Hypotheses!$D$20/1000</f>
        <v>0.59812314384142851</v>
      </c>
      <c r="K103" s="131">
        <f>C103*Hypotheses!$D$21/1000</f>
        <v>1.196246287682857</v>
      </c>
      <c r="L103" s="115"/>
      <c r="M103" s="128">
        <f>C103*Hypotheses!$D$31*Hypotheses!H68</f>
        <v>2990.6157192071423</v>
      </c>
      <c r="N103" s="128">
        <f>C103*Hypotheses!$D$31*Hypotheses!I68</f>
        <v>14942.180179943804</v>
      </c>
      <c r="O103" s="128">
        <f>C103*Hypotheses!$D$31*Hypotheses!J68</f>
        <v>29881.63575586463</v>
      </c>
      <c r="P103" s="126">
        <f>C103*Hypotheses!$D$30*Hypotheses!H68</f>
        <v>747.65392980178558</v>
      </c>
      <c r="Q103" s="126">
        <f>C103*Hypotheses!$D$30*Hypotheses!I68</f>
        <v>3735.5450449859509</v>
      </c>
      <c r="R103" s="126">
        <f>C103*Hypotheses!$D$30*Hypotheses!J68</f>
        <v>7470.4089389661576</v>
      </c>
      <c r="S103" s="115"/>
      <c r="T103" s="131">
        <f t="shared" si="0"/>
        <v>7.1525891824971408</v>
      </c>
      <c r="U103" s="131">
        <f t="shared" si="0"/>
        <v>14.305178364994282</v>
      </c>
      <c r="V103" s="131">
        <f t="shared" si="0"/>
        <v>28.610356729988563</v>
      </c>
      <c r="W103" s="115"/>
      <c r="X103" s="128">
        <f t="shared" si="3"/>
        <v>71525.891824971419</v>
      </c>
      <c r="Y103" s="128">
        <f t="shared" si="3"/>
        <v>244497.51493535264</v>
      </c>
      <c r="Z103" s="128">
        <f t="shared" si="3"/>
        <v>460712.04382332921</v>
      </c>
      <c r="AA103" s="126">
        <f t="shared" si="3"/>
        <v>17881.472956242855</v>
      </c>
      <c r="AB103" s="126">
        <f t="shared" si="3"/>
        <v>61124.378733838159</v>
      </c>
      <c r="AC103" s="126">
        <f t="shared" si="3"/>
        <v>115178.0109558323</v>
      </c>
      <c r="AD103" s="115"/>
    </row>
    <row r="104" spans="1:30" x14ac:dyDescent="0.25">
      <c r="A104" s="94">
        <v>2050</v>
      </c>
      <c r="B104" s="139">
        <f>Paris_Inflow!B105-Paris_Outflow!B105+B103</f>
        <v>1543771.1376704769</v>
      </c>
      <c r="C104" s="139">
        <f>Paris_Inflow!C105-Paris_Outflow!C105+C103</f>
        <v>49713.979120119038</v>
      </c>
      <c r="D104" s="136">
        <f>Paris_Inflow!D105-Paris_Outflow!D105+D103</f>
        <v>11249.806583333337</v>
      </c>
      <c r="E104" s="136">
        <f>Paris_Inflow!E105-Paris_Outflow!E105+E103</f>
        <v>37405.772536785735</v>
      </c>
      <c r="F104" s="136">
        <f>Paris_Inflow!F105-Paris_Outflow!F105+F103</f>
        <v>3207.1446873363925</v>
      </c>
      <c r="G104" s="136">
        <f>Paris_Inflow!G105-Paris_Outflow!G105+G103</f>
        <v>2086.8807625004893</v>
      </c>
      <c r="H104" s="115"/>
      <c r="I104" s="131">
        <f>C104*Hypotheses!$D$19/1000</f>
        <v>0.29828387472071421</v>
      </c>
      <c r="J104" s="131">
        <f>C104*Hypotheses!$D$20/1000</f>
        <v>0.59656774944142843</v>
      </c>
      <c r="K104" s="131">
        <f>C104*Hypotheses!$D$21/1000</f>
        <v>1.1931354988828569</v>
      </c>
      <c r="L104" s="115"/>
      <c r="M104" s="128">
        <f>C104*Hypotheses!$D$31*Hypotheses!H69</f>
        <v>2982.8387472071427</v>
      </c>
      <c r="N104" s="128">
        <f>C104*Hypotheses!$D$31*Hypotheses!I69</f>
        <v>14907.598337888336</v>
      </c>
      <c r="O104" s="128">
        <f>C104*Hypotheses!$D$31*Hypotheses!J69</f>
        <v>29813.547826239828</v>
      </c>
      <c r="P104" s="126">
        <f>C104*Hypotheses!$D$30*Hypotheses!H69</f>
        <v>745.70968680178567</v>
      </c>
      <c r="Q104" s="126">
        <f>C104*Hypotheses!$D$30*Hypotheses!I69</f>
        <v>3726.8995844720839</v>
      </c>
      <c r="R104" s="126">
        <f>C104*Hypotheses!$D$30*Hypotheses!J69</f>
        <v>7453.3869565599571</v>
      </c>
      <c r="S104" s="115"/>
      <c r="T104" s="131">
        <f t="shared" si="0"/>
        <v>7.450873057217855</v>
      </c>
      <c r="U104" s="131">
        <f t="shared" si="0"/>
        <v>14.90174611443571</v>
      </c>
      <c r="V104" s="131">
        <f t="shared" si="0"/>
        <v>29.80349222887142</v>
      </c>
      <c r="W104" s="115"/>
      <c r="X104" s="128">
        <f t="shared" si="3"/>
        <v>74508.730572178567</v>
      </c>
      <c r="Y104" s="128">
        <f t="shared" si="3"/>
        <v>259405.11327324098</v>
      </c>
      <c r="Z104" s="128">
        <f t="shared" si="3"/>
        <v>490525.59164956905</v>
      </c>
      <c r="AA104" s="126">
        <f t="shared" si="3"/>
        <v>18627.182643044642</v>
      </c>
      <c r="AB104" s="126">
        <f t="shared" si="3"/>
        <v>64851.278318310244</v>
      </c>
      <c r="AC104" s="126">
        <f t="shared" si="3"/>
        <v>122631.39791239226</v>
      </c>
      <c r="AD104" s="115"/>
    </row>
    <row r="105" spans="1:30" x14ac:dyDescent="0.25">
      <c r="A105" s="94">
        <v>2051</v>
      </c>
      <c r="B105" s="139">
        <f>Paris_Inflow!B106-Paris_Outflow!B106+B104</f>
        <v>1515071.1376704769</v>
      </c>
      <c r="C105" s="139">
        <f>Paris_Inflow!C106-Paris_Outflow!C106+C104</f>
        <v>49713.979120119038</v>
      </c>
      <c r="D105" s="136">
        <f>Paris_Inflow!D106-Paris_Outflow!D106+D104</f>
        <v>11249.806583333337</v>
      </c>
      <c r="E105" s="136">
        <f>Paris_Inflow!E106-Paris_Outflow!E106+E104</f>
        <v>37405.772536785735</v>
      </c>
      <c r="F105" s="136">
        <f>Paris_Inflow!F106-Paris_Outflow!F106+F104</f>
        <v>3207.1446873363925</v>
      </c>
      <c r="G105" s="136">
        <f>Paris_Inflow!G106-Paris_Outflow!G106+G104</f>
        <v>2086.8807625004893</v>
      </c>
      <c r="H105" s="115"/>
      <c r="I105" s="131">
        <f>C105*Hypotheses!$D$19/1000</f>
        <v>0.29828387472071421</v>
      </c>
      <c r="J105" s="131">
        <f>C105*Hypotheses!$D$20/1000</f>
        <v>0.59656774944142843</v>
      </c>
      <c r="K105" s="131">
        <f>C105*Hypotheses!$D$21/1000</f>
        <v>1.1931354988828569</v>
      </c>
      <c r="L105" s="115"/>
      <c r="M105" s="128">
        <f>C105*Hypotheses!$D$31*Hypotheses!H70</f>
        <v>2982.8387472071427</v>
      </c>
      <c r="N105" s="128">
        <f>C105*Hypotheses!$D$31*Hypotheses!I70</f>
        <v>14910.192554583569</v>
      </c>
      <c r="O105" s="128">
        <f>C105*Hypotheses!$D$31*Hypotheses!J70</f>
        <v>29819.384813804096</v>
      </c>
      <c r="P105" s="126">
        <f>C105*Hypotheses!$D$30*Hypotheses!H70</f>
        <v>745.70968680178567</v>
      </c>
      <c r="Q105" s="126">
        <f>C105*Hypotheses!$D$30*Hypotheses!I70</f>
        <v>3727.5481386458923</v>
      </c>
      <c r="R105" s="126">
        <f>C105*Hypotheses!$D$30*Hypotheses!J70</f>
        <v>7454.8462034510239</v>
      </c>
      <c r="S105" s="115"/>
      <c r="T105" s="131">
        <f t="shared" si="0"/>
        <v>7.7491569319385691</v>
      </c>
      <c r="U105" s="131">
        <f t="shared" si="0"/>
        <v>15.498313863877138</v>
      </c>
      <c r="V105" s="131">
        <f t="shared" si="0"/>
        <v>30.996627727754277</v>
      </c>
      <c r="W105" s="115"/>
      <c r="X105" s="128">
        <f t="shared" si="3"/>
        <v>77491.569319385715</v>
      </c>
      <c r="Y105" s="128">
        <f t="shared" si="3"/>
        <v>274315.30582782452</v>
      </c>
      <c r="Z105" s="128">
        <f t="shared" si="3"/>
        <v>520344.97646337317</v>
      </c>
      <c r="AA105" s="126">
        <f t="shared" si="3"/>
        <v>19372.892329846429</v>
      </c>
      <c r="AB105" s="126">
        <f t="shared" si="3"/>
        <v>68578.826456956129</v>
      </c>
      <c r="AC105" s="126">
        <f t="shared" si="3"/>
        <v>130086.24411584329</v>
      </c>
      <c r="AD105" s="115"/>
    </row>
    <row r="106" spans="1:30" x14ac:dyDescent="0.25">
      <c r="A106" s="94">
        <v>2052</v>
      </c>
      <c r="B106" s="139">
        <f>Paris_Inflow!B107-Paris_Outflow!B107+B105</f>
        <v>1503447.6376704769</v>
      </c>
      <c r="C106" s="139">
        <f>Paris_Inflow!C107-Paris_Outflow!C107+C105</f>
        <v>49713.979120119038</v>
      </c>
      <c r="D106" s="136">
        <f>Paris_Inflow!D107-Paris_Outflow!D107+D105</f>
        <v>11249.806583333337</v>
      </c>
      <c r="E106" s="136">
        <f>Paris_Inflow!E107-Paris_Outflow!E107+E105</f>
        <v>37405.772536785735</v>
      </c>
      <c r="F106" s="136">
        <f>Paris_Inflow!F107-Paris_Outflow!F107+F105</f>
        <v>3207.1446873363925</v>
      </c>
      <c r="G106" s="136">
        <f>Paris_Inflow!G107-Paris_Outflow!G107+G105</f>
        <v>2086.8807625004893</v>
      </c>
      <c r="H106" s="115"/>
      <c r="I106" s="131">
        <f>C106*Hypotheses!$D$19/1000</f>
        <v>0.29828387472071421</v>
      </c>
      <c r="J106" s="131">
        <f>C106*Hypotheses!$D$20/1000</f>
        <v>0.59656774944142843</v>
      </c>
      <c r="K106" s="131">
        <f>C106*Hypotheses!$D$21/1000</f>
        <v>1.1931354988828569</v>
      </c>
      <c r="L106" s="115"/>
      <c r="M106" s="128">
        <f>C106*Hypotheses!$D$31*Hypotheses!H71</f>
        <v>2982.8387472071427</v>
      </c>
      <c r="N106" s="128">
        <f>C106*Hypotheses!$D$31*Hypotheses!I71</f>
        <v>14911.766576546232</v>
      </c>
      <c r="O106" s="128">
        <f>C106*Hypotheses!$D$31*Hypotheses!J71</f>
        <v>29822.926363220089</v>
      </c>
      <c r="P106" s="126">
        <f>C106*Hypotheses!$D$30*Hypotheses!H71</f>
        <v>745.70968680178567</v>
      </c>
      <c r="Q106" s="126">
        <f>C106*Hypotheses!$D$30*Hypotheses!I71</f>
        <v>3727.9416441365579</v>
      </c>
      <c r="R106" s="126">
        <f>C106*Hypotheses!$D$30*Hypotheses!J71</f>
        <v>7455.7315908050223</v>
      </c>
      <c r="S106" s="115"/>
      <c r="T106" s="131">
        <f t="shared" si="0"/>
        <v>8.0474408066592833</v>
      </c>
      <c r="U106" s="131">
        <f t="shared" si="0"/>
        <v>16.094881613318567</v>
      </c>
      <c r="V106" s="131">
        <f t="shared" si="0"/>
        <v>32.189763226637133</v>
      </c>
      <c r="W106" s="115"/>
      <c r="X106" s="128">
        <f t="shared" si="3"/>
        <v>80474.408066592863</v>
      </c>
      <c r="Y106" s="128">
        <f t="shared" si="3"/>
        <v>289227.07240437076</v>
      </c>
      <c r="Z106" s="128">
        <f t="shared" si="3"/>
        <v>550167.90282659326</v>
      </c>
      <c r="AA106" s="126">
        <f t="shared" si="3"/>
        <v>20118.602016648216</v>
      </c>
      <c r="AB106" s="126">
        <f t="shared" si="3"/>
        <v>72306.76810109269</v>
      </c>
      <c r="AC106" s="126">
        <f t="shared" si="3"/>
        <v>137541.97570664831</v>
      </c>
      <c r="AD106" s="115"/>
    </row>
    <row r="107" spans="1:30" x14ac:dyDescent="0.25">
      <c r="A107" s="94">
        <v>2053</v>
      </c>
      <c r="B107" s="139">
        <f>Paris_Inflow!B108-Paris_Outflow!B108+B106</f>
        <v>1456607.6376704769</v>
      </c>
      <c r="C107" s="139">
        <f>Paris_Inflow!C108-Paris_Outflow!C108+C106</f>
        <v>49482.779120119041</v>
      </c>
      <c r="D107" s="136">
        <f>Paris_Inflow!D108-Paris_Outflow!D108+D106</f>
        <v>11018.606583333336</v>
      </c>
      <c r="E107" s="136">
        <f>Paris_Inflow!E108-Paris_Outflow!E108+E106</f>
        <v>38464.172536785736</v>
      </c>
      <c r="F107" s="136">
        <f>Paris_Inflow!F108-Paris_Outflow!F108+F106</f>
        <v>3207.1446873363925</v>
      </c>
      <c r="G107" s="136">
        <f>Paris_Inflow!G108-Paris_Outflow!G108+G106</f>
        <v>2086.8807625004893</v>
      </c>
      <c r="H107" s="115"/>
      <c r="I107" s="131">
        <f>C107*Hypotheses!$D$19/1000</f>
        <v>0.29689667472071424</v>
      </c>
      <c r="J107" s="131">
        <f>C107*Hypotheses!$D$20/1000</f>
        <v>0.59379334944142848</v>
      </c>
      <c r="K107" s="131">
        <f>C107*Hypotheses!$D$21/1000</f>
        <v>1.187586698882857</v>
      </c>
      <c r="L107" s="115"/>
      <c r="M107" s="128">
        <f>C107*Hypotheses!$D$31*Hypotheses!H72</f>
        <v>2968.9667472071424</v>
      </c>
      <c r="N107" s="128">
        <f>C107*Hypotheses!$D$31*Hypotheses!I72</f>
        <v>14843.368318464156</v>
      </c>
      <c r="O107" s="128">
        <f>C107*Hypotheses!$D$31*Hypotheses!J72</f>
        <v>29686.370282535419</v>
      </c>
      <c r="P107" s="126">
        <f>C107*Hypotheses!$D$30*Hypotheses!H72</f>
        <v>742.24168680178559</v>
      </c>
      <c r="Q107" s="126">
        <f>C107*Hypotheses!$D$30*Hypotheses!I72</f>
        <v>3710.842079616039</v>
      </c>
      <c r="R107" s="126">
        <f>C107*Hypotheses!$D$30*Hypotheses!J72</f>
        <v>7421.5925706338548</v>
      </c>
      <c r="S107" s="115"/>
      <c r="T107" s="131">
        <f t="shared" si="0"/>
        <v>8.3443374813799984</v>
      </c>
      <c r="U107" s="131">
        <f t="shared" si="0"/>
        <v>16.688674962759997</v>
      </c>
      <c r="V107" s="131">
        <f t="shared" si="0"/>
        <v>33.377349925519994</v>
      </c>
      <c r="W107" s="115"/>
      <c r="X107" s="128">
        <f t="shared" si="3"/>
        <v>83443.374813800008</v>
      </c>
      <c r="Y107" s="128">
        <f t="shared" si="3"/>
        <v>304070.4407228349</v>
      </c>
      <c r="Z107" s="128">
        <f t="shared" si="3"/>
        <v>579854.2731091287</v>
      </c>
      <c r="AA107" s="126">
        <f t="shared" si="3"/>
        <v>20860.843703450002</v>
      </c>
      <c r="AB107" s="126">
        <f t="shared" si="3"/>
        <v>76017.610180708725</v>
      </c>
      <c r="AC107" s="126">
        <f t="shared" si="3"/>
        <v>144963.56827728217</v>
      </c>
      <c r="AD107" s="115"/>
    </row>
    <row r="108" spans="1:30" x14ac:dyDescent="0.25">
      <c r="A108" s="94">
        <v>2054</v>
      </c>
      <c r="B108" s="139">
        <f>Paris_Inflow!B109-Paris_Outflow!B109+B107</f>
        <v>1424917.717670477</v>
      </c>
      <c r="C108" s="139">
        <f>Paris_Inflow!C109-Paris_Outflow!C109+C107</f>
        <v>49837.54672011904</v>
      </c>
      <c r="D108" s="136">
        <f>Paris_Inflow!D109-Paris_Outflow!D109+D107</f>
        <v>11070.947383333336</v>
      </c>
      <c r="E108" s="136">
        <f>Paris_Inflow!E109-Paris_Outflow!E109+E107</f>
        <v>38766.599336785737</v>
      </c>
      <c r="F108" s="136">
        <f>Paris_Inflow!F109-Paris_Outflow!F109+F107</f>
        <v>3230.8566873363925</v>
      </c>
      <c r="G108" s="136">
        <f>Paris_Inflow!G109-Paris_Outflow!G109+G107</f>
        <v>2096.9583625004893</v>
      </c>
      <c r="H108" s="115"/>
      <c r="I108" s="131">
        <f>C108*Hypotheses!$D$19/1000</f>
        <v>0.29902528032071429</v>
      </c>
      <c r="J108" s="131">
        <f>C108*Hypotheses!$D$20/1000</f>
        <v>0.59805056064142859</v>
      </c>
      <c r="K108" s="131">
        <f>C108*Hypotheses!$D$21/1000</f>
        <v>1.1961011212828572</v>
      </c>
      <c r="L108" s="115"/>
      <c r="M108" s="128">
        <f>C108*Hypotheses!$D$31*Hypotheses!H73</f>
        <v>2990.2528032071423</v>
      </c>
      <c r="N108" s="128">
        <f>C108*Hypotheses!$D$31*Hypotheses!I73</f>
        <v>14950.368779469221</v>
      </c>
      <c r="O108" s="128">
        <f>C108*Hypotheses!$D$31*Hypotheses!J73</f>
        <v>29900.513749796817</v>
      </c>
      <c r="P108" s="126">
        <f>C108*Hypotheses!$D$30*Hypotheses!H73</f>
        <v>747.56320080178557</v>
      </c>
      <c r="Q108" s="126">
        <f>C108*Hypotheses!$D$30*Hypotheses!I73</f>
        <v>3737.5921948673054</v>
      </c>
      <c r="R108" s="126">
        <f>C108*Hypotheses!$D$30*Hypotheses!J73</f>
        <v>7475.1284374492043</v>
      </c>
      <c r="S108" s="115"/>
      <c r="T108" s="131">
        <f t="shared" si="0"/>
        <v>8.6433627617007129</v>
      </c>
      <c r="U108" s="131">
        <f t="shared" si="0"/>
        <v>17.286725523401426</v>
      </c>
      <c r="V108" s="131">
        <f t="shared" si="0"/>
        <v>34.573451046802852</v>
      </c>
      <c r="W108" s="115"/>
      <c r="X108" s="128">
        <f t="shared" si="3"/>
        <v>86433.627617007151</v>
      </c>
      <c r="Y108" s="128">
        <f t="shared" si="3"/>
        <v>319020.80950230412</v>
      </c>
      <c r="Z108" s="128">
        <f t="shared" si="3"/>
        <v>609754.78685892548</v>
      </c>
      <c r="AA108" s="126">
        <f t="shared" si="3"/>
        <v>21608.406904251788</v>
      </c>
      <c r="AB108" s="126">
        <f t="shared" si="3"/>
        <v>79755.202375576031</v>
      </c>
      <c r="AC108" s="126">
        <f t="shared" si="3"/>
        <v>152438.69671473137</v>
      </c>
      <c r="AD108" s="115"/>
    </row>
    <row r="109" spans="1:30" x14ac:dyDescent="0.25">
      <c r="A109" s="94">
        <v>2055</v>
      </c>
      <c r="B109" s="139">
        <f>Paris_Inflow!B110-Paris_Outflow!B110+B108</f>
        <v>1409017.717670477</v>
      </c>
      <c r="C109" s="139">
        <f>Paris_Inflow!C110-Paris_Outflow!C110+C108</f>
        <v>49741.54672011904</v>
      </c>
      <c r="D109" s="136">
        <f>Paris_Inflow!D110-Paris_Outflow!D110+D108</f>
        <v>10974.947383333336</v>
      </c>
      <c r="E109" s="136">
        <f>Paris_Inflow!E110-Paris_Outflow!E110+E108</f>
        <v>38766.599336785737</v>
      </c>
      <c r="F109" s="136">
        <f>Paris_Inflow!F110-Paris_Outflow!F110+F108</f>
        <v>3230.8566873363925</v>
      </c>
      <c r="G109" s="136">
        <f>Paris_Inflow!G110-Paris_Outflow!G110+G108</f>
        <v>2096.9583625004893</v>
      </c>
      <c r="H109" s="115"/>
      <c r="I109" s="131">
        <f>C109*Hypotheses!$D$19/1000</f>
        <v>0.29844928032071427</v>
      </c>
      <c r="J109" s="131">
        <f>C109*Hypotheses!$D$20/1000</f>
        <v>0.59689856064142854</v>
      </c>
      <c r="K109" s="131">
        <f>C109*Hypotheses!$D$21/1000</f>
        <v>1.1937971212828571</v>
      </c>
      <c r="L109" s="115"/>
      <c r="M109" s="128">
        <f>C109*Hypotheses!$D$31*Hypotheses!H74</f>
        <v>2984.4928032071425</v>
      </c>
      <c r="N109" s="128">
        <f>C109*Hypotheses!$D$31*Hypotheses!I74</f>
        <v>14921.92205758602</v>
      </c>
      <c r="O109" s="128">
        <f>C109*Hypotheses!$D$31*Hypotheses!J74</f>
        <v>29843.708625559615</v>
      </c>
      <c r="P109" s="126">
        <f>C109*Hypotheses!$D$30*Hypotheses!H74</f>
        <v>746.12320080178563</v>
      </c>
      <c r="Q109" s="126">
        <f>C109*Hypotheses!$D$30*Hypotheses!I74</f>
        <v>3730.480514396505</v>
      </c>
      <c r="R109" s="126">
        <f>C109*Hypotheses!$D$30*Hypotheses!J74</f>
        <v>7460.9271563899038</v>
      </c>
      <c r="S109" s="115"/>
      <c r="T109" s="131">
        <f t="shared" si="0"/>
        <v>8.9418120420214269</v>
      </c>
      <c r="U109" s="131">
        <f t="shared" si="0"/>
        <v>17.883624084042854</v>
      </c>
      <c r="V109" s="131">
        <f t="shared" si="0"/>
        <v>35.767248168085708</v>
      </c>
      <c r="W109" s="115"/>
      <c r="X109" s="128">
        <f t="shared" si="3"/>
        <v>89418.120420214298</v>
      </c>
      <c r="Y109" s="128">
        <f t="shared" si="3"/>
        <v>333942.73155989015</v>
      </c>
      <c r="Z109" s="128">
        <f t="shared" si="3"/>
        <v>639598.49548448506</v>
      </c>
      <c r="AA109" s="126">
        <f t="shared" si="3"/>
        <v>22354.530105053575</v>
      </c>
      <c r="AB109" s="126">
        <f t="shared" si="3"/>
        <v>83485.682889972537</v>
      </c>
      <c r="AC109" s="126">
        <f t="shared" si="3"/>
        <v>159899.62387112126</v>
      </c>
      <c r="AD109" s="115"/>
    </row>
    <row r="110" spans="1:30" x14ac:dyDescent="0.25">
      <c r="A110" s="94">
        <v>2056</v>
      </c>
      <c r="B110" s="139">
        <f>Paris_Inflow!B111-Paris_Outflow!B111+B109</f>
        <v>1412725.717670477</v>
      </c>
      <c r="C110" s="139">
        <f>Paris_Inflow!C111-Paris_Outflow!C111+C109</f>
        <v>50070.04672011904</v>
      </c>
      <c r="D110" s="136">
        <f>Paris_Inflow!D111-Paris_Outflow!D111+D109</f>
        <v>11214.347383333336</v>
      </c>
      <c r="E110" s="136">
        <f>Paris_Inflow!E111-Paris_Outflow!E111+E109</f>
        <v>38855.699336785736</v>
      </c>
      <c r="F110" s="136">
        <f>Paris_Inflow!F111-Paris_Outflow!F111+F109</f>
        <v>3231.4326873363925</v>
      </c>
      <c r="G110" s="136">
        <f>Paris_Inflow!G111-Paris_Outflow!G111+G109</f>
        <v>2092.9983625004893</v>
      </c>
      <c r="H110" s="115"/>
      <c r="I110" s="131">
        <f>C110*Hypotheses!$D$19/1000</f>
        <v>0.30042028032071427</v>
      </c>
      <c r="J110" s="131">
        <f>C110*Hypotheses!$D$20/1000</f>
        <v>0.60084056064142854</v>
      </c>
      <c r="K110" s="131">
        <f>C110*Hypotheses!$D$21/1000</f>
        <v>1.2016811212828571</v>
      </c>
      <c r="L110" s="115"/>
      <c r="M110" s="128">
        <f>C110*Hypotheses!$D$31*Hypotheses!H75</f>
        <v>3004.2028032071426</v>
      </c>
      <c r="N110" s="128">
        <f>C110*Hypotheses!$D$31*Hypotheses!I75</f>
        <v>15020.683124833971</v>
      </c>
      <c r="O110" s="128">
        <f>C110*Hypotheses!$D$31*Hypotheses!J75</f>
        <v>30041.283526867508</v>
      </c>
      <c r="P110" s="126">
        <f>C110*Hypotheses!$D$30*Hypotheses!H75</f>
        <v>751.05070080178564</v>
      </c>
      <c r="Q110" s="126">
        <f>C110*Hypotheses!$D$30*Hypotheses!I75</f>
        <v>3755.1707812084928</v>
      </c>
      <c r="R110" s="126">
        <f>C110*Hypotheses!$D$30*Hypotheses!J75</f>
        <v>7510.320881716877</v>
      </c>
      <c r="S110" s="115"/>
      <c r="T110" s="131">
        <f t="shared" si="0"/>
        <v>9.2422323223421419</v>
      </c>
      <c r="U110" s="131">
        <f t="shared" si="0"/>
        <v>18.484464644684284</v>
      </c>
      <c r="V110" s="131">
        <f t="shared" si="0"/>
        <v>36.968929289368567</v>
      </c>
      <c r="W110" s="115"/>
      <c r="X110" s="128">
        <f t="shared" si="3"/>
        <v>92422.323223421437</v>
      </c>
      <c r="Y110" s="128">
        <f t="shared" si="3"/>
        <v>348963.41468472412</v>
      </c>
      <c r="Z110" s="128">
        <f t="shared" si="3"/>
        <v>669639.77901135257</v>
      </c>
      <c r="AA110" s="126">
        <f t="shared" si="3"/>
        <v>23105.580805855359</v>
      </c>
      <c r="AB110" s="126">
        <f t="shared" si="3"/>
        <v>87240.85367118103</v>
      </c>
      <c r="AC110" s="126">
        <f t="shared" si="3"/>
        <v>167409.94475283814</v>
      </c>
      <c r="AD110" s="115"/>
    </row>
    <row r="111" spans="1:30" x14ac:dyDescent="0.25">
      <c r="A111" s="94">
        <v>2057</v>
      </c>
      <c r="B111" s="139">
        <f>Paris_Inflow!B112-Paris_Outflow!B112+B110</f>
        <v>1389407.5976704769</v>
      </c>
      <c r="C111" s="139">
        <f>Paris_Inflow!C112-Paris_Outflow!C112+C110</f>
        <v>49324.75672011904</v>
      </c>
      <c r="D111" s="136">
        <f>Paris_Inflow!D112-Paris_Outflow!D112+D110</f>
        <v>10469.057383333336</v>
      </c>
      <c r="E111" s="136">
        <f>Paris_Inflow!E112-Paris_Outflow!E112+E110</f>
        <v>38855.699336785736</v>
      </c>
      <c r="F111" s="136">
        <f>Paris_Inflow!F112-Paris_Outflow!F112+F110</f>
        <v>3231.4326873363925</v>
      </c>
      <c r="G111" s="136">
        <f>Paris_Inflow!G112-Paris_Outflow!G112+G110</f>
        <v>2092.9983625004893</v>
      </c>
      <c r="H111" s="115"/>
      <c r="I111" s="131">
        <f>C111*Hypotheses!$D$19/1000</f>
        <v>0.29594854032071427</v>
      </c>
      <c r="J111" s="131">
        <f>C111*Hypotheses!$D$20/1000</f>
        <v>0.59189708064142854</v>
      </c>
      <c r="K111" s="131">
        <f>C111*Hypotheses!$D$21/1000</f>
        <v>1.1837941612828571</v>
      </c>
      <c r="L111" s="115"/>
      <c r="M111" s="128">
        <f>C111*Hypotheses!$D$31*Hypotheses!H76</f>
        <v>2959.4854032071426</v>
      </c>
      <c r="N111" s="128">
        <f>C111*Hypotheses!$D$31*Hypotheses!I76</f>
        <v>14797.229305579023</v>
      </c>
      <c r="O111" s="128">
        <f>C111*Hypotheses!$D$31*Hypotheses!J76</f>
        <v>29594.409183543878</v>
      </c>
      <c r="P111" s="126">
        <f>C111*Hypotheses!$D$30*Hypotheses!H76</f>
        <v>739.87135080178564</v>
      </c>
      <c r="Q111" s="126">
        <f>C111*Hypotheses!$D$30*Hypotheses!I76</f>
        <v>3699.3073263947558</v>
      </c>
      <c r="R111" s="126">
        <f>C111*Hypotheses!$D$30*Hypotheses!J76</f>
        <v>7398.6022958859694</v>
      </c>
      <c r="S111" s="115"/>
      <c r="T111" s="131">
        <f t="shared" si="0"/>
        <v>9.5381808626628555</v>
      </c>
      <c r="U111" s="131">
        <f t="shared" si="0"/>
        <v>19.076361725325711</v>
      </c>
      <c r="V111" s="131">
        <f t="shared" si="0"/>
        <v>38.152723450651422</v>
      </c>
      <c r="W111" s="115"/>
      <c r="X111" s="128">
        <f t="shared" si="3"/>
        <v>95381.808626628583</v>
      </c>
      <c r="Y111" s="128">
        <f t="shared" si="3"/>
        <v>363760.64399030316</v>
      </c>
      <c r="Z111" s="128">
        <f t="shared" si="3"/>
        <v>699234.18819489644</v>
      </c>
      <c r="AA111" s="126">
        <f t="shared" si="3"/>
        <v>23845.452156657146</v>
      </c>
      <c r="AB111" s="126">
        <f t="shared" si="3"/>
        <v>90940.160997575789</v>
      </c>
      <c r="AC111" s="126">
        <f t="shared" si="3"/>
        <v>174808.54704872411</v>
      </c>
      <c r="AD111" s="115"/>
    </row>
    <row r="112" spans="1:30" x14ac:dyDescent="0.25">
      <c r="A112" s="94">
        <v>2058</v>
      </c>
      <c r="B112" s="139">
        <f>Paris_Inflow!B113-Paris_Outflow!B113+B111</f>
        <v>1368859.7976704768</v>
      </c>
      <c r="C112" s="139">
        <f>Paris_Inflow!C113-Paris_Outflow!C113+C111</f>
        <v>49155.716720119039</v>
      </c>
      <c r="D112" s="136">
        <f>Paris_Inflow!D113-Paris_Outflow!D113+D111</f>
        <v>10300.017383333336</v>
      </c>
      <c r="E112" s="136">
        <f>Paris_Inflow!E113-Paris_Outflow!E113+E111</f>
        <v>38855.699336785736</v>
      </c>
      <c r="F112" s="136">
        <f>Paris_Inflow!F113-Paris_Outflow!F113+F111</f>
        <v>3231.4326873363925</v>
      </c>
      <c r="G112" s="136">
        <f>Paris_Inflow!G113-Paris_Outflow!G113+G111</f>
        <v>2092.9983625004893</v>
      </c>
      <c r="H112" s="115"/>
      <c r="I112" s="131">
        <f>C112*Hypotheses!$D$19/1000</f>
        <v>0.29493430032071422</v>
      </c>
      <c r="J112" s="131">
        <f>C112*Hypotheses!$D$20/1000</f>
        <v>0.58986860064142843</v>
      </c>
      <c r="K112" s="131">
        <f>C112*Hypotheses!$D$21/1000</f>
        <v>1.1797372012828569</v>
      </c>
      <c r="L112" s="115"/>
      <c r="M112" s="128">
        <f>C112*Hypotheses!$D$31*Hypotheses!H77</f>
        <v>2949.3430032071424</v>
      </c>
      <c r="N112" s="128">
        <f>C112*Hypotheses!$D$31*Hypotheses!I77</f>
        <v>14746.595508763623</v>
      </c>
      <c r="O112" s="128">
        <f>C112*Hypotheses!$D$31*Hypotheses!J77</f>
        <v>29493.161140709224</v>
      </c>
      <c r="P112" s="126">
        <f>C112*Hypotheses!$D$30*Hypotheses!H77</f>
        <v>737.33575080178559</v>
      </c>
      <c r="Q112" s="126">
        <f>C112*Hypotheses!$D$30*Hypotheses!I77</f>
        <v>3686.6488771909058</v>
      </c>
      <c r="R112" s="126">
        <f>C112*Hypotheses!$D$30*Hypotheses!J77</f>
        <v>7373.290285177306</v>
      </c>
      <c r="S112" s="115"/>
      <c r="T112" s="131">
        <f t="shared" si="0"/>
        <v>9.8331151629835691</v>
      </c>
      <c r="U112" s="131">
        <f t="shared" si="0"/>
        <v>19.666230325967138</v>
      </c>
      <c r="V112" s="131">
        <f t="shared" si="0"/>
        <v>39.332460651934277</v>
      </c>
      <c r="W112" s="115"/>
      <c r="X112" s="128">
        <f t="shared" si="3"/>
        <v>98331.151629835731</v>
      </c>
      <c r="Y112" s="128">
        <f t="shared" si="3"/>
        <v>378507.23949906678</v>
      </c>
      <c r="Z112" s="128">
        <f t="shared" si="3"/>
        <v>728727.34933560563</v>
      </c>
      <c r="AA112" s="126">
        <f t="shared" si="3"/>
        <v>24582.787907458933</v>
      </c>
      <c r="AB112" s="126">
        <f t="shared" si="3"/>
        <v>94626.809874766695</v>
      </c>
      <c r="AC112" s="126">
        <f t="shared" si="3"/>
        <v>182181.83733390141</v>
      </c>
      <c r="AD112" s="115"/>
    </row>
    <row r="113" spans="1:30" x14ac:dyDescent="0.25">
      <c r="A113" s="94">
        <v>2059</v>
      </c>
      <c r="B113" s="139">
        <f>Paris_Inflow!B114-Paris_Outflow!B114+B112</f>
        <v>1352667.7976704768</v>
      </c>
      <c r="C113" s="139">
        <f>Paris_Inflow!C114-Paris_Outflow!C114+C112</f>
        <v>49155.716720119039</v>
      </c>
      <c r="D113" s="136">
        <f>Paris_Inflow!D114-Paris_Outflow!D114+D112</f>
        <v>10300.017383333336</v>
      </c>
      <c r="E113" s="136">
        <f>Paris_Inflow!E114-Paris_Outflow!E114+E112</f>
        <v>38855.699336785736</v>
      </c>
      <c r="F113" s="136">
        <f>Paris_Inflow!F114-Paris_Outflow!F114+F112</f>
        <v>3231.4326873363925</v>
      </c>
      <c r="G113" s="136">
        <f>Paris_Inflow!G114-Paris_Outflow!G114+G112</f>
        <v>2092.9983625004893</v>
      </c>
      <c r="H113" s="115"/>
      <c r="I113" s="131">
        <f>C113*Hypotheses!$D$19/1000</f>
        <v>0.29493430032071422</v>
      </c>
      <c r="J113" s="131">
        <f>C113*Hypotheses!$D$20/1000</f>
        <v>0.58986860064142843</v>
      </c>
      <c r="K113" s="131">
        <f>C113*Hypotheses!$D$21/1000</f>
        <v>1.1797372012828569</v>
      </c>
      <c r="L113" s="115"/>
      <c r="M113" s="128">
        <f>C113*Hypotheses!$D$31*Hypotheses!H78</f>
        <v>2949.3430032071424</v>
      </c>
      <c r="N113" s="128">
        <f>C113*Hypotheses!$D$31*Hypotheses!I78</f>
        <v>14746.642530922218</v>
      </c>
      <c r="O113" s="128">
        <f>C113*Hypotheses!$D$31*Hypotheses!J78</f>
        <v>29493.26694056606</v>
      </c>
      <c r="P113" s="126">
        <f>C113*Hypotheses!$D$30*Hypotheses!H78</f>
        <v>737.33575080178559</v>
      </c>
      <c r="Q113" s="126">
        <f>C113*Hypotheses!$D$30*Hypotheses!I78</f>
        <v>3686.6606327305544</v>
      </c>
      <c r="R113" s="126">
        <f>C113*Hypotheses!$D$30*Hypotheses!J78</f>
        <v>7373.316735141515</v>
      </c>
      <c r="S113" s="115"/>
      <c r="T113" s="131">
        <f t="shared" si="0"/>
        <v>10.128049463304283</v>
      </c>
      <c r="U113" s="131">
        <f t="shared" si="0"/>
        <v>20.256098926608566</v>
      </c>
      <c r="V113" s="131">
        <f t="shared" si="0"/>
        <v>40.512197853217131</v>
      </c>
      <c r="W113" s="115"/>
      <c r="X113" s="128">
        <f t="shared" si="3"/>
        <v>101280.49463304288</v>
      </c>
      <c r="Y113" s="128">
        <f t="shared" si="3"/>
        <v>393253.88202998898</v>
      </c>
      <c r="Z113" s="128">
        <f t="shared" si="3"/>
        <v>758220.61627617164</v>
      </c>
      <c r="AA113" s="126">
        <f t="shared" si="3"/>
        <v>25320.12365826072</v>
      </c>
      <c r="AB113" s="126">
        <f t="shared" si="3"/>
        <v>98313.470507497244</v>
      </c>
      <c r="AC113" s="126">
        <f t="shared" si="3"/>
        <v>189555.15406904291</v>
      </c>
      <c r="AD113" s="115"/>
    </row>
    <row r="114" spans="1:30" x14ac:dyDescent="0.25">
      <c r="A114" s="94">
        <v>2060</v>
      </c>
      <c r="B114" s="139">
        <f>Paris_Inflow!B115-Paris_Outflow!B115+B113</f>
        <v>1299982.6541904768</v>
      </c>
      <c r="C114" s="139">
        <f>Paris_Inflow!C115-Paris_Outflow!C115+C113</f>
        <v>49089.217020119038</v>
      </c>
      <c r="D114" s="136">
        <f>Paris_Inflow!D115-Paris_Outflow!D115+D113</f>
        <v>10233.517683333335</v>
      </c>
      <c r="E114" s="136">
        <f>Paris_Inflow!E115-Paris_Outflow!E115+E113</f>
        <v>38855.699336785736</v>
      </c>
      <c r="F114" s="136">
        <f>Paris_Inflow!F115-Paris_Outflow!F115+F113</f>
        <v>3231.4326873363925</v>
      </c>
      <c r="G114" s="136">
        <f>Paris_Inflow!G115-Paris_Outflow!G115+G113</f>
        <v>2092.9983625004893</v>
      </c>
      <c r="H114" s="115"/>
      <c r="I114" s="131">
        <f>C114*Hypotheses!$D$19/1000</f>
        <v>0.29453530212071422</v>
      </c>
      <c r="J114" s="131">
        <f>C114*Hypotheses!$D$20/1000</f>
        <v>0.58907060424142843</v>
      </c>
      <c r="K114" s="131">
        <f>C114*Hypotheses!$D$21/1000</f>
        <v>1.1781412084828569</v>
      </c>
      <c r="L114" s="115"/>
      <c r="M114" s="128">
        <f>C114*Hypotheses!$D$31*Hypotheses!H79</f>
        <v>2945.3530212071423</v>
      </c>
      <c r="N114" s="128">
        <f>C114*Hypotheses!$D$31*Hypotheses!I79</f>
        <v>14726.721200962613</v>
      </c>
      <c r="O114" s="128">
        <f>C114*Hypotheses!$D$31*Hypotheses!J79</f>
        <v>29453.431425656949</v>
      </c>
      <c r="P114" s="126">
        <f>C114*Hypotheses!$D$30*Hypotheses!H79</f>
        <v>736.33825530178558</v>
      </c>
      <c r="Q114" s="126">
        <f>C114*Hypotheses!$D$30*Hypotheses!I79</f>
        <v>3681.6803002406532</v>
      </c>
      <c r="R114" s="126">
        <f>C114*Hypotheses!$D$30*Hypotheses!J79</f>
        <v>7363.3578564142372</v>
      </c>
      <c r="S114" s="115"/>
      <c r="T114" s="131">
        <f t="shared" si="0"/>
        <v>10.422584765424997</v>
      </c>
      <c r="U114" s="131">
        <f t="shared" si="0"/>
        <v>20.845169530849994</v>
      </c>
      <c r="V114" s="131">
        <f t="shared" si="0"/>
        <v>41.690339061699987</v>
      </c>
      <c r="W114" s="115"/>
      <c r="X114" s="128">
        <f t="shared" si="3"/>
        <v>104225.84765425003</v>
      </c>
      <c r="Y114" s="128">
        <f t="shared" si="3"/>
        <v>407980.60323095159</v>
      </c>
      <c r="Z114" s="128">
        <f t="shared" si="3"/>
        <v>787674.04770182865</v>
      </c>
      <c r="AA114" s="126">
        <f t="shared" si="3"/>
        <v>26056.461913562507</v>
      </c>
      <c r="AB114" s="126">
        <f t="shared" si="3"/>
        <v>101995.1508077379</v>
      </c>
      <c r="AC114" s="126">
        <f t="shared" si="3"/>
        <v>196918.51192545716</v>
      </c>
      <c r="AD114" s="115"/>
    </row>
    <row r="115" spans="1:30" x14ac:dyDescent="0.25">
      <c r="A115" s="94">
        <v>2061</v>
      </c>
      <c r="B115" s="139">
        <f>Paris_Inflow!B116-Paris_Outflow!B116+B114</f>
        <v>1307005.9401904768</v>
      </c>
      <c r="C115" s="139">
        <f>Paris_Inflow!C116-Paris_Outflow!C116+C114</f>
        <v>50546.341520119036</v>
      </c>
      <c r="D115" s="136">
        <f>Paris_Inflow!D116-Paris_Outflow!D116+D114</f>
        <v>10967.912983333335</v>
      </c>
      <c r="E115" s="136">
        <f>Paris_Inflow!E116-Paris_Outflow!E116+E114</f>
        <v>39578.428536785737</v>
      </c>
      <c r="F115" s="136">
        <f>Paris_Inflow!F116-Paris_Outflow!F116+F114</f>
        <v>3253.6670473363924</v>
      </c>
      <c r="G115" s="136">
        <f>Paris_Inflow!G116-Paris_Outflow!G116+G114</f>
        <v>2107.4894425004895</v>
      </c>
      <c r="H115" s="115"/>
      <c r="I115" s="131">
        <f>C115*Hypotheses!$D$19/1000</f>
        <v>0.30327804912071421</v>
      </c>
      <c r="J115" s="131">
        <f>C115*Hypotheses!$D$20/1000</f>
        <v>0.60655609824142842</v>
      </c>
      <c r="K115" s="131">
        <f>C115*Hypotheses!$D$21/1000</f>
        <v>1.2131121964828568</v>
      </c>
      <c r="L115" s="115"/>
      <c r="M115" s="128">
        <f>C115*Hypotheses!$D$31*Hypotheses!H80</f>
        <v>3032.7804912071424</v>
      </c>
      <c r="N115" s="128">
        <f>C115*Hypotheses!$D$31*Hypotheses!I80</f>
        <v>15163.87503576597</v>
      </c>
      <c r="O115" s="128">
        <f>C115*Hypotheses!$D$31*Hypotheses!J80</f>
        <v>30327.743216464507</v>
      </c>
      <c r="P115" s="126">
        <f>C115*Hypotheses!$D$30*Hypotheses!H80</f>
        <v>758.1951228017856</v>
      </c>
      <c r="Q115" s="126">
        <f>C115*Hypotheses!$D$30*Hypotheses!I80</f>
        <v>3790.9687589414925</v>
      </c>
      <c r="R115" s="126">
        <f>C115*Hypotheses!$D$30*Hypotheses!J80</f>
        <v>7581.9358041161267</v>
      </c>
      <c r="S115" s="115"/>
      <c r="T115" s="131">
        <f t="shared" si="0"/>
        <v>10.72586281454571</v>
      </c>
      <c r="U115" s="131">
        <f t="shared" si="0"/>
        <v>21.45172562909142</v>
      </c>
      <c r="V115" s="131">
        <f t="shared" si="0"/>
        <v>42.903451258182841</v>
      </c>
      <c r="W115" s="115"/>
      <c r="X115" s="128">
        <f t="shared" si="3"/>
        <v>107258.62814545717</v>
      </c>
      <c r="Y115" s="128">
        <f t="shared" si="3"/>
        <v>423144.47826671758</v>
      </c>
      <c r="Z115" s="128">
        <f t="shared" si="3"/>
        <v>818001.79091829318</v>
      </c>
      <c r="AA115" s="126">
        <f t="shared" si="3"/>
        <v>26814.657036364293</v>
      </c>
      <c r="AB115" s="126">
        <f t="shared" si="3"/>
        <v>105786.11956667939</v>
      </c>
      <c r="AC115" s="126">
        <f t="shared" si="3"/>
        <v>204500.44772957329</v>
      </c>
      <c r="AD115" s="115"/>
    </row>
    <row r="116" spans="1:30" x14ac:dyDescent="0.25">
      <c r="A116" s="94">
        <v>2062</v>
      </c>
      <c r="B116" s="139">
        <f>Paris_Inflow!B117-Paris_Outflow!B117+B115</f>
        <v>1277817.1401904768</v>
      </c>
      <c r="C116" s="139">
        <f>Paris_Inflow!C117-Paris_Outflow!C117+C115</f>
        <v>50986.444520119039</v>
      </c>
      <c r="D116" s="136">
        <f>Paris_Inflow!D117-Paris_Outflow!D117+D115</f>
        <v>10919.717983333336</v>
      </c>
      <c r="E116" s="136">
        <f>Paris_Inflow!E117-Paris_Outflow!E117+E115</f>
        <v>40066.72653678574</v>
      </c>
      <c r="F116" s="136">
        <f>Paris_Inflow!F117-Paris_Outflow!F117+F115</f>
        <v>3254.5118473363923</v>
      </c>
      <c r="G116" s="136">
        <f>Paris_Inflow!G117-Paris_Outflow!G117+G115</f>
        <v>2123.2092425004894</v>
      </c>
      <c r="H116" s="115"/>
      <c r="I116" s="131">
        <f>C116*Hypotheses!$D$19/1000</f>
        <v>0.30591866712071425</v>
      </c>
      <c r="J116" s="131">
        <f>C116*Hypotheses!$D$20/1000</f>
        <v>0.6118373342414285</v>
      </c>
      <c r="K116" s="131">
        <f>C116*Hypotheses!$D$21/1000</f>
        <v>1.223674668482857</v>
      </c>
      <c r="L116" s="115"/>
      <c r="M116" s="128">
        <f>C116*Hypotheses!$D$31*Hypotheses!H81</f>
        <v>3059.1866712071424</v>
      </c>
      <c r="N116" s="128">
        <f>C116*Hypotheses!$D$31*Hypotheses!I81</f>
        <v>15295.916579979656</v>
      </c>
      <c r="O116" s="128">
        <f>C116*Hypotheses!$D$31*Hypotheses!J81</f>
        <v>30591.828965945293</v>
      </c>
      <c r="P116" s="126">
        <f>C116*Hypotheses!$D$30*Hypotheses!H81</f>
        <v>764.79666780178559</v>
      </c>
      <c r="Q116" s="126">
        <f>C116*Hypotheses!$D$30*Hypotheses!I81</f>
        <v>3823.9791449949139</v>
      </c>
      <c r="R116" s="126">
        <f>C116*Hypotheses!$D$30*Hypotheses!J81</f>
        <v>7647.9572414863233</v>
      </c>
      <c r="S116" s="115"/>
      <c r="T116" s="131">
        <f t="shared" si="0"/>
        <v>11.031781481666425</v>
      </c>
      <c r="U116" s="131">
        <f t="shared" si="0"/>
        <v>22.063562963332849</v>
      </c>
      <c r="V116" s="131">
        <f t="shared" si="0"/>
        <v>44.127125926665698</v>
      </c>
      <c r="W116" s="115"/>
      <c r="X116" s="128">
        <f t="shared" si="3"/>
        <v>110317.81481666432</v>
      </c>
      <c r="Y116" s="128">
        <f t="shared" si="3"/>
        <v>438440.39484669722</v>
      </c>
      <c r="Z116" s="128">
        <f t="shared" si="3"/>
        <v>848593.61988423846</v>
      </c>
      <c r="AA116" s="126">
        <f t="shared" si="3"/>
        <v>27579.453704166081</v>
      </c>
      <c r="AB116" s="126">
        <f t="shared" si="3"/>
        <v>109610.09871167431</v>
      </c>
      <c r="AC116" s="126">
        <f t="shared" si="3"/>
        <v>212148.40497105962</v>
      </c>
      <c r="AD116" s="115"/>
    </row>
    <row r="117" spans="1:30" x14ac:dyDescent="0.25">
      <c r="A117" s="94">
        <v>2063</v>
      </c>
      <c r="B117" s="139">
        <f>Paris_Inflow!B118-Paris_Outflow!B118+B116</f>
        <v>1274988.8401904767</v>
      </c>
      <c r="C117" s="139">
        <f>Paris_Inflow!C118-Paris_Outflow!C118+C116</f>
        <v>51261.462520119036</v>
      </c>
      <c r="D117" s="136">
        <f>Paris_Inflow!D118-Paris_Outflow!D118+D116</f>
        <v>10919.717983333336</v>
      </c>
      <c r="E117" s="136">
        <f>Paris_Inflow!E118-Paris_Outflow!E118+E116</f>
        <v>40341.744536785744</v>
      </c>
      <c r="F117" s="136">
        <f>Paris_Inflow!F118-Paris_Outflow!F118+F116</f>
        <v>3252.1233473363923</v>
      </c>
      <c r="G117" s="136">
        <f>Paris_Inflow!G118-Paris_Outflow!G118+G116</f>
        <v>2120.8207425004894</v>
      </c>
      <c r="H117" s="115"/>
      <c r="I117" s="131">
        <f>C117*Hypotheses!$D$19/1000</f>
        <v>0.30756877512071423</v>
      </c>
      <c r="J117" s="131">
        <f>C117*Hypotheses!$D$20/1000</f>
        <v>0.61513755024142847</v>
      </c>
      <c r="K117" s="131">
        <f>C117*Hypotheses!$D$21/1000</f>
        <v>1.2302751004828569</v>
      </c>
      <c r="L117" s="115"/>
      <c r="M117" s="128">
        <f>C117*Hypotheses!$D$31*Hypotheses!H82</f>
        <v>3075.6877512071424</v>
      </c>
      <c r="N117" s="128">
        <f>C117*Hypotheses!$D$31*Hypotheses!I82</f>
        <v>15378.42852595343</v>
      </c>
      <c r="O117" s="128">
        <f>C117*Hypotheses!$D$31*Hypotheses!J82</f>
        <v>30756.854494386291</v>
      </c>
      <c r="P117" s="126">
        <f>C117*Hypotheses!$D$30*Hypotheses!H82</f>
        <v>768.92193780178559</v>
      </c>
      <c r="Q117" s="126">
        <f>C117*Hypotheses!$D$30*Hypotheses!I82</f>
        <v>3844.6071314883575</v>
      </c>
      <c r="R117" s="126">
        <f>C117*Hypotheses!$D$30*Hypotheses!J82</f>
        <v>7689.2136235965727</v>
      </c>
      <c r="S117" s="115"/>
      <c r="T117" s="131">
        <f t="shared" si="0"/>
        <v>11.339350256787139</v>
      </c>
      <c r="U117" s="131">
        <f t="shared" si="0"/>
        <v>22.678700513574277</v>
      </c>
      <c r="V117" s="131">
        <f t="shared" si="0"/>
        <v>45.357401027148555</v>
      </c>
      <c r="W117" s="115"/>
      <c r="X117" s="128">
        <f t="shared" si="3"/>
        <v>113393.50256787146</v>
      </c>
      <c r="Y117" s="128">
        <f t="shared" si="3"/>
        <v>453818.82337265066</v>
      </c>
      <c r="Z117" s="128">
        <f t="shared" si="3"/>
        <v>879350.4743786247</v>
      </c>
      <c r="AA117" s="126">
        <f t="shared" si="3"/>
        <v>28348.375641967865</v>
      </c>
      <c r="AB117" s="126">
        <f t="shared" si="3"/>
        <v>113454.70584316266</v>
      </c>
      <c r="AC117" s="126">
        <f t="shared" si="3"/>
        <v>219837.61859465617</v>
      </c>
      <c r="AD117" s="115"/>
    </row>
    <row r="118" spans="1:30" x14ac:dyDescent="0.25">
      <c r="A118" s="94">
        <v>2064</v>
      </c>
      <c r="B118" s="139">
        <f>Paris_Inflow!B119-Paris_Outflow!B119+B117</f>
        <v>1241688.1651904767</v>
      </c>
      <c r="C118" s="139">
        <f>Paris_Inflow!C119-Paris_Outflow!C119+C117</f>
        <v>51261.462520119036</v>
      </c>
      <c r="D118" s="136">
        <f>Paris_Inflow!D119-Paris_Outflow!D119+D117</f>
        <v>10919.717983333336</v>
      </c>
      <c r="E118" s="136">
        <f>Paris_Inflow!E119-Paris_Outflow!E119+E117</f>
        <v>40341.744536785744</v>
      </c>
      <c r="F118" s="136">
        <f>Paris_Inflow!F119-Paris_Outflow!F119+F117</f>
        <v>3252.1233473363923</v>
      </c>
      <c r="G118" s="136">
        <f>Paris_Inflow!G119-Paris_Outflow!G119+G117</f>
        <v>2120.8207425004894</v>
      </c>
      <c r="H118" s="115"/>
      <c r="I118" s="131">
        <f>C118*Hypotheses!$D$19/1000</f>
        <v>0.30756877512071423</v>
      </c>
      <c r="J118" s="131">
        <f>C118*Hypotheses!$D$20/1000</f>
        <v>0.61513755024142847</v>
      </c>
      <c r="K118" s="131">
        <f>C118*Hypotheses!$D$21/1000</f>
        <v>1.2302751004828569</v>
      </c>
      <c r="L118" s="115"/>
      <c r="M118" s="128">
        <f>C118*Hypotheses!$D$31*Hypotheses!H83</f>
        <v>3075.6877512071424</v>
      </c>
      <c r="N118" s="128">
        <f>C118*Hypotheses!$D$31*Hypotheses!I83</f>
        <v>15378.432551175129</v>
      </c>
      <c r="O118" s="128">
        <f>C118*Hypotheses!$D$31*Hypotheses!J83</f>
        <v>30756.863551135109</v>
      </c>
      <c r="P118" s="126">
        <f>C118*Hypotheses!$D$30*Hypotheses!H83</f>
        <v>768.92193780178559</v>
      </c>
      <c r="Q118" s="126">
        <f>C118*Hypotheses!$D$30*Hypotheses!I83</f>
        <v>3844.6081377937821</v>
      </c>
      <c r="R118" s="126">
        <f>C118*Hypotheses!$D$30*Hypotheses!J83</f>
        <v>7689.2158877837774</v>
      </c>
      <c r="S118" s="115"/>
      <c r="T118" s="131">
        <f t="shared" si="0"/>
        <v>11.646919031907853</v>
      </c>
      <c r="U118" s="131">
        <f t="shared" si="0"/>
        <v>23.293838063815706</v>
      </c>
      <c r="V118" s="131">
        <f t="shared" si="0"/>
        <v>46.587676127631411</v>
      </c>
      <c r="W118" s="115"/>
      <c r="X118" s="128">
        <f t="shared" si="3"/>
        <v>116469.1903190786</v>
      </c>
      <c r="Y118" s="128">
        <f t="shared" si="3"/>
        <v>469197.25592382578</v>
      </c>
      <c r="Z118" s="128">
        <f t="shared" si="3"/>
        <v>910107.33792975976</v>
      </c>
      <c r="AA118" s="126">
        <f t="shared" si="3"/>
        <v>29117.297579769649</v>
      </c>
      <c r="AB118" s="126">
        <f t="shared" si="3"/>
        <v>117299.31398095645</v>
      </c>
      <c r="AC118" s="126">
        <f t="shared" si="3"/>
        <v>227526.83448243994</v>
      </c>
      <c r="AD118" s="115"/>
    </row>
    <row r="119" spans="1:30" x14ac:dyDescent="0.25">
      <c r="A119" s="94">
        <v>2065</v>
      </c>
      <c r="B119" s="139">
        <f>Paris_Inflow!B120-Paris_Outflow!B120+B118</f>
        <v>1206909.5937619053</v>
      </c>
      <c r="C119" s="139">
        <f>Paris_Inflow!C120-Paris_Outflow!C120+C118</f>
        <v>51261.462520119036</v>
      </c>
      <c r="D119" s="136">
        <f>Paris_Inflow!D120-Paris_Outflow!D120+D118</f>
        <v>10919.717983333336</v>
      </c>
      <c r="E119" s="136">
        <f>Paris_Inflow!E120-Paris_Outflow!E120+E118</f>
        <v>40341.744536785744</v>
      </c>
      <c r="F119" s="136">
        <f>Paris_Inflow!F120-Paris_Outflow!F120+F118</f>
        <v>3252.1233473363923</v>
      </c>
      <c r="G119" s="136">
        <f>Paris_Inflow!G120-Paris_Outflow!G120+G118</f>
        <v>2120.8207425004894</v>
      </c>
      <c r="H119" s="115"/>
      <c r="I119" s="131">
        <f>C119*Hypotheses!$D$19/1000</f>
        <v>0.30756877512071423</v>
      </c>
      <c r="J119" s="131">
        <f>C119*Hypotheses!$D$20/1000</f>
        <v>0.61513755024142847</v>
      </c>
      <c r="K119" s="131">
        <f>C119*Hypotheses!$D$21/1000</f>
        <v>1.2302751004828569</v>
      </c>
      <c r="L119" s="115"/>
      <c r="M119" s="128">
        <f>C119*Hypotheses!$D$31*Hypotheses!H84</f>
        <v>3075.6877512071424</v>
      </c>
      <c r="N119" s="128">
        <f>C119*Hypotheses!$D$31*Hypotheses!I84</f>
        <v>15378.43499259678</v>
      </c>
      <c r="O119" s="128">
        <f>C119*Hypotheses!$D$31*Hypotheses!J84</f>
        <v>30756.869044333827</v>
      </c>
      <c r="P119" s="126">
        <f>C119*Hypotheses!$D$30*Hypotheses!H84</f>
        <v>768.92193780178559</v>
      </c>
      <c r="Q119" s="126">
        <f>C119*Hypotheses!$D$30*Hypotheses!I84</f>
        <v>3844.608748149195</v>
      </c>
      <c r="R119" s="126">
        <f>C119*Hypotheses!$D$30*Hypotheses!J84</f>
        <v>7689.2172610834568</v>
      </c>
      <c r="S119" s="115"/>
      <c r="T119" s="131">
        <f t="shared" si="0"/>
        <v>11.954487807028567</v>
      </c>
      <c r="U119" s="131">
        <f t="shared" si="0"/>
        <v>23.908975614057134</v>
      </c>
      <c r="V119" s="131">
        <f t="shared" si="0"/>
        <v>47.817951228114268</v>
      </c>
      <c r="W119" s="115"/>
      <c r="X119" s="128">
        <f t="shared" si="3"/>
        <v>119544.87807028573</v>
      </c>
      <c r="Y119" s="128">
        <f t="shared" si="3"/>
        <v>484575.69091642258</v>
      </c>
      <c r="Z119" s="128">
        <f t="shared" si="3"/>
        <v>940864.20697409357</v>
      </c>
      <c r="AA119" s="126">
        <f t="shared" si="3"/>
        <v>29886.219517571433</v>
      </c>
      <c r="AB119" s="126">
        <f t="shared" si="3"/>
        <v>121143.92272910564</v>
      </c>
      <c r="AC119" s="126">
        <f t="shared" si="3"/>
        <v>235216.05174352339</v>
      </c>
      <c r="AD119" s="115"/>
    </row>
    <row r="120" spans="1:30" x14ac:dyDescent="0.25">
      <c r="A120" s="94">
        <v>2066</v>
      </c>
      <c r="B120" s="139">
        <f>Paris_Inflow!B121-Paris_Outflow!B121+B119</f>
        <v>1206909.5937619053</v>
      </c>
      <c r="C120" s="139">
        <f>Paris_Inflow!C121-Paris_Outflow!C121+C119</f>
        <v>51261.462520119036</v>
      </c>
      <c r="D120" s="136">
        <f>Paris_Inflow!D121-Paris_Outflow!D121+D119</f>
        <v>10919.717983333336</v>
      </c>
      <c r="E120" s="136">
        <f>Paris_Inflow!E121-Paris_Outflow!E121+E119</f>
        <v>40341.744536785744</v>
      </c>
      <c r="F120" s="136">
        <f>Paris_Inflow!F121-Paris_Outflow!F121+F119</f>
        <v>3252.1233473363923</v>
      </c>
      <c r="G120" s="136">
        <f>Paris_Inflow!G121-Paris_Outflow!G121+G119</f>
        <v>2120.8207425004894</v>
      </c>
      <c r="H120" s="115"/>
      <c r="I120" s="131">
        <f>C120*Hypotheses!$D$19/1000</f>
        <v>0.30756877512071423</v>
      </c>
      <c r="J120" s="131">
        <f>C120*Hypotheses!$D$20/1000</f>
        <v>0.61513755024142847</v>
      </c>
      <c r="K120" s="131">
        <f>C120*Hypotheses!$D$21/1000</f>
        <v>1.2302751004828569</v>
      </c>
      <c r="L120" s="115"/>
      <c r="M120" s="128">
        <f>C120*Hypotheses!$D$31*Hypotheses!H85</f>
        <v>3075.6877512071424</v>
      </c>
      <c r="N120" s="128">
        <f>C120*Hypotheses!$D$31*Hypotheses!I85</f>
        <v>15378.436473394338</v>
      </c>
      <c r="O120" s="128">
        <f>C120*Hypotheses!$D$31*Hypotheses!J85</f>
        <v>30756.872376128333</v>
      </c>
      <c r="P120" s="126">
        <f>C120*Hypotheses!$D$30*Hypotheses!H85</f>
        <v>768.92193780178559</v>
      </c>
      <c r="Q120" s="126">
        <f>C120*Hypotheses!$D$30*Hypotheses!I85</f>
        <v>3844.6091183485846</v>
      </c>
      <c r="R120" s="126">
        <f>C120*Hypotheses!$D$30*Hypotheses!J85</f>
        <v>7689.2180940320832</v>
      </c>
      <c r="S120" s="115"/>
      <c r="T120" s="131">
        <f t="shared" si="0"/>
        <v>12.262056582149281</v>
      </c>
      <c r="U120" s="131">
        <f t="shared" si="0"/>
        <v>24.524113164298562</v>
      </c>
      <c r="V120" s="131">
        <f t="shared" si="0"/>
        <v>49.048226328597124</v>
      </c>
      <c r="W120" s="115"/>
      <c r="X120" s="128">
        <f t="shared" si="3"/>
        <v>122620.56582149287</v>
      </c>
      <c r="Y120" s="128">
        <f t="shared" si="3"/>
        <v>499954.12738981692</v>
      </c>
      <c r="Z120" s="128">
        <f t="shared" si="3"/>
        <v>971621.0793502219</v>
      </c>
      <c r="AA120" s="126">
        <f t="shared" si="3"/>
        <v>30655.141455373217</v>
      </c>
      <c r="AB120" s="126">
        <f t="shared" si="3"/>
        <v>124988.53184745423</v>
      </c>
      <c r="AC120" s="126">
        <f t="shared" si="3"/>
        <v>242905.26983755548</v>
      </c>
      <c r="AD120" s="115"/>
    </row>
    <row r="121" spans="1:30" x14ac:dyDescent="0.25">
      <c r="A121" s="94">
        <v>2067</v>
      </c>
      <c r="B121" s="139">
        <f>Paris_Inflow!B122-Paris_Outflow!B122+B120</f>
        <v>1206909.5937619053</v>
      </c>
      <c r="C121" s="139">
        <f>Paris_Inflow!C122-Paris_Outflow!C122+C120</f>
        <v>51261.462520119036</v>
      </c>
      <c r="D121" s="136">
        <f>Paris_Inflow!D122-Paris_Outflow!D122+D120</f>
        <v>10919.717983333336</v>
      </c>
      <c r="E121" s="136">
        <f>Paris_Inflow!E122-Paris_Outflow!E122+E120</f>
        <v>40341.744536785744</v>
      </c>
      <c r="F121" s="136">
        <f>Paris_Inflow!F122-Paris_Outflow!F122+F120</f>
        <v>3252.1233473363923</v>
      </c>
      <c r="G121" s="136">
        <f>Paris_Inflow!G122-Paris_Outflow!G122+G120</f>
        <v>2120.8207425004894</v>
      </c>
      <c r="H121" s="115"/>
      <c r="I121" s="131">
        <f>C121*Hypotheses!$D$19/1000</f>
        <v>0.30756877512071423</v>
      </c>
      <c r="J121" s="131">
        <f>C121*Hypotheses!$D$20/1000</f>
        <v>0.61513755024142847</v>
      </c>
      <c r="K121" s="131">
        <f>C121*Hypotheses!$D$21/1000</f>
        <v>1.2302751004828569</v>
      </c>
      <c r="L121" s="115"/>
      <c r="M121" s="128">
        <f>C121*Hypotheses!$D$31*Hypotheses!H86</f>
        <v>3075.6877512071424</v>
      </c>
      <c r="N121" s="128">
        <f>C121*Hypotheses!$D$31*Hypotheses!I86</f>
        <v>15378.437371543632</v>
      </c>
      <c r="O121" s="128">
        <f>C121*Hypotheses!$D$31*Hypotheses!J86</f>
        <v>30756.874396964246</v>
      </c>
      <c r="P121" s="126">
        <f>C121*Hypotheses!$D$30*Hypotheses!H86</f>
        <v>768.92193780178559</v>
      </c>
      <c r="Q121" s="126">
        <f>C121*Hypotheses!$D$30*Hypotheses!I86</f>
        <v>3844.6093428859081</v>
      </c>
      <c r="R121" s="126">
        <f>C121*Hypotheses!$D$30*Hypotheses!J86</f>
        <v>7689.2185992410614</v>
      </c>
      <c r="S121" s="115"/>
      <c r="T121" s="131">
        <f t="shared" si="0"/>
        <v>12.569625357269995</v>
      </c>
      <c r="U121" s="131">
        <f t="shared" si="0"/>
        <v>25.13925071453999</v>
      </c>
      <c r="V121" s="131">
        <f t="shared" si="0"/>
        <v>50.278501429079981</v>
      </c>
      <c r="W121" s="115"/>
      <c r="X121" s="128">
        <f t="shared" si="3"/>
        <v>125696.25357270001</v>
      </c>
      <c r="Y121" s="128">
        <f t="shared" si="3"/>
        <v>515332.56476136053</v>
      </c>
      <c r="Z121" s="128">
        <f t="shared" si="3"/>
        <v>1002377.9537471861</v>
      </c>
      <c r="AA121" s="126">
        <f t="shared" si="3"/>
        <v>31424.063393175002</v>
      </c>
      <c r="AB121" s="126">
        <f t="shared" si="3"/>
        <v>128833.14119034013</v>
      </c>
      <c r="AC121" s="126">
        <f t="shared" si="3"/>
        <v>250594.48843679653</v>
      </c>
      <c r="AD121" s="115"/>
    </row>
    <row r="122" spans="1:30" x14ac:dyDescent="0.25">
      <c r="A122" s="94">
        <v>2068</v>
      </c>
      <c r="B122" s="139">
        <f>Paris_Inflow!B123-Paris_Outflow!B123+B121</f>
        <v>1206909.5937619053</v>
      </c>
      <c r="C122" s="139">
        <f>Paris_Inflow!C123-Paris_Outflow!C123+C121</f>
        <v>51261.462520119036</v>
      </c>
      <c r="D122" s="136">
        <f>Paris_Inflow!D123-Paris_Outflow!D123+D121</f>
        <v>10919.717983333336</v>
      </c>
      <c r="E122" s="136">
        <f>Paris_Inflow!E123-Paris_Outflow!E123+E121</f>
        <v>40341.744536785744</v>
      </c>
      <c r="F122" s="136">
        <f>Paris_Inflow!F123-Paris_Outflow!F123+F121</f>
        <v>3252.1233473363923</v>
      </c>
      <c r="G122" s="136">
        <f>Paris_Inflow!G123-Paris_Outflow!G123+G121</f>
        <v>2120.8207425004894</v>
      </c>
      <c r="H122" s="115"/>
      <c r="I122" s="131">
        <f>C122*Hypotheses!$D$19/1000</f>
        <v>0.30756877512071423</v>
      </c>
      <c r="J122" s="131">
        <f>C122*Hypotheses!$D$20/1000</f>
        <v>0.61513755024142847</v>
      </c>
      <c r="K122" s="131">
        <f>C122*Hypotheses!$D$21/1000</f>
        <v>1.2302751004828569</v>
      </c>
      <c r="L122" s="115"/>
      <c r="M122" s="128">
        <f>C122*Hypotheses!$D$31*Hypotheses!H87</f>
        <v>3075.6877512071424</v>
      </c>
      <c r="N122" s="128">
        <f>C122*Hypotheses!$D$31*Hypotheses!I87</f>
        <v>15378.437916298783</v>
      </c>
      <c r="O122" s="128">
        <f>C122*Hypotheses!$D$31*Hypotheses!J87</f>
        <v>30756.875622663327</v>
      </c>
      <c r="P122" s="126">
        <f>C122*Hypotheses!$D$30*Hypotheses!H87</f>
        <v>768.92193780178559</v>
      </c>
      <c r="Q122" s="126">
        <f>C122*Hypotheses!$D$30*Hypotheses!I87</f>
        <v>3844.6094790746956</v>
      </c>
      <c r="R122" s="126">
        <f>C122*Hypotheses!$D$30*Hypotheses!J87</f>
        <v>7689.2189056658317</v>
      </c>
      <c r="S122" s="115"/>
      <c r="T122" s="131">
        <f t="shared" si="0"/>
        <v>12.877194132390709</v>
      </c>
      <c r="U122" s="131">
        <f t="shared" si="0"/>
        <v>25.754388264781419</v>
      </c>
      <c r="V122" s="131">
        <f t="shared" si="0"/>
        <v>51.508776529562837</v>
      </c>
      <c r="W122" s="115"/>
      <c r="X122" s="128">
        <f t="shared" si="3"/>
        <v>128771.94132390714</v>
      </c>
      <c r="Y122" s="128">
        <f t="shared" si="3"/>
        <v>530711.00267765927</v>
      </c>
      <c r="Z122" s="128">
        <f t="shared" si="3"/>
        <v>1033134.8293698494</v>
      </c>
      <c r="AA122" s="126">
        <f t="shared" si="3"/>
        <v>32192.985330976786</v>
      </c>
      <c r="AB122" s="126">
        <f t="shared" si="3"/>
        <v>132677.75066941482</v>
      </c>
      <c r="AC122" s="126">
        <f t="shared" si="3"/>
        <v>258283.70734246235</v>
      </c>
      <c r="AD122" s="115"/>
    </row>
    <row r="123" spans="1:30" x14ac:dyDescent="0.25">
      <c r="A123" s="94">
        <v>2069</v>
      </c>
      <c r="B123" s="139">
        <f>Paris_Inflow!B124-Paris_Outflow!B124+B122</f>
        <v>1206909.5937619053</v>
      </c>
      <c r="C123" s="139">
        <f>Paris_Inflow!C124-Paris_Outflow!C124+C122</f>
        <v>51261.462520119036</v>
      </c>
      <c r="D123" s="136">
        <f>Paris_Inflow!D124-Paris_Outflow!D124+D122</f>
        <v>10919.717983333336</v>
      </c>
      <c r="E123" s="136">
        <f>Paris_Inflow!E124-Paris_Outflow!E124+E122</f>
        <v>40341.744536785744</v>
      </c>
      <c r="F123" s="136">
        <f>Paris_Inflow!F124-Paris_Outflow!F124+F122</f>
        <v>3252.1233473363923</v>
      </c>
      <c r="G123" s="136">
        <f>Paris_Inflow!G124-Paris_Outflow!G124+G122</f>
        <v>2120.8207425004894</v>
      </c>
      <c r="H123" s="115"/>
      <c r="I123" s="131">
        <f>C123*Hypotheses!$D$19/1000</f>
        <v>0.30756877512071423</v>
      </c>
      <c r="J123" s="131">
        <f>C123*Hypotheses!$D$20/1000</f>
        <v>0.61513755024142847</v>
      </c>
      <c r="K123" s="131">
        <f>C123*Hypotheses!$D$21/1000</f>
        <v>1.2302751004828569</v>
      </c>
      <c r="L123" s="115"/>
      <c r="M123" s="128">
        <f>C123*Hypotheses!$D$31*Hypotheses!H88</f>
        <v>3075.6877512071424</v>
      </c>
      <c r="N123" s="128">
        <f>C123*Hypotheses!$D$31*Hypotheses!I88</f>
        <v>15378.4382467095</v>
      </c>
      <c r="O123" s="128">
        <f>C123*Hypotheses!$D$31*Hypotheses!J88</f>
        <v>30756.876366087447</v>
      </c>
      <c r="P123" s="126">
        <f>C123*Hypotheses!$D$30*Hypotheses!H88</f>
        <v>768.92193780178559</v>
      </c>
      <c r="Q123" s="126">
        <f>C123*Hypotheses!$D$30*Hypotheses!I88</f>
        <v>3844.609561677375</v>
      </c>
      <c r="R123" s="126">
        <f>C123*Hypotheses!$D$30*Hypotheses!J88</f>
        <v>7689.2190915218616</v>
      </c>
      <c r="S123" s="115"/>
      <c r="T123" s="131">
        <f t="shared" si="0"/>
        <v>13.184762907511423</v>
      </c>
      <c r="U123" s="131">
        <f t="shared" si="0"/>
        <v>26.369525815022847</v>
      </c>
      <c r="V123" s="131">
        <f t="shared" si="0"/>
        <v>52.739051630045694</v>
      </c>
      <c r="W123" s="115"/>
      <c r="X123" s="128">
        <f t="shared" si="3"/>
        <v>131847.6290751143</v>
      </c>
      <c r="Y123" s="128">
        <f t="shared" si="3"/>
        <v>546089.4409243688</v>
      </c>
      <c r="Z123" s="128">
        <f t="shared" si="3"/>
        <v>1063891.7057359368</v>
      </c>
      <c r="AA123" s="126">
        <f t="shared" si="3"/>
        <v>32961.907268778574</v>
      </c>
      <c r="AB123" s="126">
        <f t="shared" si="3"/>
        <v>136522.3602310922</v>
      </c>
      <c r="AC123" s="126">
        <f t="shared" si="3"/>
        <v>265972.92643398419</v>
      </c>
      <c r="AD123" s="115"/>
    </row>
    <row r="124" spans="1:30" x14ac:dyDescent="0.25">
      <c r="A124" s="94">
        <v>2070</v>
      </c>
      <c r="B124" s="139">
        <f>Paris_Inflow!B125-Paris_Outflow!B125+B123</f>
        <v>1206909.5937619053</v>
      </c>
      <c r="C124" s="139">
        <f>Paris_Inflow!C125-Paris_Outflow!C125+C123</f>
        <v>51261.462520119036</v>
      </c>
      <c r="D124" s="136">
        <f>Paris_Inflow!D125-Paris_Outflow!D125+D123</f>
        <v>10919.717983333336</v>
      </c>
      <c r="E124" s="136">
        <f>Paris_Inflow!E125-Paris_Outflow!E125+E123</f>
        <v>40341.744536785744</v>
      </c>
      <c r="F124" s="136">
        <f>Paris_Inflow!F125-Paris_Outflow!F125+F123</f>
        <v>3252.1233473363923</v>
      </c>
      <c r="G124" s="136">
        <f>Paris_Inflow!G125-Paris_Outflow!G125+G123</f>
        <v>2120.8207425004894</v>
      </c>
      <c r="H124" s="115"/>
      <c r="I124" s="131">
        <f>C124*Hypotheses!$D$19/1000</f>
        <v>0.30756877512071423</v>
      </c>
      <c r="J124" s="131">
        <f>C124*Hypotheses!$D$20/1000</f>
        <v>0.61513755024142847</v>
      </c>
      <c r="K124" s="131">
        <f>C124*Hypotheses!$D$21/1000</f>
        <v>1.2302751004828569</v>
      </c>
      <c r="L124" s="115"/>
      <c r="M124" s="128">
        <f>C124*Hypotheses!$D$31*Hypotheses!H89</f>
        <v>3075.6877512071424</v>
      </c>
      <c r="N124" s="128">
        <f>C124*Hypotheses!$D$31*Hypotheses!I89</f>
        <v>15378.438447113742</v>
      </c>
      <c r="O124" s="128">
        <f>C124*Hypotheses!$D$31*Hypotheses!J89</f>
        <v>30756.876816996995</v>
      </c>
      <c r="P124" s="126">
        <f>C124*Hypotheses!$D$30*Hypotheses!H89</f>
        <v>768.92193780178559</v>
      </c>
      <c r="Q124" s="126">
        <f>C124*Hypotheses!$D$30*Hypotheses!I89</f>
        <v>3844.6096117784355</v>
      </c>
      <c r="R124" s="126">
        <f>C124*Hypotheses!$D$30*Hypotheses!J89</f>
        <v>7689.2192042492488</v>
      </c>
      <c r="S124" s="115"/>
      <c r="T124" s="131">
        <f t="shared" si="0"/>
        <v>13.492331682632138</v>
      </c>
      <c r="U124" s="131">
        <f t="shared" si="0"/>
        <v>26.984663365264275</v>
      </c>
      <c r="V124" s="131">
        <f t="shared" si="0"/>
        <v>53.96932673052855</v>
      </c>
      <c r="W124" s="115"/>
      <c r="X124" s="128">
        <f t="shared" si="3"/>
        <v>134923.31682632145</v>
      </c>
      <c r="Y124" s="128">
        <f t="shared" si="3"/>
        <v>561467.87937148253</v>
      </c>
      <c r="Z124" s="128">
        <f t="shared" si="3"/>
        <v>1094648.5825529338</v>
      </c>
      <c r="AA124" s="126">
        <f t="shared" si="3"/>
        <v>33730.829206580362</v>
      </c>
      <c r="AB124" s="126">
        <f t="shared" si="3"/>
        <v>140366.96984287063</v>
      </c>
      <c r="AC124" s="126">
        <f t="shared" si="3"/>
        <v>273662.14563823346</v>
      </c>
      <c r="AD124" s="115"/>
    </row>
  </sheetData>
  <mergeCells count="5">
    <mergeCell ref="B1:G1"/>
    <mergeCell ref="I1:K1"/>
    <mergeCell ref="M1:R1"/>
    <mergeCell ref="T1:V1"/>
    <mergeCell ref="X1:A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54CF9-6D14-4A46-82DB-6E4385E66949}">
  <dimension ref="A1:AY126"/>
  <sheetViews>
    <sheetView zoomScale="70" zoomScaleNormal="7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9.140625" style="94"/>
    <col min="2" max="10" width="8.42578125" customWidth="1"/>
    <col min="22" max="23" width="10.7109375" style="250" customWidth="1"/>
    <col min="24" max="24" width="6" style="250" customWidth="1"/>
    <col min="25" max="27" width="10.7109375" style="250" customWidth="1"/>
    <col min="28" max="28" width="5.140625" style="250" customWidth="1"/>
    <col min="29" max="31" width="10.7109375" style="250" customWidth="1"/>
    <col min="32" max="32" width="4.85546875" style="225" customWidth="1"/>
    <col min="35" max="35" width="9.7109375" bestFit="1" customWidth="1"/>
    <col min="41" max="41" width="9.140625" style="225"/>
    <col min="42" max="47" width="13.5703125" customWidth="1"/>
    <col min="48" max="48" width="9.140625" style="225"/>
  </cols>
  <sheetData>
    <row r="1" spans="1:51" x14ac:dyDescent="0.25">
      <c r="B1" s="281" t="s">
        <v>253</v>
      </c>
      <c r="C1" s="281"/>
      <c r="D1" s="281"/>
      <c r="E1" s="281"/>
      <c r="F1" s="281"/>
      <c r="G1" s="281"/>
      <c r="H1" s="281"/>
      <c r="I1" s="281"/>
      <c r="J1" s="281"/>
      <c r="K1" s="281"/>
      <c r="L1" s="283" t="s">
        <v>299</v>
      </c>
      <c r="M1" s="283"/>
      <c r="N1" s="283"/>
      <c r="O1" s="283"/>
      <c r="P1" s="283"/>
      <c r="Q1" s="283"/>
      <c r="R1" s="283"/>
      <c r="S1" s="283"/>
      <c r="T1" s="283"/>
      <c r="U1" s="283"/>
      <c r="V1" s="279" t="s">
        <v>409</v>
      </c>
      <c r="W1" s="279"/>
      <c r="X1" s="279"/>
      <c r="Y1" s="279"/>
      <c r="Z1" s="279"/>
      <c r="AA1" s="279"/>
      <c r="AB1" s="279"/>
      <c r="AC1" s="279"/>
      <c r="AD1" s="279"/>
      <c r="AE1" s="279"/>
      <c r="AG1" s="285" t="s">
        <v>378</v>
      </c>
      <c r="AH1" s="285"/>
      <c r="AI1" s="285"/>
      <c r="AJ1" s="285"/>
      <c r="AK1" s="285"/>
      <c r="AL1" s="285"/>
      <c r="AM1" s="285"/>
      <c r="AN1" s="285"/>
      <c r="AP1" s="277" t="s">
        <v>273</v>
      </c>
      <c r="AQ1" s="277"/>
      <c r="AR1" s="277"/>
      <c r="AS1" s="277"/>
      <c r="AT1" s="277"/>
      <c r="AU1" s="277"/>
    </row>
    <row r="2" spans="1:51" x14ac:dyDescent="0.25">
      <c r="B2" s="282" t="s">
        <v>289</v>
      </c>
      <c r="C2" s="282"/>
      <c r="D2" s="282"/>
      <c r="E2" s="282"/>
      <c r="F2" s="282"/>
      <c r="G2" s="282"/>
      <c r="H2" s="282"/>
      <c r="I2" s="282"/>
      <c r="J2" s="282"/>
      <c r="K2" s="282"/>
      <c r="L2" s="284" t="s">
        <v>289</v>
      </c>
      <c r="M2" s="284"/>
      <c r="N2" s="284"/>
      <c r="O2" s="284"/>
      <c r="P2" s="284"/>
      <c r="Q2" s="284"/>
      <c r="R2" s="284"/>
      <c r="S2" s="284"/>
      <c r="T2" s="284"/>
      <c r="U2" s="284"/>
      <c r="V2" s="280" t="s">
        <v>289</v>
      </c>
      <c r="W2" s="280"/>
      <c r="X2" s="280"/>
      <c r="Y2" s="280"/>
      <c r="Z2" s="280"/>
      <c r="AA2" s="280"/>
      <c r="AB2" s="280"/>
      <c r="AC2" s="280"/>
      <c r="AD2" s="280"/>
      <c r="AE2" s="280"/>
      <c r="AG2" s="278" t="s">
        <v>355</v>
      </c>
      <c r="AH2" s="278"/>
      <c r="AI2" s="278"/>
      <c r="AJ2" s="278"/>
      <c r="AK2" s="278" t="s">
        <v>375</v>
      </c>
      <c r="AL2" s="278"/>
      <c r="AM2" s="278" t="s">
        <v>356</v>
      </c>
      <c r="AN2" s="278"/>
      <c r="AP2" s="278" t="s">
        <v>408</v>
      </c>
      <c r="AQ2" s="278"/>
      <c r="AR2" s="278"/>
      <c r="AS2" s="278"/>
      <c r="AT2" s="278"/>
      <c r="AU2" s="278"/>
      <c r="AW2" t="s">
        <v>407</v>
      </c>
    </row>
    <row r="3" spans="1:51" s="8" customFormat="1" ht="60" x14ac:dyDescent="0.25">
      <c r="A3" s="106"/>
      <c r="B3" s="160" t="s">
        <v>122</v>
      </c>
      <c r="C3" s="160"/>
      <c r="D3" s="169" t="s">
        <v>254</v>
      </c>
      <c r="E3" s="160"/>
      <c r="F3" s="169" t="s">
        <v>255</v>
      </c>
      <c r="G3" s="160"/>
      <c r="H3" s="169" t="s">
        <v>371</v>
      </c>
      <c r="I3" s="160"/>
      <c r="J3" s="169" t="s">
        <v>233</v>
      </c>
      <c r="K3" s="161"/>
      <c r="L3" s="164" t="s">
        <v>122</v>
      </c>
      <c r="M3" s="164"/>
      <c r="N3" s="164" t="s">
        <v>254</v>
      </c>
      <c r="O3" s="164"/>
      <c r="P3" s="164" t="s">
        <v>255</v>
      </c>
      <c r="Q3" s="164"/>
      <c r="R3" s="164" t="s">
        <v>371</v>
      </c>
      <c r="S3" s="164"/>
      <c r="T3" s="164" t="s">
        <v>233</v>
      </c>
      <c r="U3" s="165"/>
      <c r="V3" s="124" t="s">
        <v>410</v>
      </c>
      <c r="W3" s="124" t="s">
        <v>411</v>
      </c>
      <c r="X3" s="247"/>
      <c r="Y3" s="247" t="s">
        <v>412</v>
      </c>
      <c r="Z3" s="247" t="s">
        <v>413</v>
      </c>
      <c r="AA3" s="247" t="s">
        <v>414</v>
      </c>
      <c r="AB3" s="247"/>
      <c r="AC3" s="247" t="s">
        <v>415</v>
      </c>
      <c r="AD3" s="247" t="s">
        <v>416</v>
      </c>
      <c r="AE3" s="247" t="s">
        <v>417</v>
      </c>
      <c r="AF3" s="226"/>
      <c r="AG3" s="276" t="s">
        <v>357</v>
      </c>
      <c r="AH3" s="276"/>
      <c r="AI3" s="276" t="s">
        <v>358</v>
      </c>
      <c r="AJ3" s="276"/>
      <c r="AK3" s="205" t="s">
        <v>357</v>
      </c>
      <c r="AL3" s="205" t="s">
        <v>358</v>
      </c>
      <c r="AM3" s="205" t="s">
        <v>357</v>
      </c>
      <c r="AN3" s="205" t="s">
        <v>358</v>
      </c>
      <c r="AO3" s="226"/>
      <c r="AP3" s="217" t="s">
        <v>282</v>
      </c>
      <c r="AQ3" s="217" t="s">
        <v>286</v>
      </c>
      <c r="AR3" s="217" t="s">
        <v>287</v>
      </c>
      <c r="AS3" s="217" t="s">
        <v>274</v>
      </c>
      <c r="AT3" s="217" t="s">
        <v>276</v>
      </c>
      <c r="AU3" s="217" t="s">
        <v>275</v>
      </c>
      <c r="AV3" s="226"/>
      <c r="AW3" s="217" t="s">
        <v>274</v>
      </c>
      <c r="AX3" s="217" t="s">
        <v>276</v>
      </c>
      <c r="AY3" s="217" t="s">
        <v>275</v>
      </c>
    </row>
    <row r="4" spans="1:51" x14ac:dyDescent="0.25">
      <c r="A4" s="105"/>
      <c r="B4" s="170" t="s">
        <v>8</v>
      </c>
      <c r="C4" s="162" t="s">
        <v>308</v>
      </c>
      <c r="D4" s="170" t="s">
        <v>8</v>
      </c>
      <c r="E4" s="162" t="s">
        <v>308</v>
      </c>
      <c r="F4" s="170" t="s">
        <v>8</v>
      </c>
      <c r="G4" s="162" t="s">
        <v>308</v>
      </c>
      <c r="H4" s="170" t="s">
        <v>1</v>
      </c>
      <c r="I4" s="162" t="s">
        <v>308</v>
      </c>
      <c r="J4" s="170" t="s">
        <v>1</v>
      </c>
      <c r="K4" s="162" t="s">
        <v>308</v>
      </c>
      <c r="L4" s="166" t="s">
        <v>8</v>
      </c>
      <c r="M4" s="166" t="s">
        <v>308</v>
      </c>
      <c r="N4" s="166" t="s">
        <v>8</v>
      </c>
      <c r="O4" s="166" t="s">
        <v>308</v>
      </c>
      <c r="P4" s="166" t="s">
        <v>8</v>
      </c>
      <c r="Q4" s="166" t="s">
        <v>308</v>
      </c>
      <c r="R4" s="166" t="s">
        <v>1</v>
      </c>
      <c r="S4" s="166" t="s">
        <v>308</v>
      </c>
      <c r="T4" s="166" t="s">
        <v>1</v>
      </c>
      <c r="U4" s="166" t="s">
        <v>308</v>
      </c>
      <c r="V4" s="248" t="s">
        <v>8</v>
      </c>
      <c r="W4" s="248" t="s">
        <v>8</v>
      </c>
      <c r="X4" s="248"/>
      <c r="Y4" s="248" t="s">
        <v>8</v>
      </c>
      <c r="Z4" s="248" t="s">
        <v>8</v>
      </c>
      <c r="AA4" s="248" t="s">
        <v>8</v>
      </c>
      <c r="AC4" s="248" t="s">
        <v>8</v>
      </c>
      <c r="AD4" s="248" t="s">
        <v>8</v>
      </c>
      <c r="AE4" s="248" t="s">
        <v>8</v>
      </c>
      <c r="AG4" s="206" t="s">
        <v>7</v>
      </c>
      <c r="AH4" s="206" t="s">
        <v>8</v>
      </c>
      <c r="AI4" s="206" t="s">
        <v>7</v>
      </c>
      <c r="AJ4" s="206" t="s">
        <v>8</v>
      </c>
      <c r="AK4" s="206" t="s">
        <v>1</v>
      </c>
      <c r="AL4" s="206" t="s">
        <v>1</v>
      </c>
      <c r="AM4" s="206" t="s">
        <v>1</v>
      </c>
      <c r="AN4" s="206" t="s">
        <v>1</v>
      </c>
      <c r="AP4" s="216" t="s">
        <v>8</v>
      </c>
      <c r="AQ4" s="216" t="s">
        <v>8</v>
      </c>
      <c r="AR4" s="216" t="s">
        <v>8</v>
      </c>
      <c r="AS4" s="216" t="s">
        <v>8</v>
      </c>
      <c r="AT4" s="216" t="s">
        <v>8</v>
      </c>
      <c r="AU4" s="216" t="s">
        <v>8</v>
      </c>
      <c r="AW4" s="216" t="s">
        <v>8</v>
      </c>
      <c r="AX4" s="216" t="s">
        <v>8</v>
      </c>
      <c r="AY4" s="216" t="s">
        <v>8</v>
      </c>
    </row>
    <row r="5" spans="1:51" x14ac:dyDescent="0.25">
      <c r="A5" s="94">
        <v>1950</v>
      </c>
      <c r="B5" s="168" t="e">
        <f>IF(Paris_Inflow!C5=0,#N/A,Paris_Inflow!C5)</f>
        <v>#N/A</v>
      </c>
      <c r="C5" s="163" t="e">
        <v>#N/A</v>
      </c>
      <c r="D5" s="168" t="e">
        <f>IF(Paris_Inflow!D5=0,#N/A,Paris_Inflow!D5)</f>
        <v>#N/A</v>
      </c>
      <c r="E5" s="163" t="e">
        <v>#N/A</v>
      </c>
      <c r="F5" s="168" t="e">
        <f>IF(Paris_Inflow!E5=0,#N/A,Paris_Inflow!E5)</f>
        <v>#N/A</v>
      </c>
      <c r="G5" s="163" t="e">
        <v>#N/A</v>
      </c>
      <c r="H5" s="168" t="e">
        <f>IF(Paris_Inflow!F5=0,#N/A,Paris_Inflow!F5)</f>
        <v>#N/A</v>
      </c>
      <c r="I5" s="163" t="e">
        <v>#N/A</v>
      </c>
      <c r="J5" s="168" t="e">
        <f>IF(Paris_Inflow!G5=0,#N/A,Paris_Inflow!G5)</f>
        <v>#N/A</v>
      </c>
      <c r="K5" s="163" t="e">
        <v>#N/A</v>
      </c>
      <c r="L5" s="167" t="e">
        <f>IF(Paris_Outflow!C5=0,#N/A,Paris_Outflow!C5)</f>
        <v>#N/A</v>
      </c>
      <c r="M5" s="172" t="e">
        <v>#N/A</v>
      </c>
      <c r="N5" s="167" t="e">
        <f>IF(Paris_Outflow!D5=0,#N/A,Paris_Outflow!D5)</f>
        <v>#N/A</v>
      </c>
      <c r="O5" s="172" t="e">
        <v>#N/A</v>
      </c>
      <c r="P5" s="167" t="e">
        <f>IF(Paris_Outflow!E5=0,#N/A,Paris_Outflow!E5)</f>
        <v>#N/A</v>
      </c>
      <c r="Q5" s="172" t="e">
        <v>#N/A</v>
      </c>
      <c r="R5" s="167" t="e">
        <f>IF(Paris_Outflow!F5=0,#N/A,Paris_Outflow!F5)</f>
        <v>#N/A</v>
      </c>
      <c r="S5" s="172" t="e">
        <v>#N/A</v>
      </c>
      <c r="T5" s="167" t="e">
        <f>IF(Paris_Outflow!G5=0,#N/A,Paris_Outflow!G5)</f>
        <v>#N/A</v>
      </c>
      <c r="U5" s="172" t="e">
        <v>#N/A</v>
      </c>
      <c r="V5" s="252" t="e">
        <f>IF(Paris_Inflow!O5=0,#N/A,Paris_Inflow!O5)</f>
        <v>#N/A</v>
      </c>
      <c r="W5" s="252" t="e">
        <f>IF(Paris_Inflow!P5=0,#N/A,Paris_Inflow!P5)</f>
        <v>#N/A</v>
      </c>
      <c r="X5" s="249"/>
      <c r="Y5" s="249" t="e">
        <f>IF(Paris_Inflow!W5=0,#N/A,Paris_Inflow!W5)</f>
        <v>#N/A</v>
      </c>
      <c r="Z5" s="249" t="e">
        <f>IF(Paris_Inflow!X5=0,#N/A,Paris_Inflow!X5)</f>
        <v>#N/A</v>
      </c>
      <c r="AA5" s="249" t="e">
        <f>IF(Paris_Inflow!Y5=0,#N/A,Paris_Inflow!Y5)</f>
        <v>#N/A</v>
      </c>
      <c r="AB5" s="249"/>
      <c r="AC5" s="249" t="e">
        <f>IF(Paris_Inflow!AA5=0,#N/A,(Paris_Inflow!AA5+Paris_Inflow!AE5)/2)</f>
        <v>#N/A</v>
      </c>
      <c r="AD5" s="249" t="e">
        <f>IF(Paris_Inflow!AB5=0,#N/A,(Paris_Inflow!AB5+Paris_Inflow!AF5)/2)</f>
        <v>#N/A</v>
      </c>
      <c r="AE5" s="249" t="e">
        <f>IF(Paris_Inflow!AC5=0,#N/A,(Paris_Inflow!AC5+Paris_Inflow!AG5)/2)</f>
        <v>#N/A</v>
      </c>
      <c r="AF5" s="227"/>
      <c r="AG5" s="207"/>
      <c r="AH5" s="207"/>
      <c r="AI5" s="207"/>
      <c r="AJ5" s="207"/>
      <c r="AK5" s="204"/>
      <c r="AL5" s="204"/>
      <c r="AM5" s="204"/>
      <c r="AN5" s="204"/>
      <c r="AO5" s="227"/>
      <c r="AP5" s="204"/>
      <c r="AQ5" s="204"/>
      <c r="AR5" s="204"/>
      <c r="AS5" s="204"/>
      <c r="AT5" s="204"/>
      <c r="AU5" s="204"/>
      <c r="AV5" s="227"/>
    </row>
    <row r="6" spans="1:51" x14ac:dyDescent="0.25">
      <c r="A6" s="94">
        <v>1951</v>
      </c>
      <c r="B6" s="168" t="e">
        <f>IF(Paris_Inflow!C6=0,#N/A,Paris_Inflow!C6)</f>
        <v>#N/A</v>
      </c>
      <c r="C6" s="163" t="e">
        <v>#N/A</v>
      </c>
      <c r="D6" s="168" t="e">
        <f>IF(Paris_Inflow!D6=0,#N/A,Paris_Inflow!D6)</f>
        <v>#N/A</v>
      </c>
      <c r="E6" s="163" t="e">
        <v>#N/A</v>
      </c>
      <c r="F6" s="168" t="e">
        <f>IF(Paris_Inflow!E6=0,#N/A,Paris_Inflow!E6)</f>
        <v>#N/A</v>
      </c>
      <c r="G6" s="163" t="e">
        <v>#N/A</v>
      </c>
      <c r="H6" s="168" t="e">
        <f>IF(Paris_Inflow!F6=0,#N/A,Paris_Inflow!F6)</f>
        <v>#N/A</v>
      </c>
      <c r="I6" s="163" t="e">
        <v>#N/A</v>
      </c>
      <c r="J6" s="168" t="e">
        <f>IF(Paris_Inflow!G6=0,#N/A,Paris_Inflow!G6)</f>
        <v>#N/A</v>
      </c>
      <c r="K6" s="163" t="e">
        <v>#N/A</v>
      </c>
      <c r="L6" s="167" t="e">
        <f>IF(Paris_Outflow!C6=0,#N/A,Paris_Outflow!C6)</f>
        <v>#N/A</v>
      </c>
      <c r="M6" s="172" t="e">
        <v>#N/A</v>
      </c>
      <c r="N6" s="167" t="e">
        <f>IF(Paris_Outflow!D6=0,#N/A,Paris_Outflow!D6)</f>
        <v>#N/A</v>
      </c>
      <c r="O6" s="172" t="e">
        <v>#N/A</v>
      </c>
      <c r="P6" s="167" t="e">
        <f>IF(Paris_Outflow!E6=0,#N/A,Paris_Outflow!E6)</f>
        <v>#N/A</v>
      </c>
      <c r="Q6" s="172" t="e">
        <v>#N/A</v>
      </c>
      <c r="R6" s="167" t="e">
        <f>IF(Paris_Outflow!F6=0,#N/A,Paris_Outflow!F6)</f>
        <v>#N/A</v>
      </c>
      <c r="S6" s="172" t="e">
        <v>#N/A</v>
      </c>
      <c r="T6" s="167" t="e">
        <f>IF(Paris_Outflow!G6=0,#N/A,Paris_Outflow!G6)</f>
        <v>#N/A</v>
      </c>
      <c r="U6" s="172" t="e">
        <v>#N/A</v>
      </c>
      <c r="V6" s="252" t="e">
        <f>IF(Paris_Inflow!O6=0,#N/A,Paris_Inflow!O6)</f>
        <v>#N/A</v>
      </c>
      <c r="W6" s="252" t="e">
        <f>IF(Paris_Inflow!P6=0,#N/A,Paris_Inflow!P6)</f>
        <v>#N/A</v>
      </c>
      <c r="X6" s="249"/>
      <c r="Y6" s="249" t="e">
        <f>IF(Paris_Inflow!W6=0,#N/A,Paris_Inflow!W6)</f>
        <v>#N/A</v>
      </c>
      <c r="Z6" s="249" t="e">
        <f>IF(Paris_Inflow!X6=0,#N/A,Paris_Inflow!X6)</f>
        <v>#N/A</v>
      </c>
      <c r="AA6" s="249" t="e">
        <f>IF(Paris_Inflow!Y6=0,#N/A,Paris_Inflow!Y6)</f>
        <v>#N/A</v>
      </c>
      <c r="AB6" s="249"/>
      <c r="AC6" s="249" t="e">
        <f>IF(Paris_Inflow!AA6=0,#N/A,(Paris_Inflow!AA6+Paris_Inflow!AE6)/2)</f>
        <v>#N/A</v>
      </c>
      <c r="AD6" s="249" t="e">
        <f>IF(Paris_Inflow!AB6=0,#N/A,(Paris_Inflow!AB6+Paris_Inflow!AF6)/2)</f>
        <v>#N/A</v>
      </c>
      <c r="AE6" s="249" t="e">
        <f>IF(Paris_Inflow!AC6=0,#N/A,(Paris_Inflow!AC6+Paris_Inflow!AG6)/2)</f>
        <v>#N/A</v>
      </c>
      <c r="AF6" s="227"/>
      <c r="AG6" s="204"/>
      <c r="AH6" s="204"/>
      <c r="AI6" s="207"/>
      <c r="AJ6" s="207"/>
      <c r="AK6" s="204"/>
      <c r="AL6" s="204"/>
      <c r="AM6" s="204"/>
      <c r="AN6" s="204"/>
      <c r="AO6" s="227"/>
      <c r="AP6" s="204"/>
      <c r="AQ6" s="204"/>
      <c r="AR6" s="204"/>
      <c r="AS6" s="204"/>
      <c r="AT6" s="204"/>
      <c r="AU6" s="204"/>
      <c r="AV6" s="227"/>
    </row>
    <row r="7" spans="1:51" x14ac:dyDescent="0.25">
      <c r="A7" s="94">
        <v>1952</v>
      </c>
      <c r="B7" s="168" t="e">
        <f>IF(Paris_Inflow!C7=0,#N/A,Paris_Inflow!C7)</f>
        <v>#N/A</v>
      </c>
      <c r="C7" s="163" t="e">
        <v>#N/A</v>
      </c>
      <c r="D7" s="168" t="e">
        <f>IF(Paris_Inflow!D7=0,#N/A,Paris_Inflow!D7)</f>
        <v>#N/A</v>
      </c>
      <c r="E7" s="163" t="e">
        <v>#N/A</v>
      </c>
      <c r="F7" s="168" t="e">
        <f>IF(Paris_Inflow!E7=0,#N/A,Paris_Inflow!E7)</f>
        <v>#N/A</v>
      </c>
      <c r="G7" s="163" t="e">
        <v>#N/A</v>
      </c>
      <c r="H7" s="168" t="e">
        <f>IF(Paris_Inflow!F7=0,#N/A,Paris_Inflow!F7)</f>
        <v>#N/A</v>
      </c>
      <c r="I7" s="163" t="e">
        <v>#N/A</v>
      </c>
      <c r="J7" s="168" t="e">
        <f>IF(Paris_Inflow!G7=0,#N/A,Paris_Inflow!G7)</f>
        <v>#N/A</v>
      </c>
      <c r="K7" s="163" t="e">
        <v>#N/A</v>
      </c>
      <c r="L7" s="167" t="e">
        <f>IF(Paris_Outflow!C7=0,#N/A,Paris_Outflow!C7)</f>
        <v>#N/A</v>
      </c>
      <c r="M7" s="172" t="e">
        <v>#N/A</v>
      </c>
      <c r="N7" s="167" t="e">
        <f>IF(Paris_Outflow!D7=0,#N/A,Paris_Outflow!D7)</f>
        <v>#N/A</v>
      </c>
      <c r="O7" s="172" t="e">
        <v>#N/A</v>
      </c>
      <c r="P7" s="167" t="e">
        <f>IF(Paris_Outflow!E7=0,#N/A,Paris_Outflow!E7)</f>
        <v>#N/A</v>
      </c>
      <c r="Q7" s="172" t="e">
        <v>#N/A</v>
      </c>
      <c r="R7" s="167" t="e">
        <f>IF(Paris_Outflow!F7=0,#N/A,Paris_Outflow!F7)</f>
        <v>#N/A</v>
      </c>
      <c r="S7" s="172" t="e">
        <v>#N/A</v>
      </c>
      <c r="T7" s="167" t="e">
        <f>IF(Paris_Outflow!G7=0,#N/A,Paris_Outflow!G7)</f>
        <v>#N/A</v>
      </c>
      <c r="U7" s="172" t="e">
        <v>#N/A</v>
      </c>
      <c r="V7" s="252" t="e">
        <f>IF(Paris_Inflow!O7=0,#N/A,Paris_Inflow!O7)</f>
        <v>#N/A</v>
      </c>
      <c r="W7" s="252" t="e">
        <f>IF(Paris_Inflow!P7=0,#N/A,Paris_Inflow!P7)</f>
        <v>#N/A</v>
      </c>
      <c r="X7" s="249"/>
      <c r="Y7" s="249" t="e">
        <f>IF(Paris_Inflow!W7=0,#N/A,Paris_Inflow!W7)</f>
        <v>#N/A</v>
      </c>
      <c r="Z7" s="249" t="e">
        <f>IF(Paris_Inflow!X7=0,#N/A,Paris_Inflow!X7)</f>
        <v>#N/A</v>
      </c>
      <c r="AA7" s="249" t="e">
        <f>IF(Paris_Inflow!Y7=0,#N/A,Paris_Inflow!Y7)</f>
        <v>#N/A</v>
      </c>
      <c r="AB7" s="249"/>
      <c r="AC7" s="249" t="e">
        <f>IF(Paris_Inflow!AA7=0,#N/A,(Paris_Inflow!AA7+Paris_Inflow!AE7)/2)</f>
        <v>#N/A</v>
      </c>
      <c r="AD7" s="249" t="e">
        <f>IF(Paris_Inflow!AB7=0,#N/A,(Paris_Inflow!AB7+Paris_Inflow!AF7)/2)</f>
        <v>#N/A</v>
      </c>
      <c r="AE7" s="249" t="e">
        <f>IF(Paris_Inflow!AC7=0,#N/A,(Paris_Inflow!AC7+Paris_Inflow!AG7)/2)</f>
        <v>#N/A</v>
      </c>
      <c r="AF7" s="227"/>
      <c r="AG7" s="204"/>
      <c r="AH7" s="204"/>
      <c r="AI7" s="207"/>
      <c r="AJ7" s="207"/>
      <c r="AK7" s="204"/>
      <c r="AL7" s="204"/>
      <c r="AM7" s="204"/>
      <c r="AN7" s="204"/>
      <c r="AO7" s="227"/>
      <c r="AP7" s="204"/>
      <c r="AQ7" s="204"/>
      <c r="AR7" s="204"/>
      <c r="AS7" s="204"/>
      <c r="AT7" s="204"/>
      <c r="AU7" s="204"/>
      <c r="AV7" s="227"/>
    </row>
    <row r="8" spans="1:51" x14ac:dyDescent="0.25">
      <c r="A8" s="94">
        <v>1953</v>
      </c>
      <c r="B8" s="168" t="e">
        <f>IF(Paris_Inflow!C8=0,#N/A,Paris_Inflow!C8)</f>
        <v>#N/A</v>
      </c>
      <c r="C8" s="163" t="e">
        <v>#N/A</v>
      </c>
      <c r="D8" s="168" t="e">
        <f>IF(Paris_Inflow!D8=0,#N/A,Paris_Inflow!D8)</f>
        <v>#N/A</v>
      </c>
      <c r="E8" s="163" t="e">
        <v>#N/A</v>
      </c>
      <c r="F8" s="168" t="e">
        <f>IF(Paris_Inflow!E8=0,#N/A,Paris_Inflow!E8)</f>
        <v>#N/A</v>
      </c>
      <c r="G8" s="163" t="e">
        <v>#N/A</v>
      </c>
      <c r="H8" s="168" t="e">
        <f>IF(Paris_Inflow!F8=0,#N/A,Paris_Inflow!F8)</f>
        <v>#N/A</v>
      </c>
      <c r="I8" s="163" t="e">
        <v>#N/A</v>
      </c>
      <c r="J8" s="168" t="e">
        <f>IF(Paris_Inflow!G8=0,#N/A,Paris_Inflow!G8)</f>
        <v>#N/A</v>
      </c>
      <c r="K8" s="163" t="e">
        <v>#N/A</v>
      </c>
      <c r="L8" s="167" t="e">
        <f>IF(Paris_Outflow!C8=0,#N/A,Paris_Outflow!C8)</f>
        <v>#N/A</v>
      </c>
      <c r="M8" s="172" t="e">
        <v>#N/A</v>
      </c>
      <c r="N8" s="167" t="e">
        <f>IF(Paris_Outflow!D8=0,#N/A,Paris_Outflow!D8)</f>
        <v>#N/A</v>
      </c>
      <c r="O8" s="172" t="e">
        <v>#N/A</v>
      </c>
      <c r="P8" s="167" t="e">
        <f>IF(Paris_Outflow!E8=0,#N/A,Paris_Outflow!E8)</f>
        <v>#N/A</v>
      </c>
      <c r="Q8" s="172" t="e">
        <v>#N/A</v>
      </c>
      <c r="R8" s="167" t="e">
        <f>IF(Paris_Outflow!F8=0,#N/A,Paris_Outflow!F8)</f>
        <v>#N/A</v>
      </c>
      <c r="S8" s="172" t="e">
        <v>#N/A</v>
      </c>
      <c r="T8" s="167" t="e">
        <f>IF(Paris_Outflow!G8=0,#N/A,Paris_Outflow!G8)</f>
        <v>#N/A</v>
      </c>
      <c r="U8" s="172" t="e">
        <v>#N/A</v>
      </c>
      <c r="V8" s="252" t="e">
        <f>IF(Paris_Inflow!O8=0,#N/A,Paris_Inflow!O8)</f>
        <v>#N/A</v>
      </c>
      <c r="W8" s="252" t="e">
        <f>IF(Paris_Inflow!P8=0,#N/A,Paris_Inflow!P8)</f>
        <v>#N/A</v>
      </c>
      <c r="X8" s="249"/>
      <c r="Y8" s="249" t="e">
        <f>IF(Paris_Inflow!W8=0,#N/A,Paris_Inflow!W8)</f>
        <v>#N/A</v>
      </c>
      <c r="Z8" s="249" t="e">
        <f>IF(Paris_Inflow!X8=0,#N/A,Paris_Inflow!X8)</f>
        <v>#N/A</v>
      </c>
      <c r="AA8" s="249" t="e">
        <f>IF(Paris_Inflow!Y8=0,#N/A,Paris_Inflow!Y8)</f>
        <v>#N/A</v>
      </c>
      <c r="AB8" s="249"/>
      <c r="AC8" s="249" t="e">
        <f>IF(Paris_Inflow!AA8=0,#N/A,(Paris_Inflow!AA8+Paris_Inflow!AE8)/2)</f>
        <v>#N/A</v>
      </c>
      <c r="AD8" s="249" t="e">
        <f>IF(Paris_Inflow!AB8=0,#N/A,(Paris_Inflow!AB8+Paris_Inflow!AF8)/2)</f>
        <v>#N/A</v>
      </c>
      <c r="AE8" s="249" t="e">
        <f>IF(Paris_Inflow!AC8=0,#N/A,(Paris_Inflow!AC8+Paris_Inflow!AG8)/2)</f>
        <v>#N/A</v>
      </c>
      <c r="AF8" s="227"/>
      <c r="AG8" s="207"/>
      <c r="AH8" s="207"/>
      <c r="AI8" s="207"/>
      <c r="AJ8" s="207"/>
      <c r="AK8" s="204"/>
      <c r="AL8" s="204"/>
      <c r="AM8" s="204"/>
      <c r="AN8" s="204"/>
      <c r="AO8" s="227"/>
      <c r="AP8" s="204"/>
      <c r="AQ8" s="204"/>
      <c r="AR8" s="204"/>
      <c r="AS8" s="204"/>
      <c r="AT8" s="204"/>
      <c r="AU8" s="204"/>
      <c r="AV8" s="227"/>
    </row>
    <row r="9" spans="1:51" x14ac:dyDescent="0.25">
      <c r="A9" s="94">
        <v>1954</v>
      </c>
      <c r="B9" s="168" t="e">
        <f>IF(Paris_Inflow!C9=0,#N/A,Paris_Inflow!C9)</f>
        <v>#N/A</v>
      </c>
      <c r="C9" s="163" t="e">
        <v>#N/A</v>
      </c>
      <c r="D9" s="168" t="e">
        <f>IF(Paris_Inflow!D9=0,#N/A,Paris_Inflow!D9)</f>
        <v>#N/A</v>
      </c>
      <c r="E9" s="163" t="e">
        <v>#N/A</v>
      </c>
      <c r="F9" s="168" t="e">
        <f>IF(Paris_Inflow!E9=0,#N/A,Paris_Inflow!E9)</f>
        <v>#N/A</v>
      </c>
      <c r="G9" s="163" t="e">
        <v>#N/A</v>
      </c>
      <c r="H9" s="168" t="e">
        <f>IF(Paris_Inflow!F9=0,#N/A,Paris_Inflow!F9)</f>
        <v>#N/A</v>
      </c>
      <c r="I9" s="163" t="e">
        <v>#N/A</v>
      </c>
      <c r="J9" s="168" t="e">
        <f>IF(Paris_Inflow!G9=0,#N/A,Paris_Inflow!G9)</f>
        <v>#N/A</v>
      </c>
      <c r="K9" s="163" t="e">
        <v>#N/A</v>
      </c>
      <c r="L9" s="167" t="e">
        <f>IF(Paris_Outflow!C9=0,#N/A,Paris_Outflow!C9)</f>
        <v>#N/A</v>
      </c>
      <c r="M9" s="172" t="e">
        <v>#N/A</v>
      </c>
      <c r="N9" s="167" t="e">
        <f>IF(Paris_Outflow!D9=0,#N/A,Paris_Outflow!D9)</f>
        <v>#N/A</v>
      </c>
      <c r="O9" s="172" t="e">
        <v>#N/A</v>
      </c>
      <c r="P9" s="167" t="e">
        <f>IF(Paris_Outflow!E9=0,#N/A,Paris_Outflow!E9)</f>
        <v>#N/A</v>
      </c>
      <c r="Q9" s="172" t="e">
        <v>#N/A</v>
      </c>
      <c r="R9" s="167" t="e">
        <f>IF(Paris_Outflow!F9=0,#N/A,Paris_Outflow!F9)</f>
        <v>#N/A</v>
      </c>
      <c r="S9" s="172" t="e">
        <v>#N/A</v>
      </c>
      <c r="T9" s="167" t="e">
        <f>IF(Paris_Outflow!G9=0,#N/A,Paris_Outflow!G9)</f>
        <v>#N/A</v>
      </c>
      <c r="U9" s="172" t="e">
        <v>#N/A</v>
      </c>
      <c r="V9" s="252" t="e">
        <f>IF(Paris_Inflow!O9=0,#N/A,Paris_Inflow!O9)</f>
        <v>#N/A</v>
      </c>
      <c r="W9" s="252" t="e">
        <f>IF(Paris_Inflow!P9=0,#N/A,Paris_Inflow!P9)</f>
        <v>#N/A</v>
      </c>
      <c r="X9" s="249"/>
      <c r="Y9" s="249" t="e">
        <f>IF(Paris_Inflow!W9=0,#N/A,Paris_Inflow!W9)</f>
        <v>#N/A</v>
      </c>
      <c r="Z9" s="249" t="e">
        <f>IF(Paris_Inflow!X9=0,#N/A,Paris_Inflow!X9)</f>
        <v>#N/A</v>
      </c>
      <c r="AA9" s="249" t="e">
        <f>IF(Paris_Inflow!Y9=0,#N/A,Paris_Inflow!Y9)</f>
        <v>#N/A</v>
      </c>
      <c r="AB9" s="249"/>
      <c r="AC9" s="249" t="e">
        <f>IF(Paris_Inflow!AA9=0,#N/A,(Paris_Inflow!AA9+Paris_Inflow!AE9)/2)</f>
        <v>#N/A</v>
      </c>
      <c r="AD9" s="249" t="e">
        <f>IF(Paris_Inflow!AB9=0,#N/A,(Paris_Inflow!AB9+Paris_Inflow!AF9)/2)</f>
        <v>#N/A</v>
      </c>
      <c r="AE9" s="249" t="e">
        <f>IF(Paris_Inflow!AC9=0,#N/A,(Paris_Inflow!AC9+Paris_Inflow!AG9)/2)</f>
        <v>#N/A</v>
      </c>
      <c r="AF9" s="227"/>
      <c r="AG9" s="204"/>
      <c r="AH9" s="204"/>
      <c r="AI9" s="207"/>
      <c r="AJ9" s="207"/>
      <c r="AK9" s="204"/>
      <c r="AL9" s="204"/>
      <c r="AM9" s="204"/>
      <c r="AN9" s="204"/>
      <c r="AO9" s="227"/>
      <c r="AP9" s="204"/>
      <c r="AQ9" s="204"/>
      <c r="AR9" s="204"/>
      <c r="AS9" s="204"/>
      <c r="AT9" s="204"/>
      <c r="AU9" s="204"/>
      <c r="AV9" s="227"/>
    </row>
    <row r="10" spans="1:51" x14ac:dyDescent="0.25">
      <c r="A10" s="94">
        <v>1955</v>
      </c>
      <c r="B10" s="168" t="e">
        <f>IF(Paris_Inflow!C10=0,#N/A,Paris_Inflow!C10)</f>
        <v>#N/A</v>
      </c>
      <c r="C10" s="163" t="e">
        <v>#N/A</v>
      </c>
      <c r="D10" s="168" t="e">
        <f>IF(Paris_Inflow!D10=0,#N/A,Paris_Inflow!D10)</f>
        <v>#N/A</v>
      </c>
      <c r="E10" s="163" t="e">
        <v>#N/A</v>
      </c>
      <c r="F10" s="168" t="e">
        <f>IF(Paris_Inflow!E10=0,#N/A,Paris_Inflow!E10)</f>
        <v>#N/A</v>
      </c>
      <c r="G10" s="163" t="e">
        <v>#N/A</v>
      </c>
      <c r="H10" s="168" t="e">
        <f>IF(Paris_Inflow!F10=0,#N/A,Paris_Inflow!F10)</f>
        <v>#N/A</v>
      </c>
      <c r="I10" s="163" t="e">
        <v>#N/A</v>
      </c>
      <c r="J10" s="168" t="e">
        <f>IF(Paris_Inflow!G10=0,#N/A,Paris_Inflow!G10)</f>
        <v>#N/A</v>
      </c>
      <c r="K10" s="163" t="e">
        <v>#N/A</v>
      </c>
      <c r="L10" s="167" t="e">
        <f>IF(Paris_Outflow!C10=0,#N/A,Paris_Outflow!C10)</f>
        <v>#N/A</v>
      </c>
      <c r="M10" s="172" t="e">
        <v>#N/A</v>
      </c>
      <c r="N10" s="167" t="e">
        <f>IF(Paris_Outflow!D10=0,#N/A,Paris_Outflow!D10)</f>
        <v>#N/A</v>
      </c>
      <c r="O10" s="172" t="e">
        <v>#N/A</v>
      </c>
      <c r="P10" s="167" t="e">
        <f>IF(Paris_Outflow!E10=0,#N/A,Paris_Outflow!E10)</f>
        <v>#N/A</v>
      </c>
      <c r="Q10" s="172" t="e">
        <v>#N/A</v>
      </c>
      <c r="R10" s="167" t="e">
        <f>IF(Paris_Outflow!F10=0,#N/A,Paris_Outflow!F10)</f>
        <v>#N/A</v>
      </c>
      <c r="S10" s="172" t="e">
        <v>#N/A</v>
      </c>
      <c r="T10" s="167" t="e">
        <f>IF(Paris_Outflow!G10=0,#N/A,Paris_Outflow!G10)</f>
        <v>#N/A</v>
      </c>
      <c r="U10" s="172" t="e">
        <v>#N/A</v>
      </c>
      <c r="V10" s="252" t="e">
        <f>IF(Paris_Inflow!O10=0,#N/A,Paris_Inflow!O10)</f>
        <v>#N/A</v>
      </c>
      <c r="W10" s="252" t="e">
        <f>IF(Paris_Inflow!P10=0,#N/A,Paris_Inflow!P10)</f>
        <v>#N/A</v>
      </c>
      <c r="X10" s="249"/>
      <c r="Y10" s="249" t="e">
        <f>IF(Paris_Inflow!W10=0,#N/A,Paris_Inflow!W10)</f>
        <v>#N/A</v>
      </c>
      <c r="Z10" s="249" t="e">
        <f>IF(Paris_Inflow!X10=0,#N/A,Paris_Inflow!X10)</f>
        <v>#N/A</v>
      </c>
      <c r="AA10" s="249" t="e">
        <f>IF(Paris_Inflow!Y10=0,#N/A,Paris_Inflow!Y10)</f>
        <v>#N/A</v>
      </c>
      <c r="AB10" s="249"/>
      <c r="AC10" s="249" t="e">
        <f>IF(Paris_Inflow!AA10=0,#N/A,(Paris_Inflow!AA10+Paris_Inflow!AE10)/2)</f>
        <v>#N/A</v>
      </c>
      <c r="AD10" s="249" t="e">
        <f>IF(Paris_Inflow!AB10=0,#N/A,(Paris_Inflow!AB10+Paris_Inflow!AF10)/2)</f>
        <v>#N/A</v>
      </c>
      <c r="AE10" s="249" t="e">
        <f>IF(Paris_Inflow!AC10=0,#N/A,(Paris_Inflow!AC10+Paris_Inflow!AG10)/2)</f>
        <v>#N/A</v>
      </c>
      <c r="AG10" s="208">
        <f>AVERAGE(Paris_Inflow!B10:B19)</f>
        <v>6335.46</v>
      </c>
      <c r="AH10" s="208">
        <f>AVERAGE(Paris_Inflow!C10:C19)</f>
        <v>133.02045000000001</v>
      </c>
      <c r="AI10" s="207">
        <f>AVERAGE(Paris_Outflow!B10:B19)</f>
        <v>0</v>
      </c>
      <c r="AJ10" s="207">
        <f>AVERAGE(Paris_Outflow!C10:C19)</f>
        <v>0</v>
      </c>
      <c r="AK10" s="208">
        <f>AVERAGE(Paris_Inflow!F10:F19)</f>
        <v>10.580648</v>
      </c>
      <c r="AL10" s="207">
        <f>AVERAGE(Paris_Outflow!F10:F19)</f>
        <v>0</v>
      </c>
      <c r="AM10" s="208">
        <f>AVERAGE(Paris_Inflow!G10:G19)</f>
        <v>0</v>
      </c>
      <c r="AN10" s="207">
        <f>AVERAGE(Paris_Outflow!G10:G19)</f>
        <v>0</v>
      </c>
      <c r="AP10" s="204"/>
      <c r="AQ10" s="204"/>
      <c r="AR10" s="204"/>
      <c r="AS10" s="204"/>
      <c r="AT10" s="204"/>
      <c r="AU10" s="204"/>
    </row>
    <row r="11" spans="1:51" x14ac:dyDescent="0.25">
      <c r="A11" s="94">
        <v>1956</v>
      </c>
      <c r="B11" s="168" t="e">
        <f>IF(Paris_Inflow!C11=0,#N/A,Paris_Inflow!C11)</f>
        <v>#N/A</v>
      </c>
      <c r="C11" s="163" t="e">
        <v>#N/A</v>
      </c>
      <c r="D11" s="168" t="e">
        <f>IF(Paris_Inflow!D11=0,#N/A,Paris_Inflow!D11)</f>
        <v>#N/A</v>
      </c>
      <c r="E11" s="163" t="e">
        <v>#N/A</v>
      </c>
      <c r="F11" s="168" t="e">
        <f>IF(Paris_Inflow!E11=0,#N/A,Paris_Inflow!E11)</f>
        <v>#N/A</v>
      </c>
      <c r="G11" s="163" t="e">
        <v>#N/A</v>
      </c>
      <c r="H11" s="168" t="e">
        <f>IF(Paris_Inflow!F11=0,#N/A,Paris_Inflow!F11)</f>
        <v>#N/A</v>
      </c>
      <c r="I11" s="163" t="e">
        <v>#N/A</v>
      </c>
      <c r="J11" s="168" t="e">
        <f>IF(Paris_Inflow!G11=0,#N/A,Paris_Inflow!G11)</f>
        <v>#N/A</v>
      </c>
      <c r="K11" s="163" t="e">
        <v>#N/A</v>
      </c>
      <c r="L11" s="167" t="e">
        <f>IF(Paris_Outflow!C11=0,#N/A,Paris_Outflow!C11)</f>
        <v>#N/A</v>
      </c>
      <c r="M11" s="172" t="e">
        <v>#N/A</v>
      </c>
      <c r="N11" s="167" t="e">
        <f>IF(Paris_Outflow!D11=0,#N/A,Paris_Outflow!D11)</f>
        <v>#N/A</v>
      </c>
      <c r="O11" s="172" t="e">
        <v>#N/A</v>
      </c>
      <c r="P11" s="167" t="e">
        <f>IF(Paris_Outflow!E11=0,#N/A,Paris_Outflow!E11)</f>
        <v>#N/A</v>
      </c>
      <c r="Q11" s="172" t="e">
        <v>#N/A</v>
      </c>
      <c r="R11" s="167" t="e">
        <f>IF(Paris_Outflow!F11=0,#N/A,Paris_Outflow!F11)</f>
        <v>#N/A</v>
      </c>
      <c r="S11" s="172" t="e">
        <v>#N/A</v>
      </c>
      <c r="T11" s="167" t="e">
        <f>IF(Paris_Outflow!G11=0,#N/A,Paris_Outflow!G11)</f>
        <v>#N/A</v>
      </c>
      <c r="U11" s="172" t="e">
        <v>#N/A</v>
      </c>
      <c r="V11" s="252" t="e">
        <f>IF(Paris_Inflow!O11=0,#N/A,Paris_Inflow!O11)</f>
        <v>#N/A</v>
      </c>
      <c r="W11" s="252" t="e">
        <f>IF(Paris_Inflow!P11=0,#N/A,Paris_Inflow!P11)</f>
        <v>#N/A</v>
      </c>
      <c r="X11" s="249"/>
      <c r="Y11" s="249" t="e">
        <f>IF(Paris_Inflow!W11=0,#N/A,Paris_Inflow!W11)</f>
        <v>#N/A</v>
      </c>
      <c r="Z11" s="249" t="e">
        <f>IF(Paris_Inflow!X11=0,#N/A,Paris_Inflow!X11)</f>
        <v>#N/A</v>
      </c>
      <c r="AA11" s="249" t="e">
        <f>IF(Paris_Inflow!Y11=0,#N/A,Paris_Inflow!Y11)</f>
        <v>#N/A</v>
      </c>
      <c r="AB11" s="249"/>
      <c r="AC11" s="249" t="e">
        <f>IF(Paris_Inflow!AA11=0,#N/A,(Paris_Inflow!AA11+Paris_Inflow!AE11)/2)</f>
        <v>#N/A</v>
      </c>
      <c r="AD11" s="249" t="e">
        <f>IF(Paris_Inflow!AB11=0,#N/A,(Paris_Inflow!AB11+Paris_Inflow!AF11)/2)</f>
        <v>#N/A</v>
      </c>
      <c r="AE11" s="249" t="e">
        <f>IF(Paris_Inflow!AC11=0,#N/A,(Paris_Inflow!AC11+Paris_Inflow!AG11)/2)</f>
        <v>#N/A</v>
      </c>
      <c r="AG11" s="204"/>
      <c r="AH11" s="204"/>
      <c r="AI11" s="204"/>
      <c r="AJ11" s="204"/>
      <c r="AK11" s="204"/>
      <c r="AL11" s="204"/>
      <c r="AM11" s="204"/>
      <c r="AN11" s="204"/>
      <c r="AP11" s="204"/>
      <c r="AQ11" s="204"/>
      <c r="AR11" s="204"/>
      <c r="AS11" s="204"/>
      <c r="AT11" s="204"/>
      <c r="AU11" s="204"/>
    </row>
    <row r="12" spans="1:51" x14ac:dyDescent="0.25">
      <c r="A12" s="94">
        <v>1957</v>
      </c>
      <c r="B12" s="168">
        <f>IF(Paris_Inflow!C12=0,#N/A,Paris_Inflow!C12)</f>
        <v>61.875</v>
      </c>
      <c r="C12" s="163" t="e">
        <v>#N/A</v>
      </c>
      <c r="D12" s="168">
        <f>IF(Paris_Inflow!D12=0,#N/A,Paris_Inflow!D12)</f>
        <v>61.875</v>
      </c>
      <c r="E12" s="163" t="e">
        <v>#N/A</v>
      </c>
      <c r="F12" s="168" t="e">
        <f>IF(Paris_Inflow!E12=0,#N/A,Paris_Inflow!E12)</f>
        <v>#N/A</v>
      </c>
      <c r="G12" s="163" t="e">
        <v>#N/A</v>
      </c>
      <c r="H12" s="168">
        <f>IF(Paris_Inflow!F12=0,#N/A,Paris_Inflow!F12)</f>
        <v>13.2</v>
      </c>
      <c r="I12" s="163" t="e">
        <v>#N/A</v>
      </c>
      <c r="J12" s="168" t="e">
        <f>IF(Paris_Inflow!G12=0,#N/A,Paris_Inflow!G12)</f>
        <v>#N/A</v>
      </c>
      <c r="K12" s="163" t="e">
        <v>#N/A</v>
      </c>
      <c r="L12" s="167" t="e">
        <f>IF(Paris_Outflow!C12=0,#N/A,Paris_Outflow!C12)</f>
        <v>#N/A</v>
      </c>
      <c r="M12" s="172" t="e">
        <v>#N/A</v>
      </c>
      <c r="N12" s="167" t="e">
        <f>IF(Paris_Outflow!D12=0,#N/A,Paris_Outflow!D12)</f>
        <v>#N/A</v>
      </c>
      <c r="O12" s="172" t="e">
        <v>#N/A</v>
      </c>
      <c r="P12" s="167" t="e">
        <f>IF(Paris_Outflow!E12=0,#N/A,Paris_Outflow!E12)</f>
        <v>#N/A</v>
      </c>
      <c r="Q12" s="172" t="e">
        <v>#N/A</v>
      </c>
      <c r="R12" s="167" t="e">
        <f>IF(Paris_Outflow!F12=0,#N/A,Paris_Outflow!F12)</f>
        <v>#N/A</v>
      </c>
      <c r="S12" s="172" t="e">
        <v>#N/A</v>
      </c>
      <c r="T12" s="167" t="e">
        <f>IF(Paris_Outflow!G12=0,#N/A,Paris_Outflow!G12)</f>
        <v>#N/A</v>
      </c>
      <c r="U12" s="172" t="e">
        <v>#N/A</v>
      </c>
      <c r="V12" s="252">
        <f>IF(Paris_Inflow!O12=0,#N/A,Paris_Inflow!O12)</f>
        <v>90.700988524890974</v>
      </c>
      <c r="W12" s="252">
        <f>IF(Paris_Inflow!P12=0,#N/A,Paris_Inflow!P12)</f>
        <v>144.19504202947161</v>
      </c>
      <c r="X12" s="249"/>
      <c r="Y12" s="249" t="e">
        <f>IF(Paris_Inflow!W12=0,#N/A,Paris_Inflow!W12)</f>
        <v>#N/A</v>
      </c>
      <c r="Z12" s="249" t="e">
        <f>IF(Paris_Inflow!X12=0,#N/A,Paris_Inflow!X12)</f>
        <v>#N/A</v>
      </c>
      <c r="AA12" s="249" t="e">
        <f>IF(Paris_Inflow!Y12=0,#N/A,Paris_Inflow!Y12)</f>
        <v>#N/A</v>
      </c>
      <c r="AB12" s="249"/>
      <c r="AC12" s="249" t="e">
        <f>IF(Paris_Inflow!AA12=0,#N/A,(Paris_Inflow!AA12+Paris_Inflow!AE12)/2)</f>
        <v>#N/A</v>
      </c>
      <c r="AD12" s="249" t="e">
        <f>IF(Paris_Inflow!AB12=0,#N/A,(Paris_Inflow!AB12+Paris_Inflow!AF12)/2)</f>
        <v>#N/A</v>
      </c>
      <c r="AE12" s="249" t="e">
        <f>IF(Paris_Inflow!AC12=0,#N/A,(Paris_Inflow!AC12+Paris_Inflow!AG12)/2)</f>
        <v>#N/A</v>
      </c>
      <c r="AG12" s="204"/>
      <c r="AH12" s="204"/>
      <c r="AI12" s="204"/>
      <c r="AJ12" s="204"/>
      <c r="AK12" s="204"/>
      <c r="AL12" s="204"/>
      <c r="AM12" s="204"/>
      <c r="AN12" s="204"/>
      <c r="AP12" s="204"/>
      <c r="AQ12" s="204"/>
      <c r="AR12" s="204"/>
      <c r="AS12" s="204"/>
      <c r="AT12" s="204"/>
      <c r="AU12" s="204"/>
    </row>
    <row r="13" spans="1:51" x14ac:dyDescent="0.25">
      <c r="A13" s="94">
        <v>1958</v>
      </c>
      <c r="B13" s="168" t="e">
        <f>IF(Paris_Inflow!C13=0,#N/A,Paris_Inflow!C13)</f>
        <v>#N/A</v>
      </c>
      <c r="C13" s="163" t="e">
        <v>#N/A</v>
      </c>
      <c r="D13" s="168" t="e">
        <f>IF(Paris_Inflow!D13=0,#N/A,Paris_Inflow!D13)</f>
        <v>#N/A</v>
      </c>
      <c r="E13" s="163" t="e">
        <v>#N/A</v>
      </c>
      <c r="F13" s="168" t="e">
        <f>IF(Paris_Inflow!E13=0,#N/A,Paris_Inflow!E13)</f>
        <v>#N/A</v>
      </c>
      <c r="G13" s="163" t="e">
        <v>#N/A</v>
      </c>
      <c r="H13" s="168" t="e">
        <f>IF(Paris_Inflow!F13=0,#N/A,Paris_Inflow!F13)</f>
        <v>#N/A</v>
      </c>
      <c r="I13" s="163" t="e">
        <v>#N/A</v>
      </c>
      <c r="J13" s="168" t="e">
        <f>IF(Paris_Inflow!G13=0,#N/A,Paris_Inflow!G13)</f>
        <v>#N/A</v>
      </c>
      <c r="K13" s="163" t="e">
        <v>#N/A</v>
      </c>
      <c r="L13" s="167" t="e">
        <f>IF(Paris_Outflow!C13=0,#N/A,Paris_Outflow!C13)</f>
        <v>#N/A</v>
      </c>
      <c r="M13" s="172" t="e">
        <v>#N/A</v>
      </c>
      <c r="N13" s="167" t="e">
        <f>IF(Paris_Outflow!D13=0,#N/A,Paris_Outflow!D13)</f>
        <v>#N/A</v>
      </c>
      <c r="O13" s="172" t="e">
        <v>#N/A</v>
      </c>
      <c r="P13" s="167" t="e">
        <f>IF(Paris_Outflow!E13=0,#N/A,Paris_Outflow!E13)</f>
        <v>#N/A</v>
      </c>
      <c r="Q13" s="172" t="e">
        <v>#N/A</v>
      </c>
      <c r="R13" s="167" t="e">
        <f>IF(Paris_Outflow!F13=0,#N/A,Paris_Outflow!F13)</f>
        <v>#N/A</v>
      </c>
      <c r="S13" s="172" t="e">
        <v>#N/A</v>
      </c>
      <c r="T13" s="167" t="e">
        <f>IF(Paris_Outflow!G13=0,#N/A,Paris_Outflow!G13)</f>
        <v>#N/A</v>
      </c>
      <c r="U13" s="172" t="e">
        <v>#N/A</v>
      </c>
      <c r="V13" s="252" t="e">
        <f>IF(Paris_Inflow!O13=0,#N/A,Paris_Inflow!O13)</f>
        <v>#N/A</v>
      </c>
      <c r="W13" s="252" t="e">
        <f>IF(Paris_Inflow!P13=0,#N/A,Paris_Inflow!P13)</f>
        <v>#N/A</v>
      </c>
      <c r="X13" s="249"/>
      <c r="Y13" s="249" t="e">
        <f>IF(Paris_Inflow!W13=0,#N/A,Paris_Inflow!W13)</f>
        <v>#N/A</v>
      </c>
      <c r="Z13" s="249" t="e">
        <f>IF(Paris_Inflow!X13=0,#N/A,Paris_Inflow!X13)</f>
        <v>#N/A</v>
      </c>
      <c r="AA13" s="249" t="e">
        <f>IF(Paris_Inflow!Y13=0,#N/A,Paris_Inflow!Y13)</f>
        <v>#N/A</v>
      </c>
      <c r="AB13" s="249"/>
      <c r="AC13" s="249" t="e">
        <f>IF(Paris_Inflow!AA13=0,#N/A,(Paris_Inflow!AA13+Paris_Inflow!AE13)/2)</f>
        <v>#N/A</v>
      </c>
      <c r="AD13" s="249" t="e">
        <f>IF(Paris_Inflow!AB13=0,#N/A,(Paris_Inflow!AB13+Paris_Inflow!AF13)/2)</f>
        <v>#N/A</v>
      </c>
      <c r="AE13" s="249" t="e">
        <f>IF(Paris_Inflow!AC13=0,#N/A,(Paris_Inflow!AC13+Paris_Inflow!AG13)/2)</f>
        <v>#N/A</v>
      </c>
      <c r="AG13" s="204"/>
      <c r="AH13" s="204"/>
      <c r="AI13" s="204"/>
      <c r="AJ13" s="204"/>
      <c r="AK13" s="204"/>
      <c r="AL13" s="204"/>
      <c r="AM13" s="204"/>
      <c r="AN13" s="204"/>
      <c r="AP13" s="204"/>
      <c r="AQ13" s="204"/>
      <c r="AR13" s="204"/>
      <c r="AS13" s="204"/>
      <c r="AT13" s="204"/>
      <c r="AU13" s="204"/>
    </row>
    <row r="14" spans="1:51" x14ac:dyDescent="0.25">
      <c r="A14" s="94">
        <v>1959</v>
      </c>
      <c r="B14" s="168" t="e">
        <f>IF(Paris_Inflow!C14=0,#N/A,Paris_Inflow!C14)</f>
        <v>#N/A</v>
      </c>
      <c r="C14" s="163" t="e">
        <v>#N/A</v>
      </c>
      <c r="D14" s="168" t="e">
        <f>IF(Paris_Inflow!D14=0,#N/A,Paris_Inflow!D14)</f>
        <v>#N/A</v>
      </c>
      <c r="E14" s="163" t="e">
        <v>#N/A</v>
      </c>
      <c r="F14" s="168" t="e">
        <f>IF(Paris_Inflow!E14=0,#N/A,Paris_Inflow!E14)</f>
        <v>#N/A</v>
      </c>
      <c r="G14" s="163" t="e">
        <v>#N/A</v>
      </c>
      <c r="H14" s="168" t="e">
        <f>IF(Paris_Inflow!F14=0,#N/A,Paris_Inflow!F14)</f>
        <v>#N/A</v>
      </c>
      <c r="I14" s="163" t="e">
        <v>#N/A</v>
      </c>
      <c r="J14" s="168" t="e">
        <f>IF(Paris_Inflow!G14=0,#N/A,Paris_Inflow!G14)</f>
        <v>#N/A</v>
      </c>
      <c r="K14" s="163" t="e">
        <v>#N/A</v>
      </c>
      <c r="L14" s="167" t="e">
        <f>IF(Paris_Outflow!C14=0,#N/A,Paris_Outflow!C14)</f>
        <v>#N/A</v>
      </c>
      <c r="M14" s="172" t="e">
        <v>#N/A</v>
      </c>
      <c r="N14" s="167" t="e">
        <f>IF(Paris_Outflow!D14=0,#N/A,Paris_Outflow!D14)</f>
        <v>#N/A</v>
      </c>
      <c r="O14" s="172" t="e">
        <v>#N/A</v>
      </c>
      <c r="P14" s="167" t="e">
        <f>IF(Paris_Outflow!E14=0,#N/A,Paris_Outflow!E14)</f>
        <v>#N/A</v>
      </c>
      <c r="Q14" s="172" t="e">
        <v>#N/A</v>
      </c>
      <c r="R14" s="167" t="e">
        <f>IF(Paris_Outflow!F14=0,#N/A,Paris_Outflow!F14)</f>
        <v>#N/A</v>
      </c>
      <c r="S14" s="172" t="e">
        <v>#N/A</v>
      </c>
      <c r="T14" s="167" t="e">
        <f>IF(Paris_Outflow!G14=0,#N/A,Paris_Outflow!G14)</f>
        <v>#N/A</v>
      </c>
      <c r="U14" s="172" t="e">
        <v>#N/A</v>
      </c>
      <c r="V14" s="252" t="e">
        <f>IF(Paris_Inflow!O14=0,#N/A,Paris_Inflow!O14)</f>
        <v>#N/A</v>
      </c>
      <c r="W14" s="252" t="e">
        <f>IF(Paris_Inflow!P14=0,#N/A,Paris_Inflow!P14)</f>
        <v>#N/A</v>
      </c>
      <c r="X14" s="249"/>
      <c r="Y14" s="249" t="e">
        <f>IF(Paris_Inflow!W14=0,#N/A,Paris_Inflow!W14)</f>
        <v>#N/A</v>
      </c>
      <c r="Z14" s="249" t="e">
        <f>IF(Paris_Inflow!X14=0,#N/A,Paris_Inflow!X14)</f>
        <v>#N/A</v>
      </c>
      <c r="AA14" s="249" t="e">
        <f>IF(Paris_Inflow!Y14=0,#N/A,Paris_Inflow!Y14)</f>
        <v>#N/A</v>
      </c>
      <c r="AB14" s="249"/>
      <c r="AC14" s="249" t="e">
        <f>IF(Paris_Inflow!AA14=0,#N/A,(Paris_Inflow!AA14+Paris_Inflow!AE14)/2)</f>
        <v>#N/A</v>
      </c>
      <c r="AD14" s="249" t="e">
        <f>IF(Paris_Inflow!AB14=0,#N/A,(Paris_Inflow!AB14+Paris_Inflow!AF14)/2)</f>
        <v>#N/A</v>
      </c>
      <c r="AE14" s="249" t="e">
        <f>IF(Paris_Inflow!AC14=0,#N/A,(Paris_Inflow!AC14+Paris_Inflow!AG14)/2)</f>
        <v>#N/A</v>
      </c>
      <c r="AG14" s="204"/>
      <c r="AH14" s="204"/>
      <c r="AI14" s="204"/>
      <c r="AJ14" s="204"/>
      <c r="AK14" s="204"/>
      <c r="AL14" s="204"/>
      <c r="AM14" s="204"/>
      <c r="AN14" s="204"/>
      <c r="AP14" s="204"/>
      <c r="AQ14" s="204"/>
      <c r="AR14" s="204"/>
      <c r="AS14" s="204"/>
      <c r="AT14" s="204"/>
      <c r="AU14" s="204"/>
    </row>
    <row r="15" spans="1:51" x14ac:dyDescent="0.25">
      <c r="A15" s="94">
        <v>1960</v>
      </c>
      <c r="B15" s="168" t="e">
        <f>IF(Paris_Inflow!C15=0,#N/A,Paris_Inflow!C15)</f>
        <v>#N/A</v>
      </c>
      <c r="C15" s="163" t="e">
        <v>#N/A</v>
      </c>
      <c r="D15" s="168" t="e">
        <f>IF(Paris_Inflow!D15=0,#N/A,Paris_Inflow!D15)</f>
        <v>#N/A</v>
      </c>
      <c r="E15" s="163" t="e">
        <v>#N/A</v>
      </c>
      <c r="F15" s="168" t="e">
        <f>IF(Paris_Inflow!E15=0,#N/A,Paris_Inflow!E15)</f>
        <v>#N/A</v>
      </c>
      <c r="G15" s="163" t="e">
        <v>#N/A</v>
      </c>
      <c r="H15" s="168" t="e">
        <f>IF(Paris_Inflow!F15=0,#N/A,Paris_Inflow!F15)</f>
        <v>#N/A</v>
      </c>
      <c r="I15" s="163" t="e">
        <v>#N/A</v>
      </c>
      <c r="J15" s="168" t="e">
        <f>IF(Paris_Inflow!G15=0,#N/A,Paris_Inflow!G15)</f>
        <v>#N/A</v>
      </c>
      <c r="K15" s="163" t="e">
        <v>#N/A</v>
      </c>
      <c r="L15" s="167" t="e">
        <f>IF(Paris_Outflow!C15=0,#N/A,Paris_Outflow!C15)</f>
        <v>#N/A</v>
      </c>
      <c r="M15" s="172" t="e">
        <v>#N/A</v>
      </c>
      <c r="N15" s="167" t="e">
        <f>IF(Paris_Outflow!D15=0,#N/A,Paris_Outflow!D15)</f>
        <v>#N/A</v>
      </c>
      <c r="O15" s="172" t="e">
        <v>#N/A</v>
      </c>
      <c r="P15" s="167" t="e">
        <f>IF(Paris_Outflow!E15=0,#N/A,Paris_Outflow!E15)</f>
        <v>#N/A</v>
      </c>
      <c r="Q15" s="172" t="e">
        <v>#N/A</v>
      </c>
      <c r="R15" s="167" t="e">
        <f>IF(Paris_Outflow!F15=0,#N/A,Paris_Outflow!F15)</f>
        <v>#N/A</v>
      </c>
      <c r="S15" s="172" t="e">
        <v>#N/A</v>
      </c>
      <c r="T15" s="167" t="e">
        <f>IF(Paris_Outflow!G15=0,#N/A,Paris_Outflow!G15)</f>
        <v>#N/A</v>
      </c>
      <c r="U15" s="172" t="e">
        <v>#N/A</v>
      </c>
      <c r="V15" s="252" t="e">
        <f>IF(Paris_Inflow!O15=0,#N/A,Paris_Inflow!O15)</f>
        <v>#N/A</v>
      </c>
      <c r="W15" s="252" t="e">
        <f>IF(Paris_Inflow!P15=0,#N/A,Paris_Inflow!P15)</f>
        <v>#N/A</v>
      </c>
      <c r="X15" s="249"/>
      <c r="Y15" s="249" t="e">
        <f>IF(Paris_Inflow!W15=0,#N/A,Paris_Inflow!W15)</f>
        <v>#N/A</v>
      </c>
      <c r="Z15" s="249" t="e">
        <f>IF(Paris_Inflow!X15=0,#N/A,Paris_Inflow!X15)</f>
        <v>#N/A</v>
      </c>
      <c r="AA15" s="249" t="e">
        <f>IF(Paris_Inflow!Y15=0,#N/A,Paris_Inflow!Y15)</f>
        <v>#N/A</v>
      </c>
      <c r="AB15" s="249"/>
      <c r="AC15" s="249" t="e">
        <f>IF(Paris_Inflow!AA15=0,#N/A,(Paris_Inflow!AA15+Paris_Inflow!AE15)/2)</f>
        <v>#N/A</v>
      </c>
      <c r="AD15" s="249" t="e">
        <f>IF(Paris_Inflow!AB15=0,#N/A,(Paris_Inflow!AB15+Paris_Inflow!AF15)/2)</f>
        <v>#N/A</v>
      </c>
      <c r="AE15" s="249" t="e">
        <f>IF(Paris_Inflow!AC15=0,#N/A,(Paris_Inflow!AC15+Paris_Inflow!AG15)/2)</f>
        <v>#N/A</v>
      </c>
      <c r="AG15" s="204"/>
      <c r="AH15" s="204"/>
      <c r="AI15" s="207"/>
      <c r="AJ15" s="207"/>
      <c r="AK15" s="204"/>
      <c r="AL15" s="207"/>
      <c r="AM15" s="204"/>
      <c r="AN15" s="207"/>
      <c r="AP15" s="204"/>
      <c r="AQ15" s="204"/>
      <c r="AR15" s="204"/>
      <c r="AS15" s="204"/>
      <c r="AT15" s="204"/>
      <c r="AU15" s="204"/>
    </row>
    <row r="16" spans="1:51" x14ac:dyDescent="0.25">
      <c r="A16" s="94">
        <v>1961</v>
      </c>
      <c r="B16" s="168">
        <f>IF(Paris_Inflow!C16=0,#N/A,Paris_Inflow!C16)</f>
        <v>81.882000000000005</v>
      </c>
      <c r="C16" s="163" t="e">
        <v>#N/A</v>
      </c>
      <c r="D16" s="168">
        <f>IF(Paris_Inflow!D16=0,#N/A,Paris_Inflow!D16)</f>
        <v>81.882000000000005</v>
      </c>
      <c r="E16" s="163" t="e">
        <v>#N/A</v>
      </c>
      <c r="F16" s="168" t="e">
        <f>IF(Paris_Inflow!E16=0,#N/A,Paris_Inflow!E16)</f>
        <v>#N/A</v>
      </c>
      <c r="G16" s="163" t="e">
        <v>#N/A</v>
      </c>
      <c r="H16" s="168">
        <f>IF(Paris_Inflow!F16=0,#N/A,Paris_Inflow!F16)</f>
        <v>14.48048</v>
      </c>
      <c r="I16" s="163" t="e">
        <v>#N/A</v>
      </c>
      <c r="J16" s="168" t="e">
        <f>IF(Paris_Inflow!G16=0,#N/A,Paris_Inflow!G16)</f>
        <v>#N/A</v>
      </c>
      <c r="K16" s="163" t="e">
        <v>#N/A</v>
      </c>
      <c r="L16" s="167" t="e">
        <f>IF(Paris_Outflow!C16=0,#N/A,Paris_Outflow!C16)</f>
        <v>#N/A</v>
      </c>
      <c r="M16" s="172" t="e">
        <v>#N/A</v>
      </c>
      <c r="N16" s="167" t="e">
        <f>IF(Paris_Outflow!D16=0,#N/A,Paris_Outflow!D16)</f>
        <v>#N/A</v>
      </c>
      <c r="O16" s="172" t="e">
        <v>#N/A</v>
      </c>
      <c r="P16" s="167" t="e">
        <f>IF(Paris_Outflow!E16=0,#N/A,Paris_Outflow!E16)</f>
        <v>#N/A</v>
      </c>
      <c r="Q16" s="172" t="e">
        <v>#N/A</v>
      </c>
      <c r="R16" s="167" t="e">
        <f>IF(Paris_Outflow!F16=0,#N/A,Paris_Outflow!F16)</f>
        <v>#N/A</v>
      </c>
      <c r="S16" s="172" t="e">
        <v>#N/A</v>
      </c>
      <c r="T16" s="167" t="e">
        <f>IF(Paris_Outflow!G16=0,#N/A,Paris_Outflow!G16)</f>
        <v>#N/A</v>
      </c>
      <c r="U16" s="172" t="e">
        <v>#N/A</v>
      </c>
      <c r="V16" s="252">
        <f>IF(Paris_Inflow!O16=0,#N/A,Paris_Inflow!O16)</f>
        <v>118.66624479381727</v>
      </c>
      <c r="W16" s="252">
        <f>IF(Paris_Inflow!P16=0,#N/A,Paris_Inflow!P16)</f>
        <v>163.6568866421967</v>
      </c>
      <c r="X16" s="249"/>
      <c r="Y16" s="249" t="e">
        <f>IF(Paris_Inflow!W16=0,#N/A,Paris_Inflow!W16)</f>
        <v>#N/A</v>
      </c>
      <c r="Z16" s="249" t="e">
        <f>IF(Paris_Inflow!X16=0,#N/A,Paris_Inflow!X16)</f>
        <v>#N/A</v>
      </c>
      <c r="AA16" s="249" t="e">
        <f>IF(Paris_Inflow!Y16=0,#N/A,Paris_Inflow!Y16)</f>
        <v>#N/A</v>
      </c>
      <c r="AB16" s="249"/>
      <c r="AC16" s="249" t="e">
        <f>IF(Paris_Inflow!AA16=0,#N/A,(Paris_Inflow!AA16+Paris_Inflow!AE16)/2)</f>
        <v>#N/A</v>
      </c>
      <c r="AD16" s="249" t="e">
        <f>IF(Paris_Inflow!AB16=0,#N/A,(Paris_Inflow!AB16+Paris_Inflow!AF16)/2)</f>
        <v>#N/A</v>
      </c>
      <c r="AE16" s="249" t="e">
        <f>IF(Paris_Inflow!AC16=0,#N/A,(Paris_Inflow!AC16+Paris_Inflow!AG16)/2)</f>
        <v>#N/A</v>
      </c>
      <c r="AG16" s="204"/>
      <c r="AH16" s="204"/>
      <c r="AI16" s="207"/>
      <c r="AJ16" s="207"/>
      <c r="AK16" s="204"/>
      <c r="AL16" s="207"/>
      <c r="AM16" s="204"/>
      <c r="AN16" s="207"/>
      <c r="AP16" s="204"/>
      <c r="AQ16" s="204"/>
      <c r="AR16" s="204"/>
      <c r="AS16" s="204"/>
      <c r="AT16" s="204"/>
      <c r="AU16" s="204"/>
    </row>
    <row r="17" spans="1:47" x14ac:dyDescent="0.25">
      <c r="A17" s="94">
        <v>1962</v>
      </c>
      <c r="B17" s="168" t="e">
        <f>IF(Paris_Inflow!C17=0,#N/A,Paris_Inflow!C17)</f>
        <v>#N/A</v>
      </c>
      <c r="C17" s="163" t="e">
        <v>#N/A</v>
      </c>
      <c r="D17" s="168" t="e">
        <f>IF(Paris_Inflow!D17=0,#N/A,Paris_Inflow!D17)</f>
        <v>#N/A</v>
      </c>
      <c r="E17" s="163" t="e">
        <v>#N/A</v>
      </c>
      <c r="F17" s="168" t="e">
        <f>IF(Paris_Inflow!E17=0,#N/A,Paris_Inflow!E17)</f>
        <v>#N/A</v>
      </c>
      <c r="G17" s="163" t="e">
        <v>#N/A</v>
      </c>
      <c r="H17" s="168" t="e">
        <f>IF(Paris_Inflow!F17=0,#N/A,Paris_Inflow!F17)</f>
        <v>#N/A</v>
      </c>
      <c r="I17" s="163" t="e">
        <v>#N/A</v>
      </c>
      <c r="J17" s="168" t="e">
        <f>IF(Paris_Inflow!G17=0,#N/A,Paris_Inflow!G17)</f>
        <v>#N/A</v>
      </c>
      <c r="K17" s="163" t="e">
        <v>#N/A</v>
      </c>
      <c r="L17" s="167" t="e">
        <f>IF(Paris_Outflow!C17=0,#N/A,Paris_Outflow!C17)</f>
        <v>#N/A</v>
      </c>
      <c r="M17" s="172" t="e">
        <v>#N/A</v>
      </c>
      <c r="N17" s="167" t="e">
        <f>IF(Paris_Outflow!D17=0,#N/A,Paris_Outflow!D17)</f>
        <v>#N/A</v>
      </c>
      <c r="O17" s="172" t="e">
        <v>#N/A</v>
      </c>
      <c r="P17" s="167" t="e">
        <f>IF(Paris_Outflow!E17=0,#N/A,Paris_Outflow!E17)</f>
        <v>#N/A</v>
      </c>
      <c r="Q17" s="172" t="e">
        <v>#N/A</v>
      </c>
      <c r="R17" s="167" t="e">
        <f>IF(Paris_Outflow!F17=0,#N/A,Paris_Outflow!F17)</f>
        <v>#N/A</v>
      </c>
      <c r="S17" s="172" t="e">
        <v>#N/A</v>
      </c>
      <c r="T17" s="167" t="e">
        <f>IF(Paris_Outflow!G17=0,#N/A,Paris_Outflow!G17)</f>
        <v>#N/A</v>
      </c>
      <c r="U17" s="172" t="e">
        <v>#N/A</v>
      </c>
      <c r="V17" s="252" t="e">
        <f>IF(Paris_Inflow!O17=0,#N/A,Paris_Inflow!O17)</f>
        <v>#N/A</v>
      </c>
      <c r="W17" s="252" t="e">
        <f>IF(Paris_Inflow!P17=0,#N/A,Paris_Inflow!P17)</f>
        <v>#N/A</v>
      </c>
      <c r="X17" s="249"/>
      <c r="Y17" s="249" t="e">
        <f>IF(Paris_Inflow!W17=0,#N/A,Paris_Inflow!W17)</f>
        <v>#N/A</v>
      </c>
      <c r="Z17" s="249" t="e">
        <f>IF(Paris_Inflow!X17=0,#N/A,Paris_Inflow!X17)</f>
        <v>#N/A</v>
      </c>
      <c r="AA17" s="249" t="e">
        <f>IF(Paris_Inflow!Y17=0,#N/A,Paris_Inflow!Y17)</f>
        <v>#N/A</v>
      </c>
      <c r="AB17" s="249"/>
      <c r="AC17" s="249" t="e">
        <f>IF(Paris_Inflow!AA17=0,#N/A,(Paris_Inflow!AA17+Paris_Inflow!AE17)/2)</f>
        <v>#N/A</v>
      </c>
      <c r="AD17" s="249" t="e">
        <f>IF(Paris_Inflow!AB17=0,#N/A,(Paris_Inflow!AB17+Paris_Inflow!AF17)/2)</f>
        <v>#N/A</v>
      </c>
      <c r="AE17" s="249" t="e">
        <f>IF(Paris_Inflow!AC17=0,#N/A,(Paris_Inflow!AC17+Paris_Inflow!AG17)/2)</f>
        <v>#N/A</v>
      </c>
      <c r="AG17" s="204"/>
      <c r="AH17" s="204"/>
      <c r="AI17" s="207"/>
      <c r="AJ17" s="207"/>
      <c r="AK17" s="204"/>
      <c r="AL17" s="207"/>
      <c r="AM17" s="204"/>
      <c r="AN17" s="207"/>
      <c r="AP17" s="204"/>
      <c r="AQ17" s="204"/>
      <c r="AR17" s="204"/>
      <c r="AS17" s="204"/>
      <c r="AT17" s="204"/>
      <c r="AU17" s="204"/>
    </row>
    <row r="18" spans="1:47" x14ac:dyDescent="0.25">
      <c r="A18" s="94">
        <v>1963</v>
      </c>
      <c r="B18" s="168">
        <f>IF(Paris_Inflow!C18=0,#N/A,Paris_Inflow!C18)</f>
        <v>1186.4475</v>
      </c>
      <c r="C18" s="163" t="e">
        <v>#N/A</v>
      </c>
      <c r="D18" s="168">
        <f>IF(Paris_Inflow!D18=0,#N/A,Paris_Inflow!D18)</f>
        <v>1186.4475</v>
      </c>
      <c r="E18" s="163" t="e">
        <v>#N/A</v>
      </c>
      <c r="F18" s="168" t="e">
        <f>IF(Paris_Inflow!E18=0,#N/A,Paris_Inflow!E18)</f>
        <v>#N/A</v>
      </c>
      <c r="G18" s="163" t="e">
        <v>#N/A</v>
      </c>
      <c r="H18" s="168">
        <f>IF(Paris_Inflow!F18=0,#N/A,Paris_Inflow!F18)</f>
        <v>78.126000000000005</v>
      </c>
      <c r="I18" s="163" t="e">
        <v>#N/A</v>
      </c>
      <c r="J18" s="168" t="e">
        <f>IF(Paris_Inflow!G18=0,#N/A,Paris_Inflow!G18)</f>
        <v>#N/A</v>
      </c>
      <c r="K18" s="163" t="e">
        <v>#N/A</v>
      </c>
      <c r="L18" s="167" t="e">
        <f>IF(Paris_Outflow!C18=0,#N/A,Paris_Outflow!C18)</f>
        <v>#N/A</v>
      </c>
      <c r="M18" s="172" t="e">
        <v>#N/A</v>
      </c>
      <c r="N18" s="167" t="e">
        <f>IF(Paris_Outflow!D18=0,#N/A,Paris_Outflow!D18)</f>
        <v>#N/A</v>
      </c>
      <c r="O18" s="172" t="e">
        <v>#N/A</v>
      </c>
      <c r="P18" s="167" t="e">
        <f>IF(Paris_Outflow!E18=0,#N/A,Paris_Outflow!E18)</f>
        <v>#N/A</v>
      </c>
      <c r="Q18" s="172" t="e">
        <v>#N/A</v>
      </c>
      <c r="R18" s="167" t="e">
        <f>IF(Paris_Outflow!F18=0,#N/A,Paris_Outflow!F18)</f>
        <v>#N/A</v>
      </c>
      <c r="S18" s="172" t="e">
        <v>#N/A</v>
      </c>
      <c r="T18" s="167" t="e">
        <f>IF(Paris_Outflow!G18=0,#N/A,Paris_Outflow!G18)</f>
        <v>#N/A</v>
      </c>
      <c r="U18" s="172" t="e">
        <v>#N/A</v>
      </c>
      <c r="V18" s="252">
        <f>IF(Paris_Inflow!O18=0,#N/A,Paris_Inflow!O18)</f>
        <v>1720.5080327358146</v>
      </c>
      <c r="W18" s="252">
        <f>IF(Paris_Inflow!P18=0,#N/A,Paris_Inflow!P18)</f>
        <v>2258.4226523518892</v>
      </c>
      <c r="X18" s="249"/>
      <c r="Y18" s="249" t="e">
        <f>IF(Paris_Inflow!W18=0,#N/A,Paris_Inflow!W18)</f>
        <v>#N/A</v>
      </c>
      <c r="Z18" s="249" t="e">
        <f>IF(Paris_Inflow!X18=0,#N/A,Paris_Inflow!X18)</f>
        <v>#N/A</v>
      </c>
      <c r="AA18" s="249" t="e">
        <f>IF(Paris_Inflow!Y18=0,#N/A,Paris_Inflow!Y18)</f>
        <v>#N/A</v>
      </c>
      <c r="AB18" s="249"/>
      <c r="AC18" s="249" t="e">
        <f>IF(Paris_Inflow!AA18=0,#N/A,(Paris_Inflow!AA18+Paris_Inflow!AE18)/2)</f>
        <v>#N/A</v>
      </c>
      <c r="AD18" s="249" t="e">
        <f>IF(Paris_Inflow!AB18=0,#N/A,(Paris_Inflow!AB18+Paris_Inflow!AF18)/2)</f>
        <v>#N/A</v>
      </c>
      <c r="AE18" s="249" t="e">
        <f>IF(Paris_Inflow!AC18=0,#N/A,(Paris_Inflow!AC18+Paris_Inflow!AG18)/2)</f>
        <v>#N/A</v>
      </c>
      <c r="AG18" s="204"/>
      <c r="AH18" s="204"/>
      <c r="AI18" s="207"/>
      <c r="AJ18" s="207"/>
      <c r="AK18" s="204"/>
      <c r="AL18" s="207"/>
      <c r="AM18" s="204"/>
      <c r="AN18" s="207"/>
      <c r="AP18" s="204"/>
      <c r="AQ18" s="204"/>
      <c r="AR18" s="204"/>
      <c r="AS18" s="204"/>
      <c r="AT18" s="204"/>
      <c r="AU18" s="204"/>
    </row>
    <row r="19" spans="1:47" x14ac:dyDescent="0.25">
      <c r="A19" s="94">
        <v>1964</v>
      </c>
      <c r="B19" s="168" t="e">
        <f>IF(Paris_Inflow!C19=0,#N/A,Paris_Inflow!C19)</f>
        <v>#N/A</v>
      </c>
      <c r="C19" s="163" t="e">
        <v>#N/A</v>
      </c>
      <c r="D19" s="168" t="e">
        <f>IF(Paris_Inflow!D19=0,#N/A,Paris_Inflow!D19)</f>
        <v>#N/A</v>
      </c>
      <c r="E19" s="163" t="e">
        <v>#N/A</v>
      </c>
      <c r="F19" s="168" t="e">
        <f>IF(Paris_Inflow!E19=0,#N/A,Paris_Inflow!E19)</f>
        <v>#N/A</v>
      </c>
      <c r="G19" s="163" t="e">
        <v>#N/A</v>
      </c>
      <c r="H19" s="168" t="e">
        <f>IF(Paris_Inflow!F19=0,#N/A,Paris_Inflow!F19)</f>
        <v>#N/A</v>
      </c>
      <c r="I19" s="163" t="e">
        <v>#N/A</v>
      </c>
      <c r="J19" s="168" t="e">
        <f>IF(Paris_Inflow!G19=0,#N/A,Paris_Inflow!G19)</f>
        <v>#N/A</v>
      </c>
      <c r="K19" s="163" t="e">
        <v>#N/A</v>
      </c>
      <c r="L19" s="167" t="e">
        <f>IF(Paris_Outflow!C19=0,#N/A,Paris_Outflow!C19)</f>
        <v>#N/A</v>
      </c>
      <c r="M19" s="172" t="e">
        <v>#N/A</v>
      </c>
      <c r="N19" s="167" t="e">
        <f>IF(Paris_Outflow!D19=0,#N/A,Paris_Outflow!D19)</f>
        <v>#N/A</v>
      </c>
      <c r="O19" s="172" t="e">
        <v>#N/A</v>
      </c>
      <c r="P19" s="167" t="e">
        <f>IF(Paris_Outflow!E19=0,#N/A,Paris_Outflow!E19)</f>
        <v>#N/A</v>
      </c>
      <c r="Q19" s="172" t="e">
        <v>#N/A</v>
      </c>
      <c r="R19" s="167" t="e">
        <f>IF(Paris_Outflow!F19=0,#N/A,Paris_Outflow!F19)</f>
        <v>#N/A</v>
      </c>
      <c r="S19" s="172" t="e">
        <v>#N/A</v>
      </c>
      <c r="T19" s="167" t="e">
        <f>IF(Paris_Outflow!G19=0,#N/A,Paris_Outflow!G19)</f>
        <v>#N/A</v>
      </c>
      <c r="U19" s="172" t="e">
        <v>#N/A</v>
      </c>
      <c r="V19" s="252" t="e">
        <f>IF(Paris_Inflow!O19=0,#N/A,Paris_Inflow!O19)</f>
        <v>#N/A</v>
      </c>
      <c r="W19" s="252" t="e">
        <f>IF(Paris_Inflow!P19=0,#N/A,Paris_Inflow!P19)</f>
        <v>#N/A</v>
      </c>
      <c r="X19" s="249"/>
      <c r="Y19" s="249" t="e">
        <f>IF(Paris_Inflow!W19=0,#N/A,Paris_Inflow!W19)</f>
        <v>#N/A</v>
      </c>
      <c r="Z19" s="249" t="e">
        <f>IF(Paris_Inflow!X19=0,#N/A,Paris_Inflow!X19)</f>
        <v>#N/A</v>
      </c>
      <c r="AA19" s="249" t="e">
        <f>IF(Paris_Inflow!Y19=0,#N/A,Paris_Inflow!Y19)</f>
        <v>#N/A</v>
      </c>
      <c r="AB19" s="249"/>
      <c r="AC19" s="249" t="e">
        <f>IF(Paris_Inflow!AA19=0,#N/A,(Paris_Inflow!AA19+Paris_Inflow!AE19)/2)</f>
        <v>#N/A</v>
      </c>
      <c r="AD19" s="249" t="e">
        <f>IF(Paris_Inflow!AB19=0,#N/A,(Paris_Inflow!AB19+Paris_Inflow!AF19)/2)</f>
        <v>#N/A</v>
      </c>
      <c r="AE19" s="249" t="e">
        <f>IF(Paris_Inflow!AC19=0,#N/A,(Paris_Inflow!AC19+Paris_Inflow!AG19)/2)</f>
        <v>#N/A</v>
      </c>
      <c r="AG19" s="204"/>
      <c r="AH19" s="204"/>
      <c r="AI19" s="207"/>
      <c r="AJ19" s="207"/>
      <c r="AK19" s="204"/>
      <c r="AL19" s="207"/>
      <c r="AM19" s="204"/>
      <c r="AN19" s="207"/>
      <c r="AP19" s="204"/>
      <c r="AQ19" s="204"/>
      <c r="AR19" s="204"/>
      <c r="AS19" s="204"/>
      <c r="AT19" s="204"/>
      <c r="AU19" s="204"/>
    </row>
    <row r="20" spans="1:47" x14ac:dyDescent="0.25">
      <c r="A20" s="94">
        <v>1965</v>
      </c>
      <c r="B20" s="168" t="e">
        <f>IF(Paris_Inflow!C20=0,#N/A,Paris_Inflow!C20)</f>
        <v>#N/A</v>
      </c>
      <c r="C20" s="163" t="e">
        <v>#N/A</v>
      </c>
      <c r="D20" s="168" t="e">
        <f>IF(Paris_Inflow!D20=0,#N/A,Paris_Inflow!D20)</f>
        <v>#N/A</v>
      </c>
      <c r="E20" s="163" t="e">
        <v>#N/A</v>
      </c>
      <c r="F20" s="168" t="e">
        <f>IF(Paris_Inflow!E20=0,#N/A,Paris_Inflow!E20)</f>
        <v>#N/A</v>
      </c>
      <c r="G20" s="163" t="e">
        <v>#N/A</v>
      </c>
      <c r="H20" s="168" t="e">
        <f>IF(Paris_Inflow!F20=0,#N/A,Paris_Inflow!F20)</f>
        <v>#N/A</v>
      </c>
      <c r="I20" s="163" t="e">
        <v>#N/A</v>
      </c>
      <c r="J20" s="168" t="e">
        <f>IF(Paris_Inflow!G20=0,#N/A,Paris_Inflow!G20)</f>
        <v>#N/A</v>
      </c>
      <c r="K20" s="163" t="e">
        <v>#N/A</v>
      </c>
      <c r="L20" s="167" t="e">
        <f>IF(Paris_Outflow!C20=0,#N/A,Paris_Outflow!C20)</f>
        <v>#N/A</v>
      </c>
      <c r="M20" s="172" t="e">
        <v>#N/A</v>
      </c>
      <c r="N20" s="167" t="e">
        <f>IF(Paris_Outflow!D20=0,#N/A,Paris_Outflow!D20)</f>
        <v>#N/A</v>
      </c>
      <c r="O20" s="172" t="e">
        <v>#N/A</v>
      </c>
      <c r="P20" s="167" t="e">
        <f>IF(Paris_Outflow!E20=0,#N/A,Paris_Outflow!E20)</f>
        <v>#N/A</v>
      </c>
      <c r="Q20" s="172" t="e">
        <v>#N/A</v>
      </c>
      <c r="R20" s="167" t="e">
        <f>IF(Paris_Outflow!F20=0,#N/A,Paris_Outflow!F20)</f>
        <v>#N/A</v>
      </c>
      <c r="S20" s="172" t="e">
        <v>#N/A</v>
      </c>
      <c r="T20" s="167" t="e">
        <f>IF(Paris_Outflow!G20=0,#N/A,Paris_Outflow!G20)</f>
        <v>#N/A</v>
      </c>
      <c r="U20" s="172" t="e">
        <v>#N/A</v>
      </c>
      <c r="V20" s="252" t="e">
        <f>IF(Paris_Inflow!O20=0,#N/A,Paris_Inflow!O20)</f>
        <v>#N/A</v>
      </c>
      <c r="W20" s="252" t="e">
        <f>IF(Paris_Inflow!P20=0,#N/A,Paris_Inflow!P20)</f>
        <v>#N/A</v>
      </c>
      <c r="X20" s="249"/>
      <c r="Y20" s="249" t="e">
        <f>IF(Paris_Inflow!W20=0,#N/A,Paris_Inflow!W20)</f>
        <v>#N/A</v>
      </c>
      <c r="Z20" s="249" t="e">
        <f>IF(Paris_Inflow!X20=0,#N/A,Paris_Inflow!X20)</f>
        <v>#N/A</v>
      </c>
      <c r="AA20" s="249" t="e">
        <f>IF(Paris_Inflow!Y20=0,#N/A,Paris_Inflow!Y20)</f>
        <v>#N/A</v>
      </c>
      <c r="AB20" s="249"/>
      <c r="AC20" s="249" t="e">
        <f>IF(Paris_Inflow!AA20=0,#N/A,(Paris_Inflow!AA20+Paris_Inflow!AE20)/2)</f>
        <v>#N/A</v>
      </c>
      <c r="AD20" s="249" t="e">
        <f>IF(Paris_Inflow!AB20=0,#N/A,(Paris_Inflow!AB20+Paris_Inflow!AF20)/2)</f>
        <v>#N/A</v>
      </c>
      <c r="AE20" s="249" t="e">
        <f>IF(Paris_Inflow!AC20=0,#N/A,(Paris_Inflow!AC20+Paris_Inflow!AG20)/2)</f>
        <v>#N/A</v>
      </c>
      <c r="AG20" s="208">
        <f>AVERAGE(Paris_Inflow!B20:B29)</f>
        <v>33659.716</v>
      </c>
      <c r="AH20" s="208">
        <f>AVERAGE(Paris_Inflow!C20:C29)</f>
        <v>654.2842149999999</v>
      </c>
      <c r="AI20" s="207">
        <f>AVERAGE(Paris_Outflow!B20:B29)</f>
        <v>0</v>
      </c>
      <c r="AJ20" s="207">
        <f>AVERAGE(Paris_Outflow!C20:C29)</f>
        <v>0</v>
      </c>
      <c r="AK20" s="208">
        <f>AVERAGE(Paris_Inflow!F20:F29)</f>
        <v>50.930688000000004</v>
      </c>
      <c r="AL20" s="207">
        <f>AVERAGE(Paris_Outflow!F20:F29)</f>
        <v>0</v>
      </c>
      <c r="AM20" s="208">
        <f>AVERAGE(Paris_Inflow!G20:G29)</f>
        <v>38.770128</v>
      </c>
      <c r="AN20" s="207">
        <f>AVERAGE(Paris_Outflow!G20:G29)</f>
        <v>0</v>
      </c>
      <c r="AP20" s="204"/>
      <c r="AQ20" s="204"/>
      <c r="AR20" s="204"/>
      <c r="AS20" s="204"/>
      <c r="AT20" s="204"/>
      <c r="AU20" s="204"/>
    </row>
    <row r="21" spans="1:47" x14ac:dyDescent="0.25">
      <c r="A21" s="94">
        <v>1966</v>
      </c>
      <c r="B21" s="168">
        <f>IF(Paris_Inflow!C21=0,#N/A,Paris_Inflow!C21)</f>
        <v>400.07519999999994</v>
      </c>
      <c r="C21" s="163" t="e">
        <v>#N/A</v>
      </c>
      <c r="D21" s="168">
        <f>IF(Paris_Inflow!D21=0,#N/A,Paris_Inflow!D21)</f>
        <v>57.153599999999983</v>
      </c>
      <c r="E21" s="163" t="e">
        <v>#N/A</v>
      </c>
      <c r="F21" s="168">
        <f>IF(Paris_Inflow!E21=0,#N/A,Paris_Inflow!E21)</f>
        <v>342.92159999999996</v>
      </c>
      <c r="G21" s="163" t="e">
        <v>#N/A</v>
      </c>
      <c r="H21" s="168">
        <f>IF(Paris_Inflow!F21=0,#N/A,Paris_Inflow!F21)</f>
        <v>33.984000000000002</v>
      </c>
      <c r="I21" s="163" t="e">
        <v>#N/A</v>
      </c>
      <c r="J21" s="168">
        <f>IF(Paris_Inflow!G21=0,#N/A,Paris_Inflow!G21)</f>
        <v>20.16</v>
      </c>
      <c r="K21" s="163" t="e">
        <v>#N/A</v>
      </c>
      <c r="L21" s="167" t="e">
        <f>IF(Paris_Outflow!C21=0,#N/A,Paris_Outflow!C21)</f>
        <v>#N/A</v>
      </c>
      <c r="M21" s="172" t="e">
        <v>#N/A</v>
      </c>
      <c r="N21" s="167" t="e">
        <f>IF(Paris_Outflow!D21=0,#N/A,Paris_Outflow!D21)</f>
        <v>#N/A</v>
      </c>
      <c r="O21" s="172" t="e">
        <v>#N/A</v>
      </c>
      <c r="P21" s="167" t="e">
        <f>IF(Paris_Outflow!E21=0,#N/A,Paris_Outflow!E21)</f>
        <v>#N/A</v>
      </c>
      <c r="Q21" s="172" t="e">
        <v>#N/A</v>
      </c>
      <c r="R21" s="167" t="e">
        <f>IF(Paris_Outflow!F21=0,#N/A,Paris_Outflow!F21)</f>
        <v>#N/A</v>
      </c>
      <c r="S21" s="172" t="e">
        <v>#N/A</v>
      </c>
      <c r="T21" s="167" t="e">
        <f>IF(Paris_Outflow!G21=0,#N/A,Paris_Outflow!G21)</f>
        <v>#N/A</v>
      </c>
      <c r="U21" s="172" t="e">
        <v>#N/A</v>
      </c>
      <c r="V21" s="252">
        <f>IF(Paris_Inflow!O21=0,#N/A,Paris_Inflow!O21)</f>
        <v>548.16497352100077</v>
      </c>
      <c r="W21" s="252">
        <f>IF(Paris_Inflow!P21=0,#N/A,Paris_Inflow!P21)</f>
        <v>708.54347938881131</v>
      </c>
      <c r="X21" s="249"/>
      <c r="Y21" s="249" t="e">
        <f>IF(Paris_Inflow!W21=0,#N/A,Paris_Inflow!W21)</f>
        <v>#N/A</v>
      </c>
      <c r="Z21" s="249" t="e">
        <f>IF(Paris_Inflow!X21=0,#N/A,Paris_Inflow!X21)</f>
        <v>#N/A</v>
      </c>
      <c r="AA21" s="249" t="e">
        <f>IF(Paris_Inflow!Y21=0,#N/A,Paris_Inflow!Y21)</f>
        <v>#N/A</v>
      </c>
      <c r="AB21" s="249"/>
      <c r="AC21" s="249" t="e">
        <f>IF(Paris_Inflow!AA21=0,#N/A,(Paris_Inflow!AA21+Paris_Inflow!AE21)/2)</f>
        <v>#N/A</v>
      </c>
      <c r="AD21" s="249" t="e">
        <f>IF(Paris_Inflow!AB21=0,#N/A,(Paris_Inflow!AB21+Paris_Inflow!AF21)/2)</f>
        <v>#N/A</v>
      </c>
      <c r="AE21" s="249" t="e">
        <f>IF(Paris_Inflow!AC21=0,#N/A,(Paris_Inflow!AC21+Paris_Inflow!AG21)/2)</f>
        <v>#N/A</v>
      </c>
      <c r="AG21" s="204"/>
      <c r="AH21" s="204"/>
      <c r="AI21" s="207"/>
      <c r="AJ21" s="207"/>
      <c r="AK21" s="204"/>
      <c r="AL21" s="207"/>
      <c r="AM21" s="204"/>
      <c r="AN21" s="207"/>
      <c r="AP21" s="204"/>
      <c r="AQ21" s="204"/>
      <c r="AR21" s="204"/>
      <c r="AS21" s="204"/>
      <c r="AT21" s="204"/>
      <c r="AU21" s="204"/>
    </row>
    <row r="22" spans="1:47" x14ac:dyDescent="0.25">
      <c r="A22" s="94">
        <v>1967</v>
      </c>
      <c r="B22" s="168">
        <f>IF(Paris_Inflow!C22=0,#N/A,Paris_Inflow!C22)</f>
        <v>189.69599999999997</v>
      </c>
      <c r="C22" s="163" t="e">
        <v>#N/A</v>
      </c>
      <c r="D22" s="168">
        <f>IF(Paris_Inflow!D22=0,#N/A,Paris_Inflow!D22)</f>
        <v>39.519999999999996</v>
      </c>
      <c r="E22" s="163" t="e">
        <v>#N/A</v>
      </c>
      <c r="F22" s="168">
        <f>IF(Paris_Inflow!E22=0,#N/A,Paris_Inflow!E22)</f>
        <v>150.17599999999999</v>
      </c>
      <c r="G22" s="163" t="e">
        <v>#N/A</v>
      </c>
      <c r="H22" s="168">
        <f>IF(Paris_Inflow!F22=0,#N/A,Paris_Inflow!F22)</f>
        <v>19.364800000000002</v>
      </c>
      <c r="I22" s="163" t="e">
        <v>#N/A</v>
      </c>
      <c r="J22" s="168">
        <f>IF(Paris_Inflow!G22=0,#N/A,Paris_Inflow!G22)</f>
        <v>11.460799999999999</v>
      </c>
      <c r="K22" s="163" t="e">
        <v>#N/A</v>
      </c>
      <c r="L22" s="167" t="e">
        <f>IF(Paris_Outflow!C22=0,#N/A,Paris_Outflow!C22)</f>
        <v>#N/A</v>
      </c>
      <c r="M22" s="172" t="e">
        <v>#N/A</v>
      </c>
      <c r="N22" s="167" t="e">
        <f>IF(Paris_Outflow!D22=0,#N/A,Paris_Outflow!D22)</f>
        <v>#N/A</v>
      </c>
      <c r="O22" s="172" t="e">
        <v>#N/A</v>
      </c>
      <c r="P22" s="167" t="e">
        <f>IF(Paris_Outflow!E22=0,#N/A,Paris_Outflow!E22)</f>
        <v>#N/A</v>
      </c>
      <c r="Q22" s="172" t="e">
        <v>#N/A</v>
      </c>
      <c r="R22" s="167" t="e">
        <f>IF(Paris_Outflow!F22=0,#N/A,Paris_Outflow!F22)</f>
        <v>#N/A</v>
      </c>
      <c r="S22" s="172" t="e">
        <v>#N/A</v>
      </c>
      <c r="T22" s="167" t="e">
        <f>IF(Paris_Outflow!G22=0,#N/A,Paris_Outflow!G22)</f>
        <v>#N/A</v>
      </c>
      <c r="U22" s="172" t="e">
        <v>#N/A</v>
      </c>
      <c r="V22" s="252">
        <f>IF(Paris_Inflow!O22=0,#N/A,Paris_Inflow!O22)</f>
        <v>259.68756320455356</v>
      </c>
      <c r="W22" s="252">
        <f>IF(Paris_Inflow!P22=0,#N/A,Paris_Inflow!P22)</f>
        <v>328.05511956492404</v>
      </c>
      <c r="X22" s="249"/>
      <c r="Y22" s="249" t="e">
        <f>IF(Paris_Inflow!W22=0,#N/A,Paris_Inflow!W22)</f>
        <v>#N/A</v>
      </c>
      <c r="Z22" s="249" t="e">
        <f>IF(Paris_Inflow!X22=0,#N/A,Paris_Inflow!X22)</f>
        <v>#N/A</v>
      </c>
      <c r="AA22" s="249" t="e">
        <f>IF(Paris_Inflow!Y22=0,#N/A,Paris_Inflow!Y22)</f>
        <v>#N/A</v>
      </c>
      <c r="AB22" s="249"/>
      <c r="AC22" s="249" t="e">
        <f>IF(Paris_Inflow!AA22=0,#N/A,(Paris_Inflow!AA22+Paris_Inflow!AE22)/2)</f>
        <v>#N/A</v>
      </c>
      <c r="AD22" s="249" t="e">
        <f>IF(Paris_Inflow!AB22=0,#N/A,(Paris_Inflow!AB22+Paris_Inflow!AF22)/2)</f>
        <v>#N/A</v>
      </c>
      <c r="AE22" s="249" t="e">
        <f>IF(Paris_Inflow!AC22=0,#N/A,(Paris_Inflow!AC22+Paris_Inflow!AG22)/2)</f>
        <v>#N/A</v>
      </c>
      <c r="AG22" s="204"/>
      <c r="AH22" s="204"/>
      <c r="AI22" s="207"/>
      <c r="AJ22" s="207"/>
      <c r="AK22" s="204"/>
      <c r="AL22" s="207"/>
      <c r="AM22" s="204"/>
      <c r="AN22" s="207"/>
      <c r="AP22" s="204"/>
      <c r="AQ22" s="204"/>
      <c r="AR22" s="204"/>
      <c r="AS22" s="204"/>
      <c r="AT22" s="204"/>
      <c r="AU22" s="204"/>
    </row>
    <row r="23" spans="1:47" x14ac:dyDescent="0.25">
      <c r="A23" s="94">
        <v>1968</v>
      </c>
      <c r="B23" s="168">
        <f>IF(Paris_Inflow!C23=0,#N/A,Paris_Inflow!C23)</f>
        <v>138.2304</v>
      </c>
      <c r="C23" s="163" t="e">
        <v>#N/A</v>
      </c>
      <c r="D23" s="168" t="e">
        <f>IF(Paris_Inflow!D23=0,#N/A,Paris_Inflow!D23)</f>
        <v>#N/A</v>
      </c>
      <c r="E23" s="163" t="e">
        <v>#N/A</v>
      </c>
      <c r="F23" s="168">
        <f>IF(Paris_Inflow!E23=0,#N/A,Paris_Inflow!E23)</f>
        <v>138.2304</v>
      </c>
      <c r="G23" s="163" t="e">
        <v>#N/A</v>
      </c>
      <c r="H23" s="168">
        <f>IF(Paris_Inflow!F23=0,#N/A,Paris_Inflow!F23)</f>
        <v>7.7492800000000006</v>
      </c>
      <c r="I23" s="163" t="e">
        <v>#N/A</v>
      </c>
      <c r="J23" s="168">
        <f>IF(Paris_Inflow!G23=0,#N/A,Paris_Inflow!G23)</f>
        <v>7.7492800000000006</v>
      </c>
      <c r="K23" s="163" t="e">
        <v>#N/A</v>
      </c>
      <c r="L23" s="167" t="e">
        <f>IF(Paris_Outflow!C23=0,#N/A,Paris_Outflow!C23)</f>
        <v>#N/A</v>
      </c>
      <c r="M23" s="172" t="e">
        <v>#N/A</v>
      </c>
      <c r="N23" s="167" t="e">
        <f>IF(Paris_Outflow!D23=0,#N/A,Paris_Outflow!D23)</f>
        <v>#N/A</v>
      </c>
      <c r="O23" s="172" t="e">
        <v>#N/A</v>
      </c>
      <c r="P23" s="167" t="e">
        <f>IF(Paris_Outflow!E23=0,#N/A,Paris_Outflow!E23)</f>
        <v>#N/A</v>
      </c>
      <c r="Q23" s="172" t="e">
        <v>#N/A</v>
      </c>
      <c r="R23" s="167" t="e">
        <f>IF(Paris_Outflow!F23=0,#N/A,Paris_Outflow!F23)</f>
        <v>#N/A</v>
      </c>
      <c r="S23" s="172" t="e">
        <v>#N/A</v>
      </c>
      <c r="T23" s="167" t="e">
        <f>IF(Paris_Outflow!G23=0,#N/A,Paris_Outflow!G23)</f>
        <v>#N/A</v>
      </c>
      <c r="U23" s="172" t="e">
        <v>#N/A</v>
      </c>
      <c r="V23" s="252">
        <f>IF(Paris_Inflow!O23=0,#N/A,Paris_Inflow!O23)</f>
        <v>189.17672472436493</v>
      </c>
      <c r="W23" s="252">
        <f>IF(Paris_Inflow!P23=0,#N/A,Paris_Inflow!P23)</f>
        <v>233.2924357669757</v>
      </c>
      <c r="X23" s="249"/>
      <c r="Y23" s="249" t="e">
        <f>IF(Paris_Inflow!W23=0,#N/A,Paris_Inflow!W23)</f>
        <v>#N/A</v>
      </c>
      <c r="Z23" s="249" t="e">
        <f>IF(Paris_Inflow!X23=0,#N/A,Paris_Inflow!X23)</f>
        <v>#N/A</v>
      </c>
      <c r="AA23" s="249" t="e">
        <f>IF(Paris_Inflow!Y23=0,#N/A,Paris_Inflow!Y23)</f>
        <v>#N/A</v>
      </c>
      <c r="AB23" s="249"/>
      <c r="AC23" s="249" t="e">
        <f>IF(Paris_Inflow!AA23=0,#N/A,(Paris_Inflow!AA23+Paris_Inflow!AE23)/2)</f>
        <v>#N/A</v>
      </c>
      <c r="AD23" s="249" t="e">
        <f>IF(Paris_Inflow!AB23=0,#N/A,(Paris_Inflow!AB23+Paris_Inflow!AF23)/2)</f>
        <v>#N/A</v>
      </c>
      <c r="AE23" s="249" t="e">
        <f>IF(Paris_Inflow!AC23=0,#N/A,(Paris_Inflow!AC23+Paris_Inflow!AG23)/2)</f>
        <v>#N/A</v>
      </c>
      <c r="AG23" s="204"/>
      <c r="AH23" s="204"/>
      <c r="AI23" s="207"/>
      <c r="AJ23" s="207"/>
      <c r="AK23" s="204"/>
      <c r="AL23" s="207"/>
      <c r="AM23" s="204"/>
      <c r="AN23" s="207"/>
      <c r="AP23" s="204"/>
      <c r="AQ23" s="204"/>
      <c r="AR23" s="204"/>
      <c r="AS23" s="204"/>
      <c r="AT23" s="204"/>
      <c r="AU23" s="204"/>
    </row>
    <row r="24" spans="1:47" x14ac:dyDescent="0.25">
      <c r="A24" s="94">
        <v>1969</v>
      </c>
      <c r="B24" s="168">
        <f>IF(Paris_Inflow!C24=0,#N/A,Paris_Inflow!C24)</f>
        <v>247</v>
      </c>
      <c r="C24" s="163" t="e">
        <v>#N/A</v>
      </c>
      <c r="D24" s="168" t="e">
        <f>IF(Paris_Inflow!D24=0,#N/A,Paris_Inflow!D24)</f>
        <v>#N/A</v>
      </c>
      <c r="E24" s="163" t="e">
        <v>#N/A</v>
      </c>
      <c r="F24" s="168">
        <f>IF(Paris_Inflow!E24=0,#N/A,Paris_Inflow!E24)</f>
        <v>247</v>
      </c>
      <c r="G24" s="163" t="e">
        <v>#N/A</v>
      </c>
      <c r="H24" s="168">
        <f>IF(Paris_Inflow!F24=0,#N/A,Paris_Inflow!F24)</f>
        <v>18.999999999999996</v>
      </c>
      <c r="I24" s="163" t="e">
        <v>#N/A</v>
      </c>
      <c r="J24" s="168">
        <f>IF(Paris_Inflow!G24=0,#N/A,Paris_Inflow!G24)</f>
        <v>18.999999999999996</v>
      </c>
      <c r="K24" s="163" t="e">
        <v>#N/A</v>
      </c>
      <c r="L24" s="167" t="e">
        <f>IF(Paris_Outflow!C24=0,#N/A,Paris_Outflow!C24)</f>
        <v>#N/A</v>
      </c>
      <c r="M24" s="172" t="e">
        <v>#N/A</v>
      </c>
      <c r="N24" s="167" t="e">
        <f>IF(Paris_Outflow!D24=0,#N/A,Paris_Outflow!D24)</f>
        <v>#N/A</v>
      </c>
      <c r="O24" s="172" t="e">
        <v>#N/A</v>
      </c>
      <c r="P24" s="167" t="e">
        <f>IF(Paris_Outflow!E24=0,#N/A,Paris_Outflow!E24)</f>
        <v>#N/A</v>
      </c>
      <c r="Q24" s="172" t="e">
        <v>#N/A</v>
      </c>
      <c r="R24" s="167" t="e">
        <f>IF(Paris_Outflow!F24=0,#N/A,Paris_Outflow!F24)</f>
        <v>#N/A</v>
      </c>
      <c r="S24" s="172" t="e">
        <v>#N/A</v>
      </c>
      <c r="T24" s="167" t="e">
        <f>IF(Paris_Outflow!G24=0,#N/A,Paris_Outflow!G24)</f>
        <v>#N/A</v>
      </c>
      <c r="U24" s="172" t="e">
        <v>#N/A</v>
      </c>
      <c r="V24" s="252">
        <f>IF(Paris_Inflow!O24=0,#N/A,Paris_Inflow!O24)</f>
        <v>339.50940853788398</v>
      </c>
      <c r="W24" s="252">
        <f>IF(Paris_Inflow!P24=0,#N/A,Paris_Inflow!P24)</f>
        <v>405.99248885818679</v>
      </c>
      <c r="X24" s="249"/>
      <c r="Y24" s="249" t="e">
        <f>IF(Paris_Inflow!W24=0,#N/A,Paris_Inflow!W24)</f>
        <v>#N/A</v>
      </c>
      <c r="Z24" s="249" t="e">
        <f>IF(Paris_Inflow!X24=0,#N/A,Paris_Inflow!X24)</f>
        <v>#N/A</v>
      </c>
      <c r="AA24" s="249" t="e">
        <f>IF(Paris_Inflow!Y24=0,#N/A,Paris_Inflow!Y24)</f>
        <v>#N/A</v>
      </c>
      <c r="AB24" s="249"/>
      <c r="AC24" s="249" t="e">
        <f>IF(Paris_Inflow!AA24=0,#N/A,(Paris_Inflow!AA24+Paris_Inflow!AE24)/2)</f>
        <v>#N/A</v>
      </c>
      <c r="AD24" s="249" t="e">
        <f>IF(Paris_Inflow!AB24=0,#N/A,(Paris_Inflow!AB24+Paris_Inflow!AF24)/2)</f>
        <v>#N/A</v>
      </c>
      <c r="AE24" s="249" t="e">
        <f>IF(Paris_Inflow!AC24=0,#N/A,(Paris_Inflow!AC24+Paris_Inflow!AG24)/2)</f>
        <v>#N/A</v>
      </c>
      <c r="AG24" s="204"/>
      <c r="AH24" s="204"/>
      <c r="AI24" s="207"/>
      <c r="AJ24" s="207"/>
      <c r="AK24" s="204"/>
      <c r="AL24" s="207"/>
      <c r="AM24" s="204"/>
      <c r="AN24" s="207"/>
      <c r="AP24" s="204"/>
      <c r="AQ24" s="204"/>
      <c r="AR24" s="204"/>
      <c r="AS24" s="204"/>
      <c r="AT24" s="204"/>
      <c r="AU24" s="204"/>
    </row>
    <row r="25" spans="1:47" x14ac:dyDescent="0.25">
      <c r="A25" s="94">
        <v>1970</v>
      </c>
      <c r="B25" s="168">
        <f>IF(Paris_Inflow!C25=0,#N/A,Paris_Inflow!C25)</f>
        <v>690.42499999999995</v>
      </c>
      <c r="C25" s="163" t="e">
        <v>#N/A</v>
      </c>
      <c r="D25" s="168">
        <f>IF(Paris_Inflow!D25=0,#N/A,Paris_Inflow!D25)</f>
        <v>43.125</v>
      </c>
      <c r="E25" s="163" t="e">
        <v>#N/A</v>
      </c>
      <c r="F25" s="168">
        <f>IF(Paris_Inflow!E25=0,#N/A,Paris_Inflow!E25)</f>
        <v>647.29999999999995</v>
      </c>
      <c r="G25" s="163" t="e">
        <v>#N/A</v>
      </c>
      <c r="H25" s="168">
        <f>IF(Paris_Inflow!F25=0,#N/A,Paris_Inflow!F25)</f>
        <v>46.395000000000003</v>
      </c>
      <c r="I25" s="163" t="e">
        <v>#N/A</v>
      </c>
      <c r="J25" s="168">
        <f>IF(Paris_Inflow!G25=0,#N/A,Paris_Inflow!G25)</f>
        <v>41.61333333333333</v>
      </c>
      <c r="K25" s="163" t="e">
        <v>#N/A</v>
      </c>
      <c r="L25" s="167" t="e">
        <f>IF(Paris_Outflow!C25=0,#N/A,Paris_Outflow!C25)</f>
        <v>#N/A</v>
      </c>
      <c r="M25" s="172" t="e">
        <v>#N/A</v>
      </c>
      <c r="N25" s="167" t="e">
        <f>IF(Paris_Outflow!D25=0,#N/A,Paris_Outflow!D25)</f>
        <v>#N/A</v>
      </c>
      <c r="O25" s="172" t="e">
        <v>#N/A</v>
      </c>
      <c r="P25" s="167" t="e">
        <f>IF(Paris_Outflow!E25=0,#N/A,Paris_Outflow!E25)</f>
        <v>#N/A</v>
      </c>
      <c r="Q25" s="172" t="e">
        <v>#N/A</v>
      </c>
      <c r="R25" s="167" t="e">
        <f>IF(Paris_Outflow!F25=0,#N/A,Paris_Outflow!F25)</f>
        <v>#N/A</v>
      </c>
      <c r="S25" s="172" t="e">
        <v>#N/A</v>
      </c>
      <c r="T25" s="167" t="e">
        <f>IF(Paris_Outflow!G25=0,#N/A,Paris_Outflow!G25)</f>
        <v>#N/A</v>
      </c>
      <c r="U25" s="172" t="e">
        <v>#N/A</v>
      </c>
      <c r="V25" s="252">
        <f>IF(Paris_Inflow!O25=0,#N/A,Paris_Inflow!O25)</f>
        <v>953.13385774297114</v>
      </c>
      <c r="W25" s="252">
        <f>IF(Paris_Inflow!P25=0,#N/A,Paris_Inflow!P25)</f>
        <v>1101.2278749999998</v>
      </c>
      <c r="X25" s="249"/>
      <c r="Y25" s="249" t="e">
        <f>IF(Paris_Inflow!W25=0,#N/A,Paris_Inflow!W25)</f>
        <v>#N/A</v>
      </c>
      <c r="Z25" s="249" t="e">
        <f>IF(Paris_Inflow!X25=0,#N/A,Paris_Inflow!X25)</f>
        <v>#N/A</v>
      </c>
      <c r="AA25" s="249" t="e">
        <f>IF(Paris_Inflow!Y25=0,#N/A,Paris_Inflow!Y25)</f>
        <v>#N/A</v>
      </c>
      <c r="AB25" s="249"/>
      <c r="AC25" s="249" t="e">
        <f>IF(Paris_Inflow!AA25=0,#N/A,(Paris_Inflow!AA25+Paris_Inflow!AE25)/2)</f>
        <v>#N/A</v>
      </c>
      <c r="AD25" s="249" t="e">
        <f>IF(Paris_Inflow!AB25=0,#N/A,(Paris_Inflow!AB25+Paris_Inflow!AF25)/2)</f>
        <v>#N/A</v>
      </c>
      <c r="AE25" s="249" t="e">
        <f>IF(Paris_Inflow!AC25=0,#N/A,(Paris_Inflow!AC25+Paris_Inflow!AG25)/2)</f>
        <v>#N/A</v>
      </c>
      <c r="AG25" s="204"/>
      <c r="AH25" s="204"/>
      <c r="AI25" s="207"/>
      <c r="AJ25" s="207"/>
      <c r="AK25" s="204"/>
      <c r="AL25" s="207"/>
      <c r="AM25" s="204"/>
      <c r="AN25" s="207"/>
      <c r="AP25" s="204"/>
      <c r="AQ25" s="204"/>
      <c r="AR25" s="204"/>
      <c r="AS25" s="204"/>
      <c r="AT25" s="204"/>
      <c r="AU25" s="204"/>
    </row>
    <row r="26" spans="1:47" x14ac:dyDescent="0.25">
      <c r="A26" s="94">
        <v>1971</v>
      </c>
      <c r="B26" s="168">
        <f>IF(Paris_Inflow!C26=0,#N/A,Paris_Inflow!C26)</f>
        <v>277.988</v>
      </c>
      <c r="C26" s="163" t="e">
        <v>#N/A</v>
      </c>
      <c r="D26" s="168">
        <f>IF(Paris_Inflow!D26=0,#N/A,Paris_Inflow!D26)</f>
        <v>61.092000000000006</v>
      </c>
      <c r="E26" s="163" t="e">
        <v>#N/A</v>
      </c>
      <c r="F26" s="168">
        <f>IF(Paris_Inflow!E26=0,#N/A,Paris_Inflow!E26)</f>
        <v>216.89600000000002</v>
      </c>
      <c r="G26" s="163" t="e">
        <v>#N/A</v>
      </c>
      <c r="H26" s="168">
        <f>IF(Paris_Inflow!F26=0,#N/A,Paris_Inflow!F26)</f>
        <v>13.804</v>
      </c>
      <c r="I26" s="163" t="e">
        <v>#N/A</v>
      </c>
      <c r="J26" s="168">
        <f>IF(Paris_Inflow!G26=0,#N/A,Paris_Inflow!G26)</f>
        <v>14.459733333333334</v>
      </c>
      <c r="K26" s="163" t="e">
        <v>#N/A</v>
      </c>
      <c r="L26" s="167" t="e">
        <f>IF(Paris_Outflow!C26=0,#N/A,Paris_Outflow!C26)</f>
        <v>#N/A</v>
      </c>
      <c r="M26" s="172" t="e">
        <v>#N/A</v>
      </c>
      <c r="N26" s="167" t="e">
        <f>IF(Paris_Outflow!D26=0,#N/A,Paris_Outflow!D26)</f>
        <v>#N/A</v>
      </c>
      <c r="O26" s="172" t="e">
        <v>#N/A</v>
      </c>
      <c r="P26" s="167" t="e">
        <f>IF(Paris_Outflow!E26=0,#N/A,Paris_Outflow!E26)</f>
        <v>#N/A</v>
      </c>
      <c r="Q26" s="172" t="e">
        <v>#N/A</v>
      </c>
      <c r="R26" s="167" t="e">
        <f>IF(Paris_Outflow!F26=0,#N/A,Paris_Outflow!F26)</f>
        <v>#N/A</v>
      </c>
      <c r="S26" s="172" t="e">
        <v>#N/A</v>
      </c>
      <c r="T26" s="167" t="e">
        <f>IF(Paris_Outflow!G26=0,#N/A,Paris_Outflow!G26)</f>
        <v>#N/A</v>
      </c>
      <c r="U26" s="172" t="e">
        <v>#N/A</v>
      </c>
      <c r="V26" s="252">
        <f>IF(Paris_Inflow!O26=0,#N/A,Paris_Inflow!O26)</f>
        <v>382.25079392722432</v>
      </c>
      <c r="W26" s="252">
        <f>IF(Paris_Inflow!P26=0,#N/A,Paris_Inflow!P26)</f>
        <v>427.30748235125111</v>
      </c>
      <c r="X26" s="249"/>
      <c r="Y26" s="249" t="e">
        <f>IF(Paris_Inflow!W26=0,#N/A,Paris_Inflow!W26)</f>
        <v>#N/A</v>
      </c>
      <c r="Z26" s="249" t="e">
        <f>IF(Paris_Inflow!X26=0,#N/A,Paris_Inflow!X26)</f>
        <v>#N/A</v>
      </c>
      <c r="AA26" s="249" t="e">
        <f>IF(Paris_Inflow!Y26=0,#N/A,Paris_Inflow!Y26)</f>
        <v>#N/A</v>
      </c>
      <c r="AB26" s="249"/>
      <c r="AC26" s="249" t="e">
        <f>IF(Paris_Inflow!AA26=0,#N/A,(Paris_Inflow!AA26+Paris_Inflow!AE26)/2)</f>
        <v>#N/A</v>
      </c>
      <c r="AD26" s="249" t="e">
        <f>IF(Paris_Inflow!AB26=0,#N/A,(Paris_Inflow!AB26+Paris_Inflow!AF26)/2)</f>
        <v>#N/A</v>
      </c>
      <c r="AE26" s="249" t="e">
        <f>IF(Paris_Inflow!AC26=0,#N/A,(Paris_Inflow!AC26+Paris_Inflow!AG26)/2)</f>
        <v>#N/A</v>
      </c>
      <c r="AG26" s="204"/>
      <c r="AH26" s="204"/>
      <c r="AI26" s="207"/>
      <c r="AJ26" s="207"/>
      <c r="AK26" s="204"/>
      <c r="AL26" s="207"/>
      <c r="AM26" s="204"/>
      <c r="AN26" s="207"/>
      <c r="AP26" s="204"/>
      <c r="AQ26" s="204"/>
      <c r="AR26" s="204"/>
      <c r="AS26" s="204"/>
      <c r="AT26" s="204"/>
      <c r="AU26" s="204"/>
    </row>
    <row r="27" spans="1:47" x14ac:dyDescent="0.25">
      <c r="A27" s="94">
        <v>1972</v>
      </c>
      <c r="B27" s="168">
        <f>IF(Paris_Inflow!C27=0,#N/A,Paris_Inflow!C27)</f>
        <v>1164.6249999999998</v>
      </c>
      <c r="C27" s="163" t="e">
        <v>#N/A</v>
      </c>
      <c r="D27" s="168">
        <f>IF(Paris_Inflow!D27=0,#N/A,Paris_Inflow!D27)</f>
        <v>134.86499999999998</v>
      </c>
      <c r="E27" s="163" t="e">
        <v>#N/A</v>
      </c>
      <c r="F27" s="168">
        <f>IF(Paris_Inflow!E27=0,#N/A,Paris_Inflow!E27)</f>
        <v>1029.7599999999998</v>
      </c>
      <c r="G27" s="163" t="e">
        <v>#N/A</v>
      </c>
      <c r="H27" s="168">
        <f>IF(Paris_Inflow!F27=0,#N/A,Paris_Inflow!F27)</f>
        <v>59.177000000000007</v>
      </c>
      <c r="I27" s="163" t="e">
        <v>#N/A</v>
      </c>
      <c r="J27" s="168">
        <f>IF(Paris_Inflow!G27=0,#N/A,Paris_Inflow!G27)</f>
        <v>68.650666666666666</v>
      </c>
      <c r="K27" s="163" t="e">
        <v>#N/A</v>
      </c>
      <c r="L27" s="167" t="e">
        <f>IF(Paris_Outflow!C27=0,#N/A,Paris_Outflow!C27)</f>
        <v>#N/A</v>
      </c>
      <c r="M27" s="172" t="e">
        <v>#N/A</v>
      </c>
      <c r="N27" s="167" t="e">
        <f>IF(Paris_Outflow!D27=0,#N/A,Paris_Outflow!D27)</f>
        <v>#N/A</v>
      </c>
      <c r="O27" s="172" t="e">
        <v>#N/A</v>
      </c>
      <c r="P27" s="167" t="e">
        <f>IF(Paris_Outflow!E27=0,#N/A,Paris_Outflow!E27)</f>
        <v>#N/A</v>
      </c>
      <c r="Q27" s="172" t="e">
        <v>#N/A</v>
      </c>
      <c r="R27" s="167" t="e">
        <f>IF(Paris_Outflow!F27=0,#N/A,Paris_Outflow!F27)</f>
        <v>#N/A</v>
      </c>
      <c r="S27" s="172" t="e">
        <v>#N/A</v>
      </c>
      <c r="T27" s="167" t="e">
        <f>IF(Paris_Outflow!G27=0,#N/A,Paris_Outflow!G27)</f>
        <v>#N/A</v>
      </c>
      <c r="U27" s="172" t="e">
        <v>#N/A</v>
      </c>
      <c r="V27" s="252">
        <f>IF(Paris_Inflow!O27=0,#N/A,Paris_Inflow!O27)</f>
        <v>1593.4525288123614</v>
      </c>
      <c r="W27" s="252">
        <f>IF(Paris_Inflow!P27=0,#N/A,Paris_Inflow!P27)</f>
        <v>1713.1710375794362</v>
      </c>
      <c r="X27" s="249"/>
      <c r="Y27" s="249" t="e">
        <f>IF(Paris_Inflow!W27=0,#N/A,Paris_Inflow!W27)</f>
        <v>#N/A</v>
      </c>
      <c r="Z27" s="249" t="e">
        <f>IF(Paris_Inflow!X27=0,#N/A,Paris_Inflow!X27)</f>
        <v>#N/A</v>
      </c>
      <c r="AA27" s="249" t="e">
        <f>IF(Paris_Inflow!Y27=0,#N/A,Paris_Inflow!Y27)</f>
        <v>#N/A</v>
      </c>
      <c r="AB27" s="249"/>
      <c r="AC27" s="249" t="e">
        <f>IF(Paris_Inflow!AA27=0,#N/A,(Paris_Inflow!AA27+Paris_Inflow!AE27)/2)</f>
        <v>#N/A</v>
      </c>
      <c r="AD27" s="249" t="e">
        <f>IF(Paris_Inflow!AB27=0,#N/A,(Paris_Inflow!AB27+Paris_Inflow!AF27)/2)</f>
        <v>#N/A</v>
      </c>
      <c r="AE27" s="249" t="e">
        <f>IF(Paris_Inflow!AC27=0,#N/A,(Paris_Inflow!AC27+Paris_Inflow!AG27)/2)</f>
        <v>#N/A</v>
      </c>
      <c r="AG27" s="204"/>
      <c r="AH27" s="204"/>
      <c r="AI27" s="207"/>
      <c r="AJ27" s="207"/>
      <c r="AK27" s="204"/>
      <c r="AL27" s="207"/>
      <c r="AM27" s="204"/>
      <c r="AN27" s="207"/>
      <c r="AP27" s="204"/>
      <c r="AQ27" s="204"/>
      <c r="AR27" s="204"/>
      <c r="AS27" s="204"/>
      <c r="AT27" s="204"/>
      <c r="AU27" s="204"/>
    </row>
    <row r="28" spans="1:47" x14ac:dyDescent="0.25">
      <c r="A28" s="94">
        <v>1973</v>
      </c>
      <c r="B28" s="168">
        <f>IF(Paris_Inflow!C28=0,#N/A,Paris_Inflow!C28)</f>
        <v>568.54999999999995</v>
      </c>
      <c r="C28" s="163" t="e">
        <v>#N/A</v>
      </c>
      <c r="D28" s="168">
        <f>IF(Paris_Inflow!D28=0,#N/A,Paris_Inflow!D28)</f>
        <v>62.65</v>
      </c>
      <c r="E28" s="163" t="e">
        <v>#N/A</v>
      </c>
      <c r="F28" s="168">
        <f>IF(Paris_Inflow!E28=0,#N/A,Paris_Inflow!E28)</f>
        <v>505.90000000000003</v>
      </c>
      <c r="G28" s="163" t="e">
        <v>#N/A</v>
      </c>
      <c r="H28" s="168">
        <f>IF(Paris_Inflow!F28=0,#N/A,Paris_Inflow!F28)</f>
        <v>50.253333333333337</v>
      </c>
      <c r="I28" s="163" t="e">
        <v>#N/A</v>
      </c>
      <c r="J28" s="168">
        <f>IF(Paris_Inflow!G28=0,#N/A,Paris_Inflow!G28)</f>
        <v>38.706666666666663</v>
      </c>
      <c r="K28" s="163" t="e">
        <v>#N/A</v>
      </c>
      <c r="L28" s="167" t="e">
        <f>IF(Paris_Outflow!C28=0,#N/A,Paris_Outflow!C28)</f>
        <v>#N/A</v>
      </c>
      <c r="M28" s="172" t="e">
        <v>#N/A</v>
      </c>
      <c r="N28" s="167" t="e">
        <f>IF(Paris_Outflow!D28=0,#N/A,Paris_Outflow!D28)</f>
        <v>#N/A</v>
      </c>
      <c r="O28" s="172" t="e">
        <v>#N/A</v>
      </c>
      <c r="P28" s="167" t="e">
        <f>IF(Paris_Outflow!E28=0,#N/A,Paris_Outflow!E28)</f>
        <v>#N/A</v>
      </c>
      <c r="Q28" s="172" t="e">
        <v>#N/A</v>
      </c>
      <c r="R28" s="167" t="e">
        <f>IF(Paris_Outflow!F28=0,#N/A,Paris_Outflow!F28)</f>
        <v>#N/A</v>
      </c>
      <c r="S28" s="172" t="e">
        <v>#N/A</v>
      </c>
      <c r="T28" s="167" t="e">
        <f>IF(Paris_Outflow!G28=0,#N/A,Paris_Outflow!G28)</f>
        <v>#N/A</v>
      </c>
      <c r="U28" s="172" t="e">
        <v>#N/A</v>
      </c>
      <c r="V28" s="252">
        <f>IF(Paris_Inflow!O28=0,#N/A,Paris_Inflow!O28)</f>
        <v>776.82758427278941</v>
      </c>
      <c r="W28" s="252">
        <f>IF(Paris_Inflow!P28=0,#N/A,Paris_Inflow!P28)</f>
        <v>797.27636849345311</v>
      </c>
      <c r="X28" s="249"/>
      <c r="Y28" s="249" t="e">
        <f>IF(Paris_Inflow!W28=0,#N/A,Paris_Inflow!W28)</f>
        <v>#N/A</v>
      </c>
      <c r="Z28" s="249" t="e">
        <f>IF(Paris_Inflow!X28=0,#N/A,Paris_Inflow!X28)</f>
        <v>#N/A</v>
      </c>
      <c r="AA28" s="249" t="e">
        <f>IF(Paris_Inflow!Y28=0,#N/A,Paris_Inflow!Y28)</f>
        <v>#N/A</v>
      </c>
      <c r="AB28" s="249"/>
      <c r="AC28" s="249" t="e">
        <f>IF(Paris_Inflow!AA28=0,#N/A,(Paris_Inflow!AA28+Paris_Inflow!AE28)/2)</f>
        <v>#N/A</v>
      </c>
      <c r="AD28" s="249" t="e">
        <f>IF(Paris_Inflow!AB28=0,#N/A,(Paris_Inflow!AB28+Paris_Inflow!AF28)/2)</f>
        <v>#N/A</v>
      </c>
      <c r="AE28" s="249" t="e">
        <f>IF(Paris_Inflow!AC28=0,#N/A,(Paris_Inflow!AC28+Paris_Inflow!AG28)/2)</f>
        <v>#N/A</v>
      </c>
      <c r="AG28" s="204"/>
      <c r="AH28" s="204"/>
      <c r="AI28" s="207"/>
      <c r="AJ28" s="207"/>
      <c r="AK28" s="204"/>
      <c r="AL28" s="207"/>
      <c r="AM28" s="204"/>
      <c r="AN28" s="207"/>
      <c r="AP28" s="204"/>
      <c r="AQ28" s="204"/>
      <c r="AR28" s="204"/>
      <c r="AS28" s="204"/>
      <c r="AT28" s="204"/>
      <c r="AU28" s="204"/>
    </row>
    <row r="29" spans="1:47" x14ac:dyDescent="0.25">
      <c r="A29" s="94">
        <v>1974</v>
      </c>
      <c r="B29" s="168">
        <f>IF(Paris_Inflow!C29=0,#N/A,Paris_Inflow!C29)</f>
        <v>2866.2525500000002</v>
      </c>
      <c r="C29" s="163" t="e">
        <v>#N/A</v>
      </c>
      <c r="D29" s="168">
        <f>IF(Paris_Inflow!D29=0,#N/A,Paris_Inflow!D29)</f>
        <v>410.12970000000001</v>
      </c>
      <c r="E29" s="163" t="e">
        <v>#N/A</v>
      </c>
      <c r="F29" s="168">
        <f>IF(Paris_Inflow!E29=0,#N/A,Paris_Inflow!E29)</f>
        <v>2456.1228499999997</v>
      </c>
      <c r="G29" s="163" t="e">
        <v>#N/A</v>
      </c>
      <c r="H29" s="168">
        <f>IF(Paris_Inflow!F29=0,#N/A,Paris_Inflow!F29)</f>
        <v>259.57946666666669</v>
      </c>
      <c r="I29" s="163" t="e">
        <v>#N/A</v>
      </c>
      <c r="J29" s="168">
        <f>IF(Paris_Inflow!G29=0,#N/A,Paris_Inflow!G29)</f>
        <v>165.9008</v>
      </c>
      <c r="K29" s="163" t="e">
        <v>#N/A</v>
      </c>
      <c r="L29" s="167" t="e">
        <f>IF(Paris_Outflow!C29=0,#N/A,Paris_Outflow!C29)</f>
        <v>#N/A</v>
      </c>
      <c r="M29" s="172" t="e">
        <v>#N/A</v>
      </c>
      <c r="N29" s="167" t="e">
        <f>IF(Paris_Outflow!D29=0,#N/A,Paris_Outflow!D29)</f>
        <v>#N/A</v>
      </c>
      <c r="O29" s="172" t="e">
        <v>#N/A</v>
      </c>
      <c r="P29" s="167" t="e">
        <f>IF(Paris_Outflow!E29=0,#N/A,Paris_Outflow!E29)</f>
        <v>#N/A</v>
      </c>
      <c r="Q29" s="172" t="e">
        <v>#N/A</v>
      </c>
      <c r="R29" s="167" t="e">
        <f>IF(Paris_Outflow!F29=0,#N/A,Paris_Outflow!F29)</f>
        <v>#N/A</v>
      </c>
      <c r="S29" s="172" t="e">
        <v>#N/A</v>
      </c>
      <c r="T29" s="167" t="e">
        <f>IF(Paris_Outflow!G29=0,#N/A,Paris_Outflow!G29)</f>
        <v>#N/A</v>
      </c>
      <c r="U29" s="172" t="e">
        <v>#N/A</v>
      </c>
      <c r="V29" s="252">
        <f>IF(Paris_Inflow!O29=0,#N/A,Paris_Inflow!O29)</f>
        <v>3911.1438231129755</v>
      </c>
      <c r="W29" s="252">
        <f>IF(Paris_Inflow!P29=0,#N/A,Paris_Inflow!P29)</f>
        <v>3831.394038277213</v>
      </c>
      <c r="X29" s="249"/>
      <c r="Y29" s="249" t="e">
        <f>IF(Paris_Inflow!W29=0,#N/A,Paris_Inflow!W29)</f>
        <v>#N/A</v>
      </c>
      <c r="Z29" s="249" t="e">
        <f>IF(Paris_Inflow!X29=0,#N/A,Paris_Inflow!X29)</f>
        <v>#N/A</v>
      </c>
      <c r="AA29" s="249" t="e">
        <f>IF(Paris_Inflow!Y29=0,#N/A,Paris_Inflow!Y29)</f>
        <v>#N/A</v>
      </c>
      <c r="AB29" s="249"/>
      <c r="AC29" s="249" t="e">
        <f>IF(Paris_Inflow!AA29=0,#N/A,(Paris_Inflow!AA29+Paris_Inflow!AE29)/2)</f>
        <v>#N/A</v>
      </c>
      <c r="AD29" s="249" t="e">
        <f>IF(Paris_Inflow!AB29=0,#N/A,(Paris_Inflow!AB29+Paris_Inflow!AF29)/2)</f>
        <v>#N/A</v>
      </c>
      <c r="AE29" s="249" t="e">
        <f>IF(Paris_Inflow!AC29=0,#N/A,(Paris_Inflow!AC29+Paris_Inflow!AG29)/2)</f>
        <v>#N/A</v>
      </c>
      <c r="AG29" s="204"/>
      <c r="AH29" s="204"/>
      <c r="AI29" s="207"/>
      <c r="AJ29" s="207"/>
      <c r="AK29" s="204"/>
      <c r="AL29" s="207"/>
      <c r="AM29" s="204"/>
      <c r="AN29" s="207"/>
      <c r="AP29" s="204"/>
      <c r="AQ29" s="204"/>
      <c r="AR29" s="204"/>
      <c r="AS29" s="204"/>
      <c r="AT29" s="204"/>
      <c r="AU29" s="204"/>
    </row>
    <row r="30" spans="1:47" x14ac:dyDescent="0.25">
      <c r="A30" s="94">
        <v>1975</v>
      </c>
      <c r="B30" s="168">
        <f>IF(Paris_Inflow!C30=0,#N/A,Paris_Inflow!C30)</f>
        <v>1574.0985000000001</v>
      </c>
      <c r="C30" s="163" t="e">
        <v>#N/A</v>
      </c>
      <c r="D30" s="168">
        <f>IF(Paris_Inflow!D30=0,#N/A,Paris_Inflow!D30)</f>
        <v>66.292500000000004</v>
      </c>
      <c r="E30" s="163" t="e">
        <v>#N/A</v>
      </c>
      <c r="F30" s="168">
        <f>IF(Paris_Inflow!E30=0,#N/A,Paris_Inflow!E30)</f>
        <v>1507.806</v>
      </c>
      <c r="G30" s="163" t="e">
        <v>#N/A</v>
      </c>
      <c r="H30" s="168">
        <f>IF(Paris_Inflow!F30=0,#N/A,Paris_Inflow!F30)</f>
        <v>91.237953846153843</v>
      </c>
      <c r="I30" s="163" t="e">
        <v>#N/A</v>
      </c>
      <c r="J30" s="168">
        <f>IF(Paris_Inflow!G30=0,#N/A,Paris_Inflow!G30)</f>
        <v>74.891800000000003</v>
      </c>
      <c r="K30" s="163" t="e">
        <v>#N/A</v>
      </c>
      <c r="L30" s="167" t="e">
        <f>IF(Paris_Outflow!C30=0,#N/A,Paris_Outflow!C30)</f>
        <v>#N/A</v>
      </c>
      <c r="M30" s="172" t="e">
        <v>#N/A</v>
      </c>
      <c r="N30" s="167" t="e">
        <f>IF(Paris_Outflow!D30=0,#N/A,Paris_Outflow!D30)</f>
        <v>#N/A</v>
      </c>
      <c r="O30" s="172" t="e">
        <v>#N/A</v>
      </c>
      <c r="P30" s="167" t="e">
        <f>IF(Paris_Outflow!E30=0,#N/A,Paris_Outflow!E30)</f>
        <v>#N/A</v>
      </c>
      <c r="Q30" s="172" t="e">
        <v>#N/A</v>
      </c>
      <c r="R30" s="167" t="e">
        <f>IF(Paris_Outflow!F30=0,#N/A,Paris_Outflow!F30)</f>
        <v>#N/A</v>
      </c>
      <c r="S30" s="172" t="e">
        <v>#N/A</v>
      </c>
      <c r="T30" s="167" t="e">
        <f>IF(Paris_Outflow!G30=0,#N/A,Paris_Outflow!G30)</f>
        <v>#N/A</v>
      </c>
      <c r="U30" s="172" t="e">
        <v>#N/A</v>
      </c>
      <c r="V30" s="252">
        <f>IF(Paris_Inflow!O30=0,#N/A,Paris_Inflow!O30)</f>
        <v>2141.961187247985</v>
      </c>
      <c r="W30" s="252">
        <f>IF(Paris_Inflow!P30=0,#N/A,Paris_Inflow!P30)</f>
        <v>2014.84608</v>
      </c>
      <c r="X30" s="249"/>
      <c r="Y30" s="249" t="e">
        <f>IF(Paris_Inflow!W30=0,#N/A,Paris_Inflow!W30)</f>
        <v>#N/A</v>
      </c>
      <c r="Z30" s="249" t="e">
        <f>IF(Paris_Inflow!X30=0,#N/A,Paris_Inflow!X30)</f>
        <v>#N/A</v>
      </c>
      <c r="AA30" s="249" t="e">
        <f>IF(Paris_Inflow!Y30=0,#N/A,Paris_Inflow!Y30)</f>
        <v>#N/A</v>
      </c>
      <c r="AB30" s="249"/>
      <c r="AC30" s="249" t="e">
        <f>IF(Paris_Inflow!AA30=0,#N/A,(Paris_Inflow!AA30+Paris_Inflow!AE30)/2)</f>
        <v>#N/A</v>
      </c>
      <c r="AD30" s="249" t="e">
        <f>IF(Paris_Inflow!AB30=0,#N/A,(Paris_Inflow!AB30+Paris_Inflow!AF30)/2)</f>
        <v>#N/A</v>
      </c>
      <c r="AE30" s="249" t="e">
        <f>IF(Paris_Inflow!AC30=0,#N/A,(Paris_Inflow!AC30+Paris_Inflow!AG30)/2)</f>
        <v>#N/A</v>
      </c>
      <c r="AG30" s="208">
        <f>AVERAGE(Paris_Inflow!B30:B39)</f>
        <v>26221.988600000004</v>
      </c>
      <c r="AH30" s="208">
        <f>AVERAGE(Paris_Inflow!C30:C39)</f>
        <v>505.21380500000004</v>
      </c>
      <c r="AI30" s="207">
        <f>AVERAGE(Paris_Outflow!B30:B39)</f>
        <v>0</v>
      </c>
      <c r="AJ30" s="207">
        <f>AVERAGE(Paris_Outflow!C30:C39)</f>
        <v>0</v>
      </c>
      <c r="AK30" s="208">
        <f>AVERAGE(Paris_Inflow!F30:F39)</f>
        <v>31.657404363283774</v>
      </c>
      <c r="AL30" s="207">
        <f>AVERAGE(Paris_Outflow!F30:F39)</f>
        <v>0</v>
      </c>
      <c r="AM30" s="208">
        <f>AVERAGE(Paris_Inflow!G30:G39)</f>
        <v>24.876371747899164</v>
      </c>
      <c r="AN30" s="207">
        <f>AVERAGE(Paris_Outflow!G30:G39)</f>
        <v>0</v>
      </c>
      <c r="AP30" s="204"/>
      <c r="AQ30" s="204"/>
      <c r="AR30" s="204"/>
      <c r="AS30" s="204"/>
      <c r="AT30" s="204"/>
      <c r="AU30" s="204"/>
    </row>
    <row r="31" spans="1:47" x14ac:dyDescent="0.25">
      <c r="A31" s="94">
        <v>1976</v>
      </c>
      <c r="B31" s="168">
        <f>IF(Paris_Inflow!C31=0,#N/A,Paris_Inflow!C31)</f>
        <v>290.69470000000001</v>
      </c>
      <c r="C31" s="163" t="e">
        <v>#N/A</v>
      </c>
      <c r="D31" s="168">
        <f>IF(Paris_Inflow!D31=0,#N/A,Paris_Inflow!D31)</f>
        <v>173.29470000000001</v>
      </c>
      <c r="E31" s="163" t="e">
        <v>#N/A</v>
      </c>
      <c r="F31" s="168">
        <f>IF(Paris_Inflow!E31=0,#N/A,Paris_Inflow!E31)</f>
        <v>117.4</v>
      </c>
      <c r="G31" s="163" t="e">
        <v>#N/A</v>
      </c>
      <c r="H31" s="168">
        <f>IF(Paris_Inflow!F31=0,#N/A,Paris_Inflow!F31)</f>
        <v>35.632972307692313</v>
      </c>
      <c r="I31" s="163" t="e">
        <v>#N/A</v>
      </c>
      <c r="J31" s="168">
        <f>IF(Paris_Inflow!G31=0,#N/A,Paris_Inflow!G31)</f>
        <v>8.3149999999999995</v>
      </c>
      <c r="K31" s="163" t="e">
        <v>#N/A</v>
      </c>
      <c r="L31" s="167" t="e">
        <f>IF(Paris_Outflow!C31=0,#N/A,Paris_Outflow!C31)</f>
        <v>#N/A</v>
      </c>
      <c r="M31" s="172" t="e">
        <v>#N/A</v>
      </c>
      <c r="N31" s="167" t="e">
        <f>IF(Paris_Outflow!D31=0,#N/A,Paris_Outflow!D31)</f>
        <v>#N/A</v>
      </c>
      <c r="O31" s="172" t="e">
        <v>#N/A</v>
      </c>
      <c r="P31" s="167" t="e">
        <f>IF(Paris_Outflow!E31=0,#N/A,Paris_Outflow!E31)</f>
        <v>#N/A</v>
      </c>
      <c r="Q31" s="172" t="e">
        <v>#N/A</v>
      </c>
      <c r="R31" s="167" t="e">
        <f>IF(Paris_Outflow!F31=0,#N/A,Paris_Outflow!F31)</f>
        <v>#N/A</v>
      </c>
      <c r="S31" s="172" t="e">
        <v>#N/A</v>
      </c>
      <c r="T31" s="167" t="e">
        <f>IF(Paris_Outflow!G31=0,#N/A,Paris_Outflow!G31)</f>
        <v>#N/A</v>
      </c>
      <c r="U31" s="172" t="e">
        <v>#N/A</v>
      </c>
      <c r="V31" s="252">
        <f>IF(Paris_Inflow!O31=0,#N/A,Paris_Inflow!O31)</f>
        <v>393.96053966405321</v>
      </c>
      <c r="W31" s="252">
        <f>IF(Paris_Inflow!P31=0,#N/A,Paris_Inflow!P31)</f>
        <v>357.78449978807197</v>
      </c>
      <c r="X31" s="249"/>
      <c r="Y31" s="249" t="e">
        <f>IF(Paris_Inflow!W31=0,#N/A,Paris_Inflow!W31)</f>
        <v>#N/A</v>
      </c>
      <c r="Z31" s="249" t="e">
        <f>IF(Paris_Inflow!X31=0,#N/A,Paris_Inflow!X31)</f>
        <v>#N/A</v>
      </c>
      <c r="AA31" s="249" t="e">
        <f>IF(Paris_Inflow!Y31=0,#N/A,Paris_Inflow!Y31)</f>
        <v>#N/A</v>
      </c>
      <c r="AB31" s="249"/>
      <c r="AC31" s="249" t="e">
        <f>IF(Paris_Inflow!AA31=0,#N/A,(Paris_Inflow!AA31+Paris_Inflow!AE31)/2)</f>
        <v>#N/A</v>
      </c>
      <c r="AD31" s="249" t="e">
        <f>IF(Paris_Inflow!AB31=0,#N/A,(Paris_Inflow!AB31+Paris_Inflow!AF31)/2)</f>
        <v>#N/A</v>
      </c>
      <c r="AE31" s="249" t="e">
        <f>IF(Paris_Inflow!AC31=0,#N/A,(Paris_Inflow!AC31+Paris_Inflow!AG31)/2)</f>
        <v>#N/A</v>
      </c>
      <c r="AG31" s="204"/>
      <c r="AH31" s="204"/>
      <c r="AI31" s="207"/>
      <c r="AJ31" s="207"/>
      <c r="AK31" s="204"/>
      <c r="AL31" s="207"/>
      <c r="AM31" s="204"/>
      <c r="AN31" s="207"/>
      <c r="AP31" s="204"/>
      <c r="AQ31" s="204"/>
      <c r="AR31" s="204"/>
      <c r="AS31" s="204"/>
      <c r="AT31" s="204"/>
      <c r="AU31" s="204"/>
    </row>
    <row r="32" spans="1:47" x14ac:dyDescent="0.25">
      <c r="A32" s="94">
        <v>1977</v>
      </c>
      <c r="B32" s="168" t="e">
        <f>IF(Paris_Inflow!C32=0,#N/A,Paris_Inflow!C32)</f>
        <v>#N/A</v>
      </c>
      <c r="C32" s="163" t="e">
        <v>#N/A</v>
      </c>
      <c r="D32" s="168" t="e">
        <f>IF(Paris_Inflow!D32=0,#N/A,Paris_Inflow!D32)</f>
        <v>#N/A</v>
      </c>
      <c r="E32" s="163" t="e">
        <v>#N/A</v>
      </c>
      <c r="F32" s="168" t="e">
        <f>IF(Paris_Inflow!E32=0,#N/A,Paris_Inflow!E32)</f>
        <v>#N/A</v>
      </c>
      <c r="G32" s="163" t="e">
        <v>#N/A</v>
      </c>
      <c r="H32" s="168" t="e">
        <f>IF(Paris_Inflow!F32=0,#N/A,Paris_Inflow!F32)</f>
        <v>#N/A</v>
      </c>
      <c r="I32" s="163" t="e">
        <v>#N/A</v>
      </c>
      <c r="J32" s="168" t="e">
        <f>IF(Paris_Inflow!G32=0,#N/A,Paris_Inflow!G32)</f>
        <v>#N/A</v>
      </c>
      <c r="K32" s="163" t="e">
        <v>#N/A</v>
      </c>
      <c r="L32" s="167" t="e">
        <f>IF(Paris_Outflow!C32=0,#N/A,Paris_Outflow!C32)</f>
        <v>#N/A</v>
      </c>
      <c r="M32" s="172" t="e">
        <v>#N/A</v>
      </c>
      <c r="N32" s="167" t="e">
        <f>IF(Paris_Outflow!D32=0,#N/A,Paris_Outflow!D32)</f>
        <v>#N/A</v>
      </c>
      <c r="O32" s="172" t="e">
        <v>#N/A</v>
      </c>
      <c r="P32" s="167" t="e">
        <f>IF(Paris_Outflow!E32=0,#N/A,Paris_Outflow!E32)</f>
        <v>#N/A</v>
      </c>
      <c r="Q32" s="172" t="e">
        <v>#N/A</v>
      </c>
      <c r="R32" s="167" t="e">
        <f>IF(Paris_Outflow!F32=0,#N/A,Paris_Outflow!F32)</f>
        <v>#N/A</v>
      </c>
      <c r="S32" s="172" t="e">
        <v>#N/A</v>
      </c>
      <c r="T32" s="167" t="e">
        <f>IF(Paris_Outflow!G32=0,#N/A,Paris_Outflow!G32)</f>
        <v>#N/A</v>
      </c>
      <c r="U32" s="172" t="e">
        <v>#N/A</v>
      </c>
      <c r="V32" s="252" t="e">
        <f>IF(Paris_Inflow!O32=0,#N/A,Paris_Inflow!O32)</f>
        <v>#N/A</v>
      </c>
      <c r="W32" s="252" t="e">
        <f>IF(Paris_Inflow!P32=0,#N/A,Paris_Inflow!P32)</f>
        <v>#N/A</v>
      </c>
      <c r="X32" s="249"/>
      <c r="Y32" s="249" t="e">
        <f>IF(Paris_Inflow!W32=0,#N/A,Paris_Inflow!W32)</f>
        <v>#N/A</v>
      </c>
      <c r="Z32" s="249" t="e">
        <f>IF(Paris_Inflow!X32=0,#N/A,Paris_Inflow!X32)</f>
        <v>#N/A</v>
      </c>
      <c r="AA32" s="249" t="e">
        <f>IF(Paris_Inflow!Y32=0,#N/A,Paris_Inflow!Y32)</f>
        <v>#N/A</v>
      </c>
      <c r="AB32" s="249"/>
      <c r="AC32" s="249" t="e">
        <f>IF(Paris_Inflow!AA32=0,#N/A,(Paris_Inflow!AA32+Paris_Inflow!AE32)/2)</f>
        <v>#N/A</v>
      </c>
      <c r="AD32" s="249" t="e">
        <f>IF(Paris_Inflow!AB32=0,#N/A,(Paris_Inflow!AB32+Paris_Inflow!AF32)/2)</f>
        <v>#N/A</v>
      </c>
      <c r="AE32" s="249" t="e">
        <f>IF(Paris_Inflow!AC32=0,#N/A,(Paris_Inflow!AC32+Paris_Inflow!AG32)/2)</f>
        <v>#N/A</v>
      </c>
      <c r="AG32" s="204"/>
      <c r="AH32" s="204"/>
      <c r="AI32" s="207"/>
      <c r="AJ32" s="207"/>
      <c r="AK32" s="204"/>
      <c r="AL32" s="207"/>
      <c r="AM32" s="204"/>
      <c r="AN32" s="207"/>
      <c r="AP32" s="204"/>
      <c r="AQ32" s="204"/>
      <c r="AR32" s="204"/>
      <c r="AS32" s="204"/>
      <c r="AT32" s="204"/>
      <c r="AU32" s="204"/>
    </row>
    <row r="33" spans="1:47" x14ac:dyDescent="0.25">
      <c r="A33" s="94">
        <v>1978</v>
      </c>
      <c r="B33" s="168">
        <f>IF(Paris_Inflow!C33=0,#N/A,Paris_Inflow!C33)</f>
        <v>315.94499999999999</v>
      </c>
      <c r="C33" s="163" t="e">
        <v>#N/A</v>
      </c>
      <c r="D33" s="168">
        <f>IF(Paris_Inflow!D33=0,#N/A,Paris_Inflow!D33)</f>
        <v>48.194999999999993</v>
      </c>
      <c r="E33" s="163" t="e">
        <v>#N/A</v>
      </c>
      <c r="F33" s="168">
        <f>IF(Paris_Inflow!E33=0,#N/A,Paris_Inflow!E33)</f>
        <v>267.75</v>
      </c>
      <c r="G33" s="163" t="e">
        <v>#N/A</v>
      </c>
      <c r="H33" s="168">
        <f>IF(Paris_Inflow!F33=0,#N/A,Paris_Inflow!F33)</f>
        <v>29.75</v>
      </c>
      <c r="I33" s="163" t="e">
        <v>#N/A</v>
      </c>
      <c r="J33" s="168">
        <f>IF(Paris_Inflow!G33=0,#N/A,Paris_Inflow!G33)</f>
        <v>14.875</v>
      </c>
      <c r="K33" s="163" t="e">
        <v>#N/A</v>
      </c>
      <c r="L33" s="167" t="e">
        <f>IF(Paris_Outflow!C33=0,#N/A,Paris_Outflow!C33)</f>
        <v>#N/A</v>
      </c>
      <c r="M33" s="172" t="e">
        <v>#N/A</v>
      </c>
      <c r="N33" s="167" t="e">
        <f>IF(Paris_Outflow!D33=0,#N/A,Paris_Outflow!D33)</f>
        <v>#N/A</v>
      </c>
      <c r="O33" s="172" t="e">
        <v>#N/A</v>
      </c>
      <c r="P33" s="167" t="e">
        <f>IF(Paris_Outflow!E33=0,#N/A,Paris_Outflow!E33)</f>
        <v>#N/A</v>
      </c>
      <c r="Q33" s="172" t="e">
        <v>#N/A</v>
      </c>
      <c r="R33" s="167" t="e">
        <f>IF(Paris_Outflow!F33=0,#N/A,Paris_Outflow!F33)</f>
        <v>#N/A</v>
      </c>
      <c r="S33" s="172" t="e">
        <v>#N/A</v>
      </c>
      <c r="T33" s="167" t="e">
        <f>IF(Paris_Outflow!G33=0,#N/A,Paris_Outflow!G33)</f>
        <v>#N/A</v>
      </c>
      <c r="U33" s="172" t="e">
        <v>#N/A</v>
      </c>
      <c r="V33" s="252">
        <f>IF(Paris_Inflow!O33=0,#N/A,Paris_Inflow!O33)</f>
        <v>423.96492237353186</v>
      </c>
      <c r="W33" s="252">
        <f>IF(Paris_Inflow!P33=0,#N/A,Paris_Inflow!P33)</f>
        <v>360.72095517817957</v>
      </c>
      <c r="X33" s="249"/>
      <c r="Y33" s="249" t="e">
        <f>IF(Paris_Inflow!W33=0,#N/A,Paris_Inflow!W33)</f>
        <v>#N/A</v>
      </c>
      <c r="Z33" s="249" t="e">
        <f>IF(Paris_Inflow!X33=0,#N/A,Paris_Inflow!X33)</f>
        <v>#N/A</v>
      </c>
      <c r="AA33" s="249" t="e">
        <f>IF(Paris_Inflow!Y33=0,#N/A,Paris_Inflow!Y33)</f>
        <v>#N/A</v>
      </c>
      <c r="AB33" s="249"/>
      <c r="AC33" s="249" t="e">
        <f>IF(Paris_Inflow!AA33=0,#N/A,(Paris_Inflow!AA33+Paris_Inflow!AE33)/2)</f>
        <v>#N/A</v>
      </c>
      <c r="AD33" s="249" t="e">
        <f>IF(Paris_Inflow!AB33=0,#N/A,(Paris_Inflow!AB33+Paris_Inflow!AF33)/2)</f>
        <v>#N/A</v>
      </c>
      <c r="AE33" s="249" t="e">
        <f>IF(Paris_Inflow!AC33=0,#N/A,(Paris_Inflow!AC33+Paris_Inflow!AG33)/2)</f>
        <v>#N/A</v>
      </c>
      <c r="AG33" s="204"/>
      <c r="AH33" s="204"/>
      <c r="AI33" s="207"/>
      <c r="AJ33" s="207"/>
      <c r="AK33" s="204"/>
      <c r="AL33" s="207"/>
      <c r="AM33" s="204"/>
      <c r="AN33" s="207"/>
      <c r="AP33" s="204"/>
      <c r="AQ33" s="204"/>
      <c r="AR33" s="204"/>
      <c r="AS33" s="204"/>
      <c r="AT33" s="204"/>
      <c r="AU33" s="204"/>
    </row>
    <row r="34" spans="1:47" x14ac:dyDescent="0.25">
      <c r="A34" s="94">
        <v>1979</v>
      </c>
      <c r="B34" s="168" t="e">
        <f>IF(Paris_Inflow!C34=0,#N/A,Paris_Inflow!C34)</f>
        <v>#N/A</v>
      </c>
      <c r="C34" s="163" t="e">
        <v>#N/A</v>
      </c>
      <c r="D34" s="168" t="e">
        <f>IF(Paris_Inflow!D34=0,#N/A,Paris_Inflow!D34)</f>
        <v>#N/A</v>
      </c>
      <c r="E34" s="163" t="e">
        <v>#N/A</v>
      </c>
      <c r="F34" s="168" t="e">
        <f>IF(Paris_Inflow!E34=0,#N/A,Paris_Inflow!E34)</f>
        <v>#N/A</v>
      </c>
      <c r="G34" s="163" t="e">
        <v>#N/A</v>
      </c>
      <c r="H34" s="168" t="e">
        <f>IF(Paris_Inflow!F34=0,#N/A,Paris_Inflow!F34)</f>
        <v>#N/A</v>
      </c>
      <c r="I34" s="163" t="e">
        <v>#N/A</v>
      </c>
      <c r="J34" s="168" t="e">
        <f>IF(Paris_Inflow!G34=0,#N/A,Paris_Inflow!G34)</f>
        <v>#N/A</v>
      </c>
      <c r="K34" s="163" t="e">
        <v>#N/A</v>
      </c>
      <c r="L34" s="167" t="e">
        <f>IF(Paris_Outflow!C34=0,#N/A,Paris_Outflow!C34)</f>
        <v>#N/A</v>
      </c>
      <c r="M34" s="172" t="e">
        <v>#N/A</v>
      </c>
      <c r="N34" s="167" t="e">
        <f>IF(Paris_Outflow!D34=0,#N/A,Paris_Outflow!D34)</f>
        <v>#N/A</v>
      </c>
      <c r="O34" s="172" t="e">
        <v>#N/A</v>
      </c>
      <c r="P34" s="167" t="e">
        <f>IF(Paris_Outflow!E34=0,#N/A,Paris_Outflow!E34)</f>
        <v>#N/A</v>
      </c>
      <c r="Q34" s="172" t="e">
        <v>#N/A</v>
      </c>
      <c r="R34" s="167" t="e">
        <f>IF(Paris_Outflow!F34=0,#N/A,Paris_Outflow!F34)</f>
        <v>#N/A</v>
      </c>
      <c r="S34" s="172" t="e">
        <v>#N/A</v>
      </c>
      <c r="T34" s="167" t="e">
        <f>IF(Paris_Outflow!G34=0,#N/A,Paris_Outflow!G34)</f>
        <v>#N/A</v>
      </c>
      <c r="U34" s="172" t="e">
        <v>#N/A</v>
      </c>
      <c r="V34" s="252" t="e">
        <f>IF(Paris_Inflow!O34=0,#N/A,Paris_Inflow!O34)</f>
        <v>#N/A</v>
      </c>
      <c r="W34" s="252" t="e">
        <f>IF(Paris_Inflow!P34=0,#N/A,Paris_Inflow!P34)</f>
        <v>#N/A</v>
      </c>
      <c r="X34" s="249"/>
      <c r="Y34" s="249" t="e">
        <f>IF(Paris_Inflow!W34=0,#N/A,Paris_Inflow!W34)</f>
        <v>#N/A</v>
      </c>
      <c r="Z34" s="249" t="e">
        <f>IF(Paris_Inflow!X34=0,#N/A,Paris_Inflow!X34)</f>
        <v>#N/A</v>
      </c>
      <c r="AA34" s="249" t="e">
        <f>IF(Paris_Inflow!Y34=0,#N/A,Paris_Inflow!Y34)</f>
        <v>#N/A</v>
      </c>
      <c r="AB34" s="249"/>
      <c r="AC34" s="249" t="e">
        <f>IF(Paris_Inflow!AA34=0,#N/A,(Paris_Inflow!AA34+Paris_Inflow!AE34)/2)</f>
        <v>#N/A</v>
      </c>
      <c r="AD34" s="249" t="e">
        <f>IF(Paris_Inflow!AB34=0,#N/A,(Paris_Inflow!AB34+Paris_Inflow!AF34)/2)</f>
        <v>#N/A</v>
      </c>
      <c r="AE34" s="249" t="e">
        <f>IF(Paris_Inflow!AC34=0,#N/A,(Paris_Inflow!AC34+Paris_Inflow!AG34)/2)</f>
        <v>#N/A</v>
      </c>
      <c r="AG34" s="204"/>
      <c r="AH34" s="204"/>
      <c r="AI34" s="207"/>
      <c r="AJ34" s="207"/>
      <c r="AK34" s="204"/>
      <c r="AL34" s="207"/>
      <c r="AM34" s="204"/>
      <c r="AN34" s="207"/>
      <c r="AP34" s="204"/>
      <c r="AQ34" s="204"/>
      <c r="AR34" s="204"/>
      <c r="AS34" s="204"/>
      <c r="AT34" s="204"/>
      <c r="AU34" s="204"/>
    </row>
    <row r="35" spans="1:47" x14ac:dyDescent="0.25">
      <c r="A35" s="94">
        <v>1980</v>
      </c>
      <c r="B35" s="168">
        <f>IF(Paris_Inflow!C35=0,#N/A,Paris_Inflow!C35)</f>
        <v>127.7199</v>
      </c>
      <c r="C35" s="163" t="e">
        <v>#N/A</v>
      </c>
      <c r="D35" s="168">
        <f>IF(Paris_Inflow!D35=0,#N/A,Paris_Inflow!D35)</f>
        <v>34.832699999999996</v>
      </c>
      <c r="E35" s="163" t="e">
        <v>#N/A</v>
      </c>
      <c r="F35" s="168">
        <f>IF(Paris_Inflow!E35=0,#N/A,Paris_Inflow!E35)</f>
        <v>92.887199999999993</v>
      </c>
      <c r="G35" s="163" t="e">
        <v>#N/A</v>
      </c>
      <c r="H35" s="168">
        <f>IF(Paris_Inflow!F35=0,#N/A,Paris_Inflow!F35)</f>
        <v>10.5924</v>
      </c>
      <c r="I35" s="163" t="e">
        <v>#N/A</v>
      </c>
      <c r="J35" s="168">
        <f>IF(Paris_Inflow!G35=0,#N/A,Paris_Inflow!G35)</f>
        <v>5.2961999999999998</v>
      </c>
      <c r="K35" s="163" t="e">
        <v>#N/A</v>
      </c>
      <c r="L35" s="167" t="e">
        <f>IF(Paris_Outflow!C35=0,#N/A,Paris_Outflow!C35)</f>
        <v>#N/A</v>
      </c>
      <c r="M35" s="172" t="e">
        <v>#N/A</v>
      </c>
      <c r="N35" s="167" t="e">
        <f>IF(Paris_Outflow!D35=0,#N/A,Paris_Outflow!D35)</f>
        <v>#N/A</v>
      </c>
      <c r="O35" s="172" t="e">
        <v>#N/A</v>
      </c>
      <c r="P35" s="167" t="e">
        <f>IF(Paris_Outflow!E35=0,#N/A,Paris_Outflow!E35)</f>
        <v>#N/A</v>
      </c>
      <c r="Q35" s="172" t="e">
        <v>#N/A</v>
      </c>
      <c r="R35" s="167" t="e">
        <f>IF(Paris_Outflow!F35=0,#N/A,Paris_Outflow!F35)</f>
        <v>#N/A</v>
      </c>
      <c r="S35" s="172" t="e">
        <v>#N/A</v>
      </c>
      <c r="T35" s="167" t="e">
        <f>IF(Paris_Outflow!G35=0,#N/A,Paris_Outflow!G35)</f>
        <v>#N/A</v>
      </c>
      <c r="U35" s="172" t="e">
        <v>#N/A</v>
      </c>
      <c r="V35" s="252">
        <f>IF(Paris_Inflow!O35=0,#N/A,Paris_Inflow!O35)</f>
        <v>169.15780530139514</v>
      </c>
      <c r="W35" s="252">
        <f>IF(Paris_Inflow!P35=0,#N/A,Paris_Inflow!P35)</f>
        <v>136.660293</v>
      </c>
      <c r="X35" s="249"/>
      <c r="Y35" s="249" t="e">
        <f>IF(Paris_Inflow!W35=0,#N/A,Paris_Inflow!W35)</f>
        <v>#N/A</v>
      </c>
      <c r="Z35" s="249" t="e">
        <f>IF(Paris_Inflow!X35=0,#N/A,Paris_Inflow!X35)</f>
        <v>#N/A</v>
      </c>
      <c r="AA35" s="249" t="e">
        <f>IF(Paris_Inflow!Y35=0,#N/A,Paris_Inflow!Y35)</f>
        <v>#N/A</v>
      </c>
      <c r="AB35" s="249"/>
      <c r="AC35" s="249" t="e">
        <f>IF(Paris_Inflow!AA35=0,#N/A,(Paris_Inflow!AA35+Paris_Inflow!AE35)/2)</f>
        <v>#N/A</v>
      </c>
      <c r="AD35" s="249" t="e">
        <f>IF(Paris_Inflow!AB35=0,#N/A,(Paris_Inflow!AB35+Paris_Inflow!AF35)/2)</f>
        <v>#N/A</v>
      </c>
      <c r="AE35" s="249" t="e">
        <f>IF(Paris_Inflow!AC35=0,#N/A,(Paris_Inflow!AC35+Paris_Inflow!AG35)/2)</f>
        <v>#N/A</v>
      </c>
      <c r="AG35" s="204"/>
      <c r="AH35" s="204"/>
      <c r="AI35" s="207"/>
      <c r="AJ35" s="207"/>
      <c r="AK35" s="204"/>
      <c r="AL35" s="207"/>
      <c r="AM35" s="204"/>
      <c r="AN35" s="207"/>
      <c r="AP35" s="204"/>
      <c r="AQ35" s="204"/>
      <c r="AR35" s="204"/>
      <c r="AS35" s="204"/>
      <c r="AT35" s="204"/>
      <c r="AU35" s="204"/>
    </row>
    <row r="36" spans="1:47" x14ac:dyDescent="0.25">
      <c r="A36" s="94">
        <v>1981</v>
      </c>
      <c r="B36" s="168">
        <f>IF(Paris_Inflow!C36=0,#N/A,Paris_Inflow!C36)</f>
        <v>549.29875000000004</v>
      </c>
      <c r="C36" s="163" t="e">
        <v>#N/A</v>
      </c>
      <c r="D36" s="168">
        <f>IF(Paris_Inflow!D36=0,#N/A,Paris_Inflow!D36)</f>
        <v>17.71875</v>
      </c>
      <c r="E36" s="163" t="e">
        <v>#N/A</v>
      </c>
      <c r="F36" s="168">
        <f>IF(Paris_Inflow!E36=0,#N/A,Paris_Inflow!E36)</f>
        <v>531.58000000000004</v>
      </c>
      <c r="G36" s="163" t="e">
        <v>#N/A</v>
      </c>
      <c r="H36" s="168">
        <f>IF(Paris_Inflow!F36=0,#N/A,Paris_Inflow!F36)</f>
        <v>25.824999999999999</v>
      </c>
      <c r="I36" s="163" t="e">
        <v>#N/A</v>
      </c>
      <c r="J36" s="168">
        <f>IF(Paris_Inflow!G36=0,#N/A,Paris_Inflow!G36)</f>
        <v>21.85</v>
      </c>
      <c r="K36" s="163" t="e">
        <v>#N/A</v>
      </c>
      <c r="L36" s="167" t="e">
        <f>IF(Paris_Outflow!C36=0,#N/A,Paris_Outflow!C36)</f>
        <v>#N/A</v>
      </c>
      <c r="M36" s="172" t="e">
        <v>#N/A</v>
      </c>
      <c r="N36" s="167" t="e">
        <f>IF(Paris_Outflow!D36=0,#N/A,Paris_Outflow!D36)</f>
        <v>#N/A</v>
      </c>
      <c r="O36" s="172" t="e">
        <v>#N/A</v>
      </c>
      <c r="P36" s="167" t="e">
        <f>IF(Paris_Outflow!E36=0,#N/A,Paris_Outflow!E36)</f>
        <v>#N/A</v>
      </c>
      <c r="Q36" s="172" t="e">
        <v>#N/A</v>
      </c>
      <c r="R36" s="167" t="e">
        <f>IF(Paris_Outflow!F36=0,#N/A,Paris_Outflow!F36)</f>
        <v>#N/A</v>
      </c>
      <c r="S36" s="172" t="e">
        <v>#N/A</v>
      </c>
      <c r="T36" s="167" t="e">
        <f>IF(Paris_Outflow!G36=0,#N/A,Paris_Outflow!G36)</f>
        <v>#N/A</v>
      </c>
      <c r="U36" s="172" t="e">
        <v>#N/A</v>
      </c>
      <c r="V36" s="252">
        <f>IF(Paris_Inflow!O36=0,#N/A,Paris_Inflow!O36)</f>
        <v>721.97955263410267</v>
      </c>
      <c r="W36" s="252">
        <f>IF(Paris_Inflow!P36=0,#N/A,Paris_Inflow!P36)</f>
        <v>572.34980238799506</v>
      </c>
      <c r="X36" s="249"/>
      <c r="Y36" s="249" t="e">
        <f>IF(Paris_Inflow!W36=0,#N/A,Paris_Inflow!W36)</f>
        <v>#N/A</v>
      </c>
      <c r="Z36" s="249" t="e">
        <f>IF(Paris_Inflow!X36=0,#N/A,Paris_Inflow!X36)</f>
        <v>#N/A</v>
      </c>
      <c r="AA36" s="249" t="e">
        <f>IF(Paris_Inflow!Y36=0,#N/A,Paris_Inflow!Y36)</f>
        <v>#N/A</v>
      </c>
      <c r="AB36" s="249"/>
      <c r="AC36" s="249" t="e">
        <f>IF(Paris_Inflow!AA36=0,#N/A,(Paris_Inflow!AA36+Paris_Inflow!AE36)/2)</f>
        <v>#N/A</v>
      </c>
      <c r="AD36" s="249" t="e">
        <f>IF(Paris_Inflow!AB36=0,#N/A,(Paris_Inflow!AB36+Paris_Inflow!AF36)/2)</f>
        <v>#N/A</v>
      </c>
      <c r="AE36" s="249" t="e">
        <f>IF(Paris_Inflow!AC36=0,#N/A,(Paris_Inflow!AC36+Paris_Inflow!AG36)/2)</f>
        <v>#N/A</v>
      </c>
      <c r="AG36" s="204"/>
      <c r="AH36" s="204"/>
      <c r="AI36" s="207"/>
      <c r="AJ36" s="207"/>
      <c r="AK36" s="204"/>
      <c r="AL36" s="207"/>
      <c r="AM36" s="204"/>
      <c r="AN36" s="207"/>
      <c r="AP36" s="204"/>
      <c r="AQ36" s="204"/>
      <c r="AR36" s="204"/>
      <c r="AS36" s="204"/>
      <c r="AT36" s="204"/>
      <c r="AU36" s="204"/>
    </row>
    <row r="37" spans="1:47" x14ac:dyDescent="0.25">
      <c r="A37" s="94">
        <v>1982</v>
      </c>
      <c r="B37" s="168">
        <f>IF(Paris_Inflow!C37=0,#N/A,Paris_Inflow!C37)</f>
        <v>541.83079999999995</v>
      </c>
      <c r="C37" s="163" t="e">
        <v>#N/A</v>
      </c>
      <c r="D37" s="168" t="e">
        <f>IF(Paris_Inflow!D37=0,#N/A,Paris_Inflow!D37)</f>
        <v>#N/A</v>
      </c>
      <c r="E37" s="163" t="e">
        <v>#N/A</v>
      </c>
      <c r="F37" s="168">
        <f>IF(Paris_Inflow!E37=0,#N/A,Paris_Inflow!E37)</f>
        <v>541.83079999999995</v>
      </c>
      <c r="G37" s="163" t="e">
        <v>#N/A</v>
      </c>
      <c r="H37" s="168">
        <f>IF(Paris_Inflow!F37=0,#N/A,Paris_Inflow!F37)</f>
        <v>40.691900000000004</v>
      </c>
      <c r="I37" s="163" t="e">
        <v>#N/A</v>
      </c>
      <c r="J37" s="168">
        <f>IF(Paris_Inflow!G37=0,#N/A,Paris_Inflow!G37)</f>
        <v>40.691900000000004</v>
      </c>
      <c r="K37" s="163" t="e">
        <v>#N/A</v>
      </c>
      <c r="L37" s="167" t="e">
        <f>IF(Paris_Outflow!C37=0,#N/A,Paris_Outflow!C37)</f>
        <v>#N/A</v>
      </c>
      <c r="M37" s="172" t="e">
        <v>#N/A</v>
      </c>
      <c r="N37" s="167" t="e">
        <f>IF(Paris_Outflow!D37=0,#N/A,Paris_Outflow!D37)</f>
        <v>#N/A</v>
      </c>
      <c r="O37" s="172" t="e">
        <v>#N/A</v>
      </c>
      <c r="P37" s="167" t="e">
        <f>IF(Paris_Outflow!E37=0,#N/A,Paris_Outflow!E37)</f>
        <v>#N/A</v>
      </c>
      <c r="Q37" s="172" t="e">
        <v>#N/A</v>
      </c>
      <c r="R37" s="167" t="e">
        <f>IF(Paris_Outflow!F37=0,#N/A,Paris_Outflow!F37)</f>
        <v>#N/A</v>
      </c>
      <c r="S37" s="172" t="e">
        <v>#N/A</v>
      </c>
      <c r="T37" s="167" t="e">
        <f>IF(Paris_Outflow!G37=0,#N/A,Paris_Outflow!G37)</f>
        <v>#N/A</v>
      </c>
      <c r="U37" s="172" t="e">
        <v>#N/A</v>
      </c>
      <c r="V37" s="252">
        <f>IF(Paris_Inflow!O37=0,#N/A,Paris_Inflow!O37)</f>
        <v>706.33646994556977</v>
      </c>
      <c r="W37" s="252">
        <f>IF(Paris_Inflow!P37=0,#N/A,Paris_Inflow!P37)</f>
        <v>551.44725244427491</v>
      </c>
      <c r="X37" s="249"/>
      <c r="Y37" s="249" t="e">
        <f>IF(Paris_Inflow!W37=0,#N/A,Paris_Inflow!W37)</f>
        <v>#N/A</v>
      </c>
      <c r="Z37" s="249" t="e">
        <f>IF(Paris_Inflow!X37=0,#N/A,Paris_Inflow!X37)</f>
        <v>#N/A</v>
      </c>
      <c r="AA37" s="249" t="e">
        <f>IF(Paris_Inflow!Y37=0,#N/A,Paris_Inflow!Y37)</f>
        <v>#N/A</v>
      </c>
      <c r="AB37" s="249"/>
      <c r="AC37" s="249" t="e">
        <f>IF(Paris_Inflow!AA37=0,#N/A,(Paris_Inflow!AA37+Paris_Inflow!AE37)/2)</f>
        <v>#N/A</v>
      </c>
      <c r="AD37" s="249" t="e">
        <f>IF(Paris_Inflow!AB37=0,#N/A,(Paris_Inflow!AB37+Paris_Inflow!AF37)/2)</f>
        <v>#N/A</v>
      </c>
      <c r="AE37" s="249" t="e">
        <f>IF(Paris_Inflow!AC37=0,#N/A,(Paris_Inflow!AC37+Paris_Inflow!AG37)/2)</f>
        <v>#N/A</v>
      </c>
      <c r="AG37" s="204"/>
      <c r="AH37" s="204"/>
      <c r="AI37" s="207"/>
      <c r="AJ37" s="207"/>
      <c r="AK37" s="204"/>
      <c r="AL37" s="207"/>
      <c r="AM37" s="204"/>
      <c r="AN37" s="207"/>
      <c r="AP37" s="204"/>
      <c r="AQ37" s="204"/>
      <c r="AR37" s="204"/>
      <c r="AS37" s="204"/>
      <c r="AT37" s="204"/>
      <c r="AU37" s="204"/>
    </row>
    <row r="38" spans="1:47" x14ac:dyDescent="0.25">
      <c r="A38" s="94">
        <v>1983</v>
      </c>
      <c r="B38" s="168">
        <f>IF(Paris_Inflow!C38=0,#N/A,Paris_Inflow!C38)</f>
        <v>711.39540000000011</v>
      </c>
      <c r="C38" s="163" t="e">
        <v>#N/A</v>
      </c>
      <c r="D38" s="168" t="e">
        <f>IF(Paris_Inflow!D38=0,#N/A,Paris_Inflow!D38)</f>
        <v>#N/A</v>
      </c>
      <c r="E38" s="163" t="e">
        <v>#N/A</v>
      </c>
      <c r="F38" s="168">
        <f>IF(Paris_Inflow!E38=0,#N/A,Paris_Inflow!E38)</f>
        <v>711.39540000000011</v>
      </c>
      <c r="G38" s="163" t="e">
        <v>#N/A</v>
      </c>
      <c r="H38" s="168">
        <f>IF(Paris_Inflow!F38=0,#N/A,Paris_Inflow!F38)</f>
        <v>41.081531764705879</v>
      </c>
      <c r="I38" s="163" t="e">
        <v>#N/A</v>
      </c>
      <c r="J38" s="168">
        <f>IF(Paris_Inflow!G38=0,#N/A,Paris_Inflow!G38)</f>
        <v>41.081531764705879</v>
      </c>
      <c r="K38" s="163" t="e">
        <v>#N/A</v>
      </c>
      <c r="L38" s="167" t="e">
        <f>IF(Paris_Outflow!C38=0,#N/A,Paris_Outflow!C38)</f>
        <v>#N/A</v>
      </c>
      <c r="M38" s="172" t="e">
        <v>#N/A</v>
      </c>
      <c r="N38" s="167" t="e">
        <f>IF(Paris_Outflow!D38=0,#N/A,Paris_Outflow!D38)</f>
        <v>#N/A</v>
      </c>
      <c r="O38" s="172" t="e">
        <v>#N/A</v>
      </c>
      <c r="P38" s="167" t="e">
        <f>IF(Paris_Outflow!E38=0,#N/A,Paris_Outflow!E38)</f>
        <v>#N/A</v>
      </c>
      <c r="Q38" s="172" t="e">
        <v>#N/A</v>
      </c>
      <c r="R38" s="167" t="e">
        <f>IF(Paris_Outflow!F38=0,#N/A,Paris_Outflow!F38)</f>
        <v>#N/A</v>
      </c>
      <c r="S38" s="172" t="e">
        <v>#N/A</v>
      </c>
      <c r="T38" s="167" t="e">
        <f>IF(Paris_Outflow!G38=0,#N/A,Paris_Outflow!G38)</f>
        <v>#N/A</v>
      </c>
      <c r="U38" s="172" t="e">
        <v>#N/A</v>
      </c>
      <c r="V38" s="252">
        <f>IF(Paris_Inflow!O38=0,#N/A,Paris_Inflow!O38)</f>
        <v>919.36914001112495</v>
      </c>
      <c r="W38" s="252">
        <f>IF(Paris_Inflow!P38=0,#N/A,Paris_Inflow!P38)</f>
        <v>708.22925069829773</v>
      </c>
      <c r="X38" s="249"/>
      <c r="Y38" s="249" t="e">
        <f>IF(Paris_Inflow!W38=0,#N/A,Paris_Inflow!W38)</f>
        <v>#N/A</v>
      </c>
      <c r="Z38" s="249" t="e">
        <f>IF(Paris_Inflow!X38=0,#N/A,Paris_Inflow!X38)</f>
        <v>#N/A</v>
      </c>
      <c r="AA38" s="249" t="e">
        <f>IF(Paris_Inflow!Y38=0,#N/A,Paris_Inflow!Y38)</f>
        <v>#N/A</v>
      </c>
      <c r="AB38" s="249"/>
      <c r="AC38" s="249" t="e">
        <f>IF(Paris_Inflow!AA38=0,#N/A,(Paris_Inflow!AA38+Paris_Inflow!AE38)/2)</f>
        <v>#N/A</v>
      </c>
      <c r="AD38" s="249" t="e">
        <f>IF(Paris_Inflow!AB38=0,#N/A,(Paris_Inflow!AB38+Paris_Inflow!AF38)/2)</f>
        <v>#N/A</v>
      </c>
      <c r="AE38" s="249" t="e">
        <f>IF(Paris_Inflow!AC38=0,#N/A,(Paris_Inflow!AC38+Paris_Inflow!AG38)/2)</f>
        <v>#N/A</v>
      </c>
      <c r="AG38" s="204"/>
      <c r="AH38" s="204"/>
      <c r="AI38" s="207"/>
      <c r="AJ38" s="207"/>
      <c r="AK38" s="204"/>
      <c r="AL38" s="207"/>
      <c r="AM38" s="204"/>
      <c r="AN38" s="207"/>
      <c r="AP38" s="204"/>
      <c r="AQ38" s="204"/>
      <c r="AR38" s="204"/>
      <c r="AS38" s="204"/>
      <c r="AT38" s="204"/>
      <c r="AU38" s="204"/>
    </row>
    <row r="39" spans="1:47" x14ac:dyDescent="0.25">
      <c r="A39" s="94">
        <v>1984</v>
      </c>
      <c r="B39" s="168">
        <f>IF(Paris_Inflow!C39=0,#N/A,Paris_Inflow!C39)</f>
        <v>941.15499999999997</v>
      </c>
      <c r="C39" s="163" t="e">
        <v>#N/A</v>
      </c>
      <c r="D39" s="168">
        <f>IF(Paris_Inflow!D39=0,#N/A,Paris_Inflow!D39)</f>
        <v>96</v>
      </c>
      <c r="E39" s="163" t="e">
        <v>#N/A</v>
      </c>
      <c r="F39" s="168">
        <f>IF(Paris_Inflow!E39=0,#N/A,Paris_Inflow!E39)</f>
        <v>845.15499999999997</v>
      </c>
      <c r="G39" s="163" t="e">
        <v>#N/A</v>
      </c>
      <c r="H39" s="168">
        <f>IF(Paris_Inflow!F39=0,#N/A,Paris_Inflow!F39)</f>
        <v>41.762285714285717</v>
      </c>
      <c r="I39" s="163" t="e">
        <v>#N/A</v>
      </c>
      <c r="J39" s="168">
        <f>IF(Paris_Inflow!G39=0,#N/A,Paris_Inflow!G39)</f>
        <v>41.762285714285717</v>
      </c>
      <c r="K39" s="163" t="e">
        <v>#N/A</v>
      </c>
      <c r="L39" s="167" t="e">
        <f>IF(Paris_Outflow!C39=0,#N/A,Paris_Outflow!C39)</f>
        <v>#N/A</v>
      </c>
      <c r="M39" s="172" t="e">
        <v>#N/A</v>
      </c>
      <c r="N39" s="167" t="e">
        <f>IF(Paris_Outflow!D39=0,#N/A,Paris_Outflow!D39)</f>
        <v>#N/A</v>
      </c>
      <c r="O39" s="172" t="e">
        <v>#N/A</v>
      </c>
      <c r="P39" s="167" t="e">
        <f>IF(Paris_Outflow!E39=0,#N/A,Paris_Outflow!E39)</f>
        <v>#N/A</v>
      </c>
      <c r="Q39" s="172" t="e">
        <v>#N/A</v>
      </c>
      <c r="R39" s="167" t="e">
        <f>IF(Paris_Outflow!F39=0,#N/A,Paris_Outflow!F39)</f>
        <v>#N/A</v>
      </c>
      <c r="S39" s="172" t="e">
        <v>#N/A</v>
      </c>
      <c r="T39" s="167" t="e">
        <f>IF(Paris_Outflow!G39=0,#N/A,Paris_Outflow!G39)</f>
        <v>#N/A</v>
      </c>
      <c r="U39" s="172" t="e">
        <v>#N/A</v>
      </c>
      <c r="V39" s="252">
        <f>IF(Paris_Inflow!O39=0,#N/A,Paris_Inflow!O39)</f>
        <v>1205.3750147666544</v>
      </c>
      <c r="W39" s="252">
        <f>IF(Paris_Inflow!P39=0,#N/A,Paris_Inflow!P39)</f>
        <v>916.2775696683633</v>
      </c>
      <c r="X39" s="249"/>
      <c r="Y39" s="249" t="e">
        <f>IF(Paris_Inflow!W39=0,#N/A,Paris_Inflow!W39)</f>
        <v>#N/A</v>
      </c>
      <c r="Z39" s="249" t="e">
        <f>IF(Paris_Inflow!X39=0,#N/A,Paris_Inflow!X39)</f>
        <v>#N/A</v>
      </c>
      <c r="AA39" s="249" t="e">
        <f>IF(Paris_Inflow!Y39=0,#N/A,Paris_Inflow!Y39)</f>
        <v>#N/A</v>
      </c>
      <c r="AB39" s="249"/>
      <c r="AC39" s="249" t="e">
        <f>IF(Paris_Inflow!AA39=0,#N/A,(Paris_Inflow!AA39+Paris_Inflow!AE39)/2)</f>
        <v>#N/A</v>
      </c>
      <c r="AD39" s="249" t="e">
        <f>IF(Paris_Inflow!AB39=0,#N/A,(Paris_Inflow!AB39+Paris_Inflow!AF39)/2)</f>
        <v>#N/A</v>
      </c>
      <c r="AE39" s="249" t="e">
        <f>IF(Paris_Inflow!AC39=0,#N/A,(Paris_Inflow!AC39+Paris_Inflow!AG39)/2)</f>
        <v>#N/A</v>
      </c>
      <c r="AG39" s="204"/>
      <c r="AH39" s="204"/>
      <c r="AI39" s="207"/>
      <c r="AJ39" s="207"/>
      <c r="AK39" s="204"/>
      <c r="AL39" s="207"/>
      <c r="AM39" s="204"/>
      <c r="AN39" s="207"/>
      <c r="AP39" s="204"/>
      <c r="AQ39" s="204"/>
      <c r="AR39" s="204"/>
      <c r="AS39" s="204"/>
      <c r="AT39" s="204"/>
      <c r="AU39" s="204"/>
    </row>
    <row r="40" spans="1:47" x14ac:dyDescent="0.25">
      <c r="A40" s="94">
        <v>1985</v>
      </c>
      <c r="B40" s="168">
        <f>IF(Paris_Inflow!C40=0,#N/A,Paris_Inflow!C40)</f>
        <v>2160.8863200000001</v>
      </c>
      <c r="C40" s="163" t="e">
        <v>#N/A</v>
      </c>
      <c r="D40" s="168">
        <f>IF(Paris_Inflow!D40=0,#N/A,Paris_Inflow!D40)</f>
        <v>477</v>
      </c>
      <c r="E40" s="163" t="e">
        <v>#N/A</v>
      </c>
      <c r="F40" s="168">
        <f>IF(Paris_Inflow!E40=0,#N/A,Paris_Inflow!E40)</f>
        <v>1683.8863200000001</v>
      </c>
      <c r="G40" s="163" t="e">
        <v>#N/A</v>
      </c>
      <c r="H40" s="168">
        <f>IF(Paris_Inflow!F40=0,#N/A,Paris_Inflow!F40)</f>
        <v>242.43727999999999</v>
      </c>
      <c r="I40" s="163" t="e">
        <v>#N/A</v>
      </c>
      <c r="J40" s="168">
        <f>IF(Paris_Inflow!G40=0,#N/A,Paris_Inflow!G40)</f>
        <v>142.80568</v>
      </c>
      <c r="K40" s="163" t="e">
        <v>#N/A</v>
      </c>
      <c r="L40" s="167" t="e">
        <f>IF(Paris_Outflow!C40=0,#N/A,Paris_Outflow!C40)</f>
        <v>#N/A</v>
      </c>
      <c r="M40" s="172" t="e">
        <v>#N/A</v>
      </c>
      <c r="N40" s="167" t="e">
        <f>IF(Paris_Outflow!D40=0,#N/A,Paris_Outflow!D40)</f>
        <v>#N/A</v>
      </c>
      <c r="O40" s="172" t="e">
        <v>#N/A</v>
      </c>
      <c r="P40" s="167" t="e">
        <f>IF(Paris_Outflow!E40=0,#N/A,Paris_Outflow!E40)</f>
        <v>#N/A</v>
      </c>
      <c r="Q40" s="172" t="e">
        <v>#N/A</v>
      </c>
      <c r="R40" s="167" t="e">
        <f>IF(Paris_Outflow!F40=0,#N/A,Paris_Outflow!F40)</f>
        <v>#N/A</v>
      </c>
      <c r="S40" s="172" t="e">
        <v>#N/A</v>
      </c>
      <c r="T40" s="167" t="e">
        <f>IF(Paris_Outflow!G40=0,#N/A,Paris_Outflow!G40)</f>
        <v>#N/A</v>
      </c>
      <c r="U40" s="172" t="e">
        <v>#N/A</v>
      </c>
      <c r="V40" s="252">
        <f>IF(Paris_Inflow!O40=0,#N/A,Paris_Inflow!O40)</f>
        <v>2742.0797958102271</v>
      </c>
      <c r="W40" s="252">
        <f>IF(Paris_Inflow!P40=0,#N/A,Paris_Inflow!P40)</f>
        <v>2052.8420040000001</v>
      </c>
      <c r="X40" s="249"/>
      <c r="Y40" s="249" t="e">
        <f>IF(Paris_Inflow!W40=0,#N/A,Paris_Inflow!W40)</f>
        <v>#N/A</v>
      </c>
      <c r="Z40" s="249" t="e">
        <f>IF(Paris_Inflow!X40=0,#N/A,Paris_Inflow!X40)</f>
        <v>#N/A</v>
      </c>
      <c r="AA40" s="249" t="e">
        <f>IF(Paris_Inflow!Y40=0,#N/A,Paris_Inflow!Y40)</f>
        <v>#N/A</v>
      </c>
      <c r="AB40" s="249"/>
      <c r="AC40" s="249" t="e">
        <f>IF(Paris_Inflow!AA40=0,#N/A,(Paris_Inflow!AA40+Paris_Inflow!AE40)/2)</f>
        <v>#N/A</v>
      </c>
      <c r="AD40" s="249" t="e">
        <f>IF(Paris_Inflow!AB40=0,#N/A,(Paris_Inflow!AB40+Paris_Inflow!AF40)/2)</f>
        <v>#N/A</v>
      </c>
      <c r="AE40" s="249" t="e">
        <f>IF(Paris_Inflow!AC40=0,#N/A,(Paris_Inflow!AC40+Paris_Inflow!AG40)/2)</f>
        <v>#N/A</v>
      </c>
      <c r="AG40" s="208">
        <f>AVERAGE(Paris_Inflow!B40:B49)</f>
        <v>34163.273049999996</v>
      </c>
      <c r="AH40" s="208">
        <f>AVERAGE(Paris_Inflow!C40:C49)</f>
        <v>787.30735175000007</v>
      </c>
      <c r="AI40" s="207">
        <f>AVERAGE(Paris_Outflow!B40:B49)</f>
        <v>6452.46</v>
      </c>
      <c r="AJ40" s="207">
        <f>AVERAGE(Paris_Outflow!C40:C49)</f>
        <v>136.33515</v>
      </c>
      <c r="AK40" s="208">
        <f>AVERAGE(Paris_Inflow!F40:F49)</f>
        <v>67.935720376623379</v>
      </c>
      <c r="AL40" s="207">
        <f>AVERAGE(Paris_Outflow!F40:F49)</f>
        <v>9.9602000000000004</v>
      </c>
      <c r="AM40" s="208">
        <f>AVERAGE(Paris_Inflow!G40:G49)</f>
        <v>37.40950268831169</v>
      </c>
      <c r="AN40" s="207">
        <f>AVERAGE(Paris_Outflow!G40:G49)</f>
        <v>1.2376</v>
      </c>
      <c r="AP40" s="204"/>
      <c r="AQ40" s="204"/>
      <c r="AR40" s="204"/>
      <c r="AS40" s="204"/>
      <c r="AT40" s="204"/>
      <c r="AU40" s="204"/>
    </row>
    <row r="41" spans="1:47" x14ac:dyDescent="0.25">
      <c r="A41" s="94">
        <v>1986</v>
      </c>
      <c r="B41" s="168">
        <f>IF(Paris_Inflow!C41=0,#N/A,Paris_Inflow!C41)</f>
        <v>1126.2999374999999</v>
      </c>
      <c r="C41" s="163" t="e">
        <v>#N/A</v>
      </c>
      <c r="D41" s="168">
        <f>IF(Paris_Inflow!D41=0,#N/A,Paris_Inflow!D41)</f>
        <v>261.93375000000003</v>
      </c>
      <c r="E41" s="163" t="e">
        <v>#N/A</v>
      </c>
      <c r="F41" s="168">
        <f>IF(Paris_Inflow!E41=0,#N/A,Paris_Inflow!E41)</f>
        <v>864.36618750000002</v>
      </c>
      <c r="G41" s="163" t="e">
        <v>#N/A</v>
      </c>
      <c r="H41" s="168">
        <f>IF(Paris_Inflow!F41=0,#N/A,Paris_Inflow!F41)</f>
        <v>120.66305000000001</v>
      </c>
      <c r="I41" s="163" t="e">
        <v>#N/A</v>
      </c>
      <c r="J41" s="168">
        <f>IF(Paris_Inflow!G41=0,#N/A,Paris_Inflow!G41)</f>
        <v>65.938050000000004</v>
      </c>
      <c r="K41" s="163" t="e">
        <v>#N/A</v>
      </c>
      <c r="L41" s="167" t="e">
        <f>IF(Paris_Outflow!C41=0,#N/A,Paris_Outflow!C41)</f>
        <v>#N/A</v>
      </c>
      <c r="M41" s="172" t="e">
        <v>#N/A</v>
      </c>
      <c r="N41" s="167" t="e">
        <f>IF(Paris_Outflow!D41=0,#N/A,Paris_Outflow!D41)</f>
        <v>#N/A</v>
      </c>
      <c r="O41" s="172" t="e">
        <v>#N/A</v>
      </c>
      <c r="P41" s="167" t="e">
        <f>IF(Paris_Outflow!E41=0,#N/A,Paris_Outflow!E41)</f>
        <v>#N/A</v>
      </c>
      <c r="Q41" s="172" t="e">
        <v>#N/A</v>
      </c>
      <c r="R41" s="167" t="e">
        <f>IF(Paris_Outflow!F41=0,#N/A,Paris_Outflow!F41)</f>
        <v>#N/A</v>
      </c>
      <c r="S41" s="172" t="e">
        <v>#N/A</v>
      </c>
      <c r="T41" s="167" t="e">
        <f>IF(Paris_Outflow!G41=0,#N/A,Paris_Outflow!G41)</f>
        <v>#N/A</v>
      </c>
      <c r="U41" s="172" t="e">
        <v>#N/A</v>
      </c>
      <c r="V41" s="252">
        <f>IF(Paris_Inflow!O41=0,#N/A,Paris_Inflow!O41)</f>
        <v>1415.9569717725378</v>
      </c>
      <c r="W41" s="252">
        <f>IF(Paris_Inflow!P41=0,#N/A,Paris_Inflow!P41)</f>
        <v>1036.7653997483999</v>
      </c>
      <c r="X41" s="249"/>
      <c r="Y41" s="249" t="e">
        <f>IF(Paris_Inflow!W41=0,#N/A,Paris_Inflow!W41)</f>
        <v>#N/A</v>
      </c>
      <c r="Z41" s="249" t="e">
        <f>IF(Paris_Inflow!X41=0,#N/A,Paris_Inflow!X41)</f>
        <v>#N/A</v>
      </c>
      <c r="AA41" s="249" t="e">
        <f>IF(Paris_Inflow!Y41=0,#N/A,Paris_Inflow!Y41)</f>
        <v>#N/A</v>
      </c>
      <c r="AB41" s="249"/>
      <c r="AC41" s="249" t="e">
        <f>IF(Paris_Inflow!AA41=0,#N/A,(Paris_Inflow!AA41+Paris_Inflow!AE41)/2)</f>
        <v>#N/A</v>
      </c>
      <c r="AD41" s="249" t="e">
        <f>IF(Paris_Inflow!AB41=0,#N/A,(Paris_Inflow!AB41+Paris_Inflow!AF41)/2)</f>
        <v>#N/A</v>
      </c>
      <c r="AE41" s="249" t="e">
        <f>IF(Paris_Inflow!AC41=0,#N/A,(Paris_Inflow!AC41+Paris_Inflow!AG41)/2)</f>
        <v>#N/A</v>
      </c>
      <c r="AG41" s="204"/>
      <c r="AH41" s="204"/>
      <c r="AI41" s="207"/>
      <c r="AJ41" s="207"/>
      <c r="AK41" s="204"/>
      <c r="AL41" s="207"/>
      <c r="AM41" s="204"/>
      <c r="AN41" s="207"/>
      <c r="AP41" s="204"/>
      <c r="AQ41" s="204"/>
      <c r="AR41" s="204"/>
      <c r="AS41" s="204"/>
      <c r="AT41" s="204"/>
      <c r="AU41" s="204"/>
    </row>
    <row r="42" spans="1:47" x14ac:dyDescent="0.25">
      <c r="A42" s="94">
        <v>1987</v>
      </c>
      <c r="B42" s="168" t="e">
        <f>IF(Paris_Inflow!C42=0,#N/A,Paris_Inflow!C42)</f>
        <v>#N/A</v>
      </c>
      <c r="C42" s="163" t="e">
        <v>#N/A</v>
      </c>
      <c r="D42" s="168" t="e">
        <f>IF(Paris_Inflow!D42=0,#N/A,Paris_Inflow!D42)</f>
        <v>#N/A</v>
      </c>
      <c r="E42" s="163" t="e">
        <v>#N/A</v>
      </c>
      <c r="F42" s="168" t="e">
        <f>IF(Paris_Inflow!E42=0,#N/A,Paris_Inflow!E42)</f>
        <v>#N/A</v>
      </c>
      <c r="G42" s="163" t="e">
        <v>#N/A</v>
      </c>
      <c r="H42" s="168" t="e">
        <f>IF(Paris_Inflow!F42=0,#N/A,Paris_Inflow!F42)</f>
        <v>#N/A</v>
      </c>
      <c r="I42" s="163" t="e">
        <v>#N/A</v>
      </c>
      <c r="J42" s="168" t="e">
        <f>IF(Paris_Inflow!G42=0,#N/A,Paris_Inflow!G42)</f>
        <v>#N/A</v>
      </c>
      <c r="K42" s="163" t="e">
        <v>#N/A</v>
      </c>
      <c r="L42" s="167" t="e">
        <f>IF(Paris_Outflow!C42=0,#N/A,Paris_Outflow!C42)</f>
        <v>#N/A</v>
      </c>
      <c r="M42" s="172" t="e">
        <v>#N/A</v>
      </c>
      <c r="N42" s="167" t="e">
        <f>IF(Paris_Outflow!D42=0,#N/A,Paris_Outflow!D42)</f>
        <v>#N/A</v>
      </c>
      <c r="O42" s="172" t="e">
        <v>#N/A</v>
      </c>
      <c r="P42" s="167" t="e">
        <f>IF(Paris_Outflow!E42=0,#N/A,Paris_Outflow!E42)</f>
        <v>#N/A</v>
      </c>
      <c r="Q42" s="172" t="e">
        <v>#N/A</v>
      </c>
      <c r="R42" s="167" t="e">
        <f>IF(Paris_Outflow!F42=0,#N/A,Paris_Outflow!F42)</f>
        <v>#N/A</v>
      </c>
      <c r="S42" s="172" t="e">
        <v>#N/A</v>
      </c>
      <c r="T42" s="167" t="e">
        <f>IF(Paris_Outflow!G42=0,#N/A,Paris_Outflow!G42)</f>
        <v>#N/A</v>
      </c>
      <c r="U42" s="172" t="e">
        <v>#N/A</v>
      </c>
      <c r="V42" s="252" t="e">
        <f>IF(Paris_Inflow!O42=0,#N/A,Paris_Inflow!O42)</f>
        <v>#N/A</v>
      </c>
      <c r="W42" s="252" t="e">
        <f>IF(Paris_Inflow!P42=0,#N/A,Paris_Inflow!P42)</f>
        <v>#N/A</v>
      </c>
      <c r="X42" s="249"/>
      <c r="Y42" s="249" t="e">
        <f>IF(Paris_Inflow!W42=0,#N/A,Paris_Inflow!W42)</f>
        <v>#N/A</v>
      </c>
      <c r="Z42" s="249" t="e">
        <f>IF(Paris_Inflow!X42=0,#N/A,Paris_Inflow!X42)</f>
        <v>#N/A</v>
      </c>
      <c r="AA42" s="249" t="e">
        <f>IF(Paris_Inflow!Y42=0,#N/A,Paris_Inflow!Y42)</f>
        <v>#N/A</v>
      </c>
      <c r="AB42" s="249"/>
      <c r="AC42" s="249" t="e">
        <f>IF(Paris_Inflow!AA42=0,#N/A,(Paris_Inflow!AA42+Paris_Inflow!AE42)/2)</f>
        <v>#N/A</v>
      </c>
      <c r="AD42" s="249" t="e">
        <f>IF(Paris_Inflow!AB42=0,#N/A,(Paris_Inflow!AB42+Paris_Inflow!AF42)/2)</f>
        <v>#N/A</v>
      </c>
      <c r="AE42" s="249" t="e">
        <f>IF(Paris_Inflow!AC42=0,#N/A,(Paris_Inflow!AC42+Paris_Inflow!AG42)/2)</f>
        <v>#N/A</v>
      </c>
      <c r="AG42" s="204"/>
      <c r="AH42" s="204"/>
      <c r="AI42" s="207"/>
      <c r="AJ42" s="207"/>
      <c r="AK42" s="204"/>
      <c r="AL42" s="207"/>
      <c r="AM42" s="204"/>
      <c r="AN42" s="207"/>
      <c r="AP42" s="204"/>
      <c r="AQ42" s="204"/>
      <c r="AR42" s="204"/>
      <c r="AS42" s="204"/>
      <c r="AT42" s="204"/>
      <c r="AU42" s="204"/>
    </row>
    <row r="43" spans="1:47" x14ac:dyDescent="0.25">
      <c r="A43" s="94">
        <v>1988</v>
      </c>
      <c r="B43" s="168">
        <f>IF(Paris_Inflow!C43=0,#N/A,Paris_Inflow!C43)</f>
        <v>993.61889999999994</v>
      </c>
      <c r="C43" s="163" t="e">
        <v>#N/A</v>
      </c>
      <c r="D43" s="168">
        <f>IF(Paris_Inflow!D43=0,#N/A,Paris_Inflow!D43)</f>
        <v>290.58749999999998</v>
      </c>
      <c r="E43" s="163" t="e">
        <v>#N/A</v>
      </c>
      <c r="F43" s="168">
        <f>IF(Paris_Inflow!E43=0,#N/A,Paris_Inflow!E43)</f>
        <v>703.03139999999996</v>
      </c>
      <c r="G43" s="163" t="e">
        <v>#N/A</v>
      </c>
      <c r="H43" s="168">
        <f>IF(Paris_Inflow!F43=0,#N/A,Paris_Inflow!F43)</f>
        <v>77.58972</v>
      </c>
      <c r="I43" s="163" t="e">
        <v>#N/A</v>
      </c>
      <c r="J43" s="168">
        <f>IF(Paris_Inflow!G43=0,#N/A,Paris_Inflow!G43)</f>
        <v>44.379719999999999</v>
      </c>
      <c r="K43" s="163" t="e">
        <v>#N/A</v>
      </c>
      <c r="L43" s="167" t="e">
        <f>IF(Paris_Outflow!C43=0,#N/A,Paris_Outflow!C43)</f>
        <v>#N/A</v>
      </c>
      <c r="M43" s="172" t="e">
        <v>#N/A</v>
      </c>
      <c r="N43" s="167" t="e">
        <f>IF(Paris_Outflow!D43=0,#N/A,Paris_Outflow!D43)</f>
        <v>#N/A</v>
      </c>
      <c r="O43" s="172" t="e">
        <v>#N/A</v>
      </c>
      <c r="P43" s="167" t="e">
        <f>IF(Paris_Outflow!E43=0,#N/A,Paris_Outflow!E43)</f>
        <v>#N/A</v>
      </c>
      <c r="Q43" s="172" t="e">
        <v>#N/A</v>
      </c>
      <c r="R43" s="167" t="e">
        <f>IF(Paris_Outflow!F43=0,#N/A,Paris_Outflow!F43)</f>
        <v>#N/A</v>
      </c>
      <c r="S43" s="172" t="e">
        <v>#N/A</v>
      </c>
      <c r="T43" s="167" t="e">
        <f>IF(Paris_Outflow!G43=0,#N/A,Paris_Outflow!G43)</f>
        <v>#N/A</v>
      </c>
      <c r="U43" s="172" t="e">
        <v>#N/A</v>
      </c>
      <c r="V43" s="252">
        <f>IF(Paris_Inflow!O43=0,#N/A,Paris_Inflow!O43)</f>
        <v>1226.3855418143371</v>
      </c>
      <c r="W43" s="252">
        <f>IF(Paris_Inflow!P43=0,#N/A,Paris_Inflow!P43)</f>
        <v>848.33114954687994</v>
      </c>
      <c r="X43" s="249"/>
      <c r="Y43" s="249" t="e">
        <f>IF(Paris_Inflow!W43=0,#N/A,Paris_Inflow!W43)</f>
        <v>#N/A</v>
      </c>
      <c r="Z43" s="249" t="e">
        <f>IF(Paris_Inflow!X43=0,#N/A,Paris_Inflow!X43)</f>
        <v>#N/A</v>
      </c>
      <c r="AA43" s="249" t="e">
        <f>IF(Paris_Inflow!Y43=0,#N/A,Paris_Inflow!Y43)</f>
        <v>#N/A</v>
      </c>
      <c r="AB43" s="249"/>
      <c r="AC43" s="249" t="e">
        <f>IF(Paris_Inflow!AA43=0,#N/A,(Paris_Inflow!AA43+Paris_Inflow!AE43)/2)</f>
        <v>#N/A</v>
      </c>
      <c r="AD43" s="249" t="e">
        <f>IF(Paris_Inflow!AB43=0,#N/A,(Paris_Inflow!AB43+Paris_Inflow!AF43)/2)</f>
        <v>#N/A</v>
      </c>
      <c r="AE43" s="249" t="e">
        <f>IF(Paris_Inflow!AC43=0,#N/A,(Paris_Inflow!AC43+Paris_Inflow!AG43)/2)</f>
        <v>#N/A</v>
      </c>
      <c r="AG43" s="204"/>
      <c r="AH43" s="204"/>
      <c r="AI43" s="207"/>
      <c r="AJ43" s="207"/>
      <c r="AK43" s="204"/>
      <c r="AL43" s="207"/>
      <c r="AM43" s="204"/>
      <c r="AN43" s="207"/>
      <c r="AP43" s="204"/>
      <c r="AQ43" s="204"/>
      <c r="AR43" s="204"/>
      <c r="AS43" s="204"/>
      <c r="AT43" s="204"/>
      <c r="AU43" s="204"/>
    </row>
    <row r="44" spans="1:47" x14ac:dyDescent="0.25">
      <c r="A44" s="94">
        <v>1989</v>
      </c>
      <c r="B44" s="168">
        <f>IF(Paris_Inflow!C44=0,#N/A,Paris_Inflow!C44)</f>
        <v>1015.5347999999999</v>
      </c>
      <c r="C44" s="163" t="e">
        <v>#N/A</v>
      </c>
      <c r="D44" s="168">
        <f>IF(Paris_Inflow!D44=0,#N/A,Paris_Inflow!D44)</f>
        <v>745.29</v>
      </c>
      <c r="E44" s="163" t="e">
        <v>#N/A</v>
      </c>
      <c r="F44" s="168">
        <f>IF(Paris_Inflow!E44=0,#N/A,Paris_Inflow!E44)</f>
        <v>270.2448</v>
      </c>
      <c r="G44" s="163" t="e">
        <v>#N/A</v>
      </c>
      <c r="H44" s="168">
        <f>IF(Paris_Inflow!F44=0,#N/A,Paris_Inflow!F44)</f>
        <v>77.212800000000001</v>
      </c>
      <c r="I44" s="163" t="e">
        <v>#N/A</v>
      </c>
      <c r="J44" s="168">
        <f>IF(Paris_Inflow!G44=0,#N/A,Paris_Inflow!G44)</f>
        <v>38.606400000000001</v>
      </c>
      <c r="K44" s="163" t="e">
        <v>#N/A</v>
      </c>
      <c r="L44" s="167" t="e">
        <f>IF(Paris_Outflow!C44=0,#N/A,Paris_Outflow!C44)</f>
        <v>#N/A</v>
      </c>
      <c r="M44" s="172" t="e">
        <v>#N/A</v>
      </c>
      <c r="N44" s="167" t="e">
        <f>IF(Paris_Outflow!D44=0,#N/A,Paris_Outflow!D44)</f>
        <v>#N/A</v>
      </c>
      <c r="O44" s="172" t="e">
        <v>#N/A</v>
      </c>
      <c r="P44" s="167" t="e">
        <f>IF(Paris_Outflow!E44=0,#N/A,Paris_Outflow!E44)</f>
        <v>#N/A</v>
      </c>
      <c r="Q44" s="172" t="e">
        <v>#N/A</v>
      </c>
      <c r="R44" s="167" t="e">
        <f>IF(Paris_Outflow!F44=0,#N/A,Paris_Outflow!F44)</f>
        <v>#N/A</v>
      </c>
      <c r="S44" s="172" t="e">
        <v>#N/A</v>
      </c>
      <c r="T44" s="167" t="e">
        <f>IF(Paris_Outflow!G44=0,#N/A,Paris_Outflow!G44)</f>
        <v>#N/A</v>
      </c>
      <c r="U44" s="172" t="e">
        <v>#N/A</v>
      </c>
      <c r="V44" s="252">
        <f>IF(Paris_Inflow!O44=0,#N/A,Paris_Inflow!O44)</f>
        <v>1242.4744839455905</v>
      </c>
      <c r="W44" s="252">
        <f>IF(Paris_Inflow!P44=0,#N/A,Paris_Inflow!P44)</f>
        <v>842.41292671871997</v>
      </c>
      <c r="X44" s="249"/>
      <c r="Y44" s="249" t="e">
        <f>IF(Paris_Inflow!W44=0,#N/A,Paris_Inflow!W44)</f>
        <v>#N/A</v>
      </c>
      <c r="Z44" s="249" t="e">
        <f>IF(Paris_Inflow!X44=0,#N/A,Paris_Inflow!X44)</f>
        <v>#N/A</v>
      </c>
      <c r="AA44" s="249" t="e">
        <f>IF(Paris_Inflow!Y44=0,#N/A,Paris_Inflow!Y44)</f>
        <v>#N/A</v>
      </c>
      <c r="AB44" s="249"/>
      <c r="AC44" s="249" t="e">
        <f>IF(Paris_Inflow!AA44=0,#N/A,(Paris_Inflow!AA44+Paris_Inflow!AE44)/2)</f>
        <v>#N/A</v>
      </c>
      <c r="AD44" s="249" t="e">
        <f>IF(Paris_Inflow!AB44=0,#N/A,(Paris_Inflow!AB44+Paris_Inflow!AF44)/2)</f>
        <v>#N/A</v>
      </c>
      <c r="AE44" s="249" t="e">
        <f>IF(Paris_Inflow!AC44=0,#N/A,(Paris_Inflow!AC44+Paris_Inflow!AG44)/2)</f>
        <v>#N/A</v>
      </c>
      <c r="AG44" s="204"/>
      <c r="AH44" s="204"/>
      <c r="AI44" s="207"/>
      <c r="AJ44" s="207"/>
      <c r="AK44" s="204"/>
      <c r="AL44" s="207"/>
      <c r="AM44" s="204"/>
      <c r="AN44" s="207"/>
      <c r="AP44" s="204"/>
      <c r="AQ44" s="204"/>
      <c r="AR44" s="204"/>
      <c r="AS44" s="204"/>
      <c r="AT44" s="204"/>
      <c r="AU44" s="204"/>
    </row>
    <row r="45" spans="1:47" x14ac:dyDescent="0.25">
      <c r="A45" s="94">
        <v>1990</v>
      </c>
      <c r="B45" s="168">
        <f>IF(Paris_Inflow!C45=0,#N/A,Paris_Inflow!C45)</f>
        <v>998.36249999999995</v>
      </c>
      <c r="C45" s="163" t="e">
        <v>#N/A</v>
      </c>
      <c r="D45" s="168">
        <f>IF(Paris_Inflow!D45=0,#N/A,Paris_Inflow!D45)</f>
        <v>568.6875</v>
      </c>
      <c r="E45" s="163" t="e">
        <v>#N/A</v>
      </c>
      <c r="F45" s="168">
        <f>IF(Paris_Inflow!E45=0,#N/A,Paris_Inflow!E45)</f>
        <v>429.67500000000001</v>
      </c>
      <c r="G45" s="163" t="e">
        <v>#N/A</v>
      </c>
      <c r="H45" s="168">
        <f>IF(Paris_Inflow!F45=0,#N/A,Paris_Inflow!F45)</f>
        <v>67.356233766233771</v>
      </c>
      <c r="I45" s="163" t="e">
        <v>#N/A</v>
      </c>
      <c r="J45" s="168">
        <f>IF(Paris_Inflow!G45=0,#N/A,Paris_Inflow!G45)</f>
        <v>33.678116883116886</v>
      </c>
      <c r="K45" s="163" t="e">
        <v>#N/A</v>
      </c>
      <c r="L45" s="167" t="e">
        <f>IF(Paris_Outflow!C45=0,#N/A,Paris_Outflow!C45)</f>
        <v>#N/A</v>
      </c>
      <c r="M45" s="172" t="e">
        <v>#N/A</v>
      </c>
      <c r="N45" s="167" t="e">
        <f>IF(Paris_Outflow!D45=0,#N/A,Paris_Outflow!D45)</f>
        <v>#N/A</v>
      </c>
      <c r="O45" s="172" t="e">
        <v>#N/A</v>
      </c>
      <c r="P45" s="167" t="e">
        <f>IF(Paris_Outflow!E45=0,#N/A,Paris_Outflow!E45)</f>
        <v>#N/A</v>
      </c>
      <c r="Q45" s="172" t="e">
        <v>#N/A</v>
      </c>
      <c r="R45" s="167" t="e">
        <f>IF(Paris_Outflow!F45=0,#N/A,Paris_Outflow!F45)</f>
        <v>#N/A</v>
      </c>
      <c r="S45" s="172" t="e">
        <v>#N/A</v>
      </c>
      <c r="T45" s="167" t="e">
        <f>IF(Paris_Outflow!G45=0,#N/A,Paris_Outflow!G45)</f>
        <v>#N/A</v>
      </c>
      <c r="U45" s="172" t="e">
        <v>#N/A</v>
      </c>
      <c r="V45" s="252">
        <f>IF(Paris_Inflow!O45=0,#N/A,Paris_Inflow!O45)</f>
        <v>1211.3544918595621</v>
      </c>
      <c r="W45" s="252">
        <f>IF(Paris_Inflow!P45=0,#N/A,Paris_Inflow!P45)</f>
        <v>818.65724999999986</v>
      </c>
      <c r="X45" s="249"/>
      <c r="Y45" s="249" t="e">
        <f>IF(Paris_Inflow!W45=0,#N/A,Paris_Inflow!W45)</f>
        <v>#N/A</v>
      </c>
      <c r="Z45" s="249" t="e">
        <f>IF(Paris_Inflow!X45=0,#N/A,Paris_Inflow!X45)</f>
        <v>#N/A</v>
      </c>
      <c r="AA45" s="249" t="e">
        <f>IF(Paris_Inflow!Y45=0,#N/A,Paris_Inflow!Y45)</f>
        <v>#N/A</v>
      </c>
      <c r="AB45" s="249"/>
      <c r="AC45" s="249" t="e">
        <f>IF(Paris_Inflow!AA45=0,#N/A,(Paris_Inflow!AA45+Paris_Inflow!AE45)/2)</f>
        <v>#N/A</v>
      </c>
      <c r="AD45" s="249" t="e">
        <f>IF(Paris_Inflow!AB45=0,#N/A,(Paris_Inflow!AB45+Paris_Inflow!AF45)/2)</f>
        <v>#N/A</v>
      </c>
      <c r="AE45" s="249" t="e">
        <f>IF(Paris_Inflow!AC45=0,#N/A,(Paris_Inflow!AC45+Paris_Inflow!AG45)/2)</f>
        <v>#N/A</v>
      </c>
      <c r="AG45" s="204"/>
      <c r="AH45" s="204"/>
      <c r="AI45" s="207"/>
      <c r="AJ45" s="207"/>
      <c r="AK45" s="204"/>
      <c r="AL45" s="207"/>
      <c r="AM45" s="204"/>
      <c r="AN45" s="207"/>
      <c r="AP45" s="204"/>
      <c r="AQ45" s="204"/>
      <c r="AR45" s="204"/>
      <c r="AS45" s="204"/>
      <c r="AT45" s="204"/>
      <c r="AU45" s="204"/>
    </row>
    <row r="46" spans="1:47" x14ac:dyDescent="0.25">
      <c r="A46" s="94">
        <v>1991</v>
      </c>
      <c r="B46" s="168" t="e">
        <f>IF(Paris_Inflow!C46=0,#N/A,Paris_Inflow!C46)</f>
        <v>#N/A</v>
      </c>
      <c r="C46" s="163" t="e">
        <v>#N/A</v>
      </c>
      <c r="D46" s="168" t="e">
        <f>IF(Paris_Inflow!D46=0,#N/A,Paris_Inflow!D46)</f>
        <v>#N/A</v>
      </c>
      <c r="E46" s="163" t="e">
        <v>#N/A</v>
      </c>
      <c r="F46" s="168" t="e">
        <f>IF(Paris_Inflow!E46=0,#N/A,Paris_Inflow!E46)</f>
        <v>#N/A</v>
      </c>
      <c r="G46" s="163" t="e">
        <v>#N/A</v>
      </c>
      <c r="H46" s="168" t="e">
        <f>IF(Paris_Inflow!F46=0,#N/A,Paris_Inflow!F46)</f>
        <v>#N/A</v>
      </c>
      <c r="I46" s="163" t="e">
        <v>#N/A</v>
      </c>
      <c r="J46" s="168" t="e">
        <f>IF(Paris_Inflow!G46=0,#N/A,Paris_Inflow!G46)</f>
        <v>#N/A</v>
      </c>
      <c r="K46" s="163" t="e">
        <v>#N/A</v>
      </c>
      <c r="L46" s="167" t="e">
        <f>IF(Paris_Outflow!C46=0,#N/A,Paris_Outflow!C46)</f>
        <v>#N/A</v>
      </c>
      <c r="M46" s="172" t="e">
        <v>#N/A</v>
      </c>
      <c r="N46" s="167" t="e">
        <f>IF(Paris_Outflow!D46=0,#N/A,Paris_Outflow!D46)</f>
        <v>#N/A</v>
      </c>
      <c r="O46" s="172" t="e">
        <v>#N/A</v>
      </c>
      <c r="P46" s="167" t="e">
        <f>IF(Paris_Outflow!E46=0,#N/A,Paris_Outflow!E46)</f>
        <v>#N/A</v>
      </c>
      <c r="Q46" s="172" t="e">
        <v>#N/A</v>
      </c>
      <c r="R46" s="167" t="e">
        <f>IF(Paris_Outflow!F46=0,#N/A,Paris_Outflow!F46)</f>
        <v>#N/A</v>
      </c>
      <c r="S46" s="172" t="e">
        <v>#N/A</v>
      </c>
      <c r="T46" s="167" t="e">
        <f>IF(Paris_Outflow!G46=0,#N/A,Paris_Outflow!G46)</f>
        <v>#N/A</v>
      </c>
      <c r="U46" s="172" t="e">
        <v>#N/A</v>
      </c>
      <c r="V46" s="252" t="e">
        <f>IF(Paris_Inflow!O46=0,#N/A,Paris_Inflow!O46)</f>
        <v>#N/A</v>
      </c>
      <c r="W46" s="252" t="e">
        <f>IF(Paris_Inflow!P46=0,#N/A,Paris_Inflow!P46)</f>
        <v>#N/A</v>
      </c>
      <c r="X46" s="249"/>
      <c r="Y46" s="249" t="e">
        <f>IF(Paris_Inflow!W46=0,#N/A,Paris_Inflow!W46)</f>
        <v>#N/A</v>
      </c>
      <c r="Z46" s="249" t="e">
        <f>IF(Paris_Inflow!X46=0,#N/A,Paris_Inflow!X46)</f>
        <v>#N/A</v>
      </c>
      <c r="AA46" s="249" t="e">
        <f>IF(Paris_Inflow!Y46=0,#N/A,Paris_Inflow!Y46)</f>
        <v>#N/A</v>
      </c>
      <c r="AB46" s="249"/>
      <c r="AC46" s="249" t="e">
        <f>IF(Paris_Inflow!AA46=0,#N/A,(Paris_Inflow!AA46+Paris_Inflow!AE46)/2)</f>
        <v>#N/A</v>
      </c>
      <c r="AD46" s="249" t="e">
        <f>IF(Paris_Inflow!AB46=0,#N/A,(Paris_Inflow!AB46+Paris_Inflow!AF46)/2)</f>
        <v>#N/A</v>
      </c>
      <c r="AE46" s="249" t="e">
        <f>IF(Paris_Inflow!AC46=0,#N/A,(Paris_Inflow!AC46+Paris_Inflow!AG46)/2)</f>
        <v>#N/A</v>
      </c>
      <c r="AG46" s="204"/>
      <c r="AH46" s="204"/>
      <c r="AI46" s="207"/>
      <c r="AJ46" s="207"/>
      <c r="AK46" s="204"/>
      <c r="AL46" s="207"/>
      <c r="AM46" s="204"/>
      <c r="AN46" s="207"/>
      <c r="AP46" s="204"/>
      <c r="AQ46" s="204"/>
      <c r="AR46" s="204"/>
      <c r="AS46" s="204"/>
      <c r="AT46" s="204"/>
      <c r="AU46" s="204"/>
    </row>
    <row r="47" spans="1:47" x14ac:dyDescent="0.25">
      <c r="A47" s="94">
        <v>1992</v>
      </c>
      <c r="B47" s="168">
        <f>IF(Paris_Inflow!C47=0,#N/A,Paris_Inflow!C47)</f>
        <v>1352.5805600000001</v>
      </c>
      <c r="C47" s="163" t="e">
        <v>#N/A</v>
      </c>
      <c r="D47" s="168">
        <f>IF(Paris_Inflow!D47=0,#N/A,Paris_Inflow!D47)</f>
        <v>736.45320000000004</v>
      </c>
      <c r="E47" s="163" t="e">
        <v>#N/A</v>
      </c>
      <c r="F47" s="168">
        <f>IF(Paris_Inflow!E47=0,#N/A,Paris_Inflow!E47)</f>
        <v>616.12735999999995</v>
      </c>
      <c r="G47" s="163" t="e">
        <v>#N/A</v>
      </c>
      <c r="H47" s="168">
        <f>IF(Paris_Inflow!F47=0,#N/A,Paris_Inflow!F47)</f>
        <v>67.628786666666656</v>
      </c>
      <c r="I47" s="163" t="e">
        <v>#N/A</v>
      </c>
      <c r="J47" s="168">
        <f>IF(Paris_Inflow!G47=0,#N/A,Paris_Inflow!G47)</f>
        <v>33.814393333333328</v>
      </c>
      <c r="K47" s="163" t="e">
        <v>#N/A</v>
      </c>
      <c r="L47" s="167" t="e">
        <f>IF(Paris_Outflow!C47=0,#N/A,Paris_Outflow!C47)</f>
        <v>#N/A</v>
      </c>
      <c r="M47" s="172" t="e">
        <v>#N/A</v>
      </c>
      <c r="N47" s="167" t="e">
        <f>IF(Paris_Outflow!D47=0,#N/A,Paris_Outflow!D47)</f>
        <v>#N/A</v>
      </c>
      <c r="O47" s="172" t="e">
        <v>#N/A</v>
      </c>
      <c r="P47" s="167" t="e">
        <f>IF(Paris_Outflow!E47=0,#N/A,Paris_Outflow!E47)</f>
        <v>#N/A</v>
      </c>
      <c r="Q47" s="172" t="e">
        <v>#N/A</v>
      </c>
      <c r="R47" s="167" t="e">
        <f>IF(Paris_Outflow!F47=0,#N/A,Paris_Outflow!F47)</f>
        <v>#N/A</v>
      </c>
      <c r="S47" s="172" t="e">
        <v>#N/A</v>
      </c>
      <c r="T47" s="167" t="e">
        <f>IF(Paris_Outflow!G47=0,#N/A,Paris_Outflow!G47)</f>
        <v>#N/A</v>
      </c>
      <c r="U47" s="172" t="e">
        <v>#N/A</v>
      </c>
      <c r="V47" s="252">
        <f>IF(Paris_Inflow!O47=0,#N/A,Paris_Inflow!O47)</f>
        <v>1617.3607395913584</v>
      </c>
      <c r="W47" s="252">
        <f>IF(Paris_Inflow!P47=0,#N/A,Paris_Inflow!P47)</f>
        <v>1121.0187681280001</v>
      </c>
      <c r="X47" s="249"/>
      <c r="Y47" s="249" t="e">
        <f>IF(Paris_Inflow!W47=0,#N/A,Paris_Inflow!W47)</f>
        <v>#N/A</v>
      </c>
      <c r="Z47" s="249" t="e">
        <f>IF(Paris_Inflow!X47=0,#N/A,Paris_Inflow!X47)</f>
        <v>#N/A</v>
      </c>
      <c r="AA47" s="249" t="e">
        <f>IF(Paris_Inflow!Y47=0,#N/A,Paris_Inflow!Y47)</f>
        <v>#N/A</v>
      </c>
      <c r="AB47" s="249"/>
      <c r="AC47" s="249" t="e">
        <f>IF(Paris_Inflow!AA47=0,#N/A,(Paris_Inflow!AA47+Paris_Inflow!AE47)/2)</f>
        <v>#N/A</v>
      </c>
      <c r="AD47" s="249" t="e">
        <f>IF(Paris_Inflow!AB47=0,#N/A,(Paris_Inflow!AB47+Paris_Inflow!AF47)/2)</f>
        <v>#N/A</v>
      </c>
      <c r="AE47" s="249" t="e">
        <f>IF(Paris_Inflow!AC47=0,#N/A,(Paris_Inflow!AC47+Paris_Inflow!AG47)/2)</f>
        <v>#N/A</v>
      </c>
      <c r="AG47" s="204"/>
      <c r="AH47" s="204"/>
      <c r="AI47" s="207"/>
      <c r="AJ47" s="207"/>
      <c r="AK47" s="204"/>
      <c r="AL47" s="207"/>
      <c r="AM47" s="204"/>
      <c r="AN47" s="207"/>
      <c r="AP47" s="204"/>
      <c r="AQ47" s="204"/>
      <c r="AR47" s="204"/>
      <c r="AS47" s="204"/>
      <c r="AT47" s="204"/>
      <c r="AU47" s="204"/>
    </row>
    <row r="48" spans="1:47" x14ac:dyDescent="0.25">
      <c r="A48" s="94">
        <v>1993</v>
      </c>
      <c r="B48" s="168">
        <f>IF(Paris_Inflow!C48=0,#N/A,Paris_Inflow!C48)</f>
        <v>62.399999999999991</v>
      </c>
      <c r="C48" s="163" t="e">
        <v>#N/A</v>
      </c>
      <c r="D48" s="168">
        <f>IF(Paris_Inflow!D48=0,#N/A,Paris_Inflow!D48)</f>
        <v>14.25</v>
      </c>
      <c r="E48" s="163" t="e">
        <v>#N/A</v>
      </c>
      <c r="F48" s="168">
        <f>IF(Paris_Inflow!E48=0,#N/A,Paris_Inflow!E48)</f>
        <v>48.149999999999991</v>
      </c>
      <c r="G48" s="163" t="e">
        <v>#N/A</v>
      </c>
      <c r="H48" s="168">
        <f>IF(Paris_Inflow!F48=0,#N/A,Paris_Inflow!F48)</f>
        <v>4.9933333333333341</v>
      </c>
      <c r="I48" s="163" t="e">
        <v>#N/A</v>
      </c>
      <c r="J48" s="168">
        <f>IF(Paris_Inflow!G48=0,#N/A,Paris_Inflow!G48)</f>
        <v>2.496666666666667</v>
      </c>
      <c r="K48" s="163" t="e">
        <v>#N/A</v>
      </c>
      <c r="L48" s="167">
        <f>IF(Paris_Outflow!C48=0,#N/A,Paris_Outflow!C48)</f>
        <v>1186.4475</v>
      </c>
      <c r="M48" s="172" t="e">
        <v>#N/A</v>
      </c>
      <c r="N48" s="167">
        <f>IF(Paris_Outflow!D48=0,#N/A,Paris_Outflow!D48)</f>
        <v>1186.4475</v>
      </c>
      <c r="O48" s="172" t="e">
        <v>#N/A</v>
      </c>
      <c r="P48" s="167" t="e">
        <f>IF(Paris_Outflow!E48=0,#N/A,Paris_Outflow!E48)</f>
        <v>#N/A</v>
      </c>
      <c r="Q48" s="172" t="e">
        <v>#N/A</v>
      </c>
      <c r="R48" s="167">
        <f>IF(Paris_Outflow!F48=0,#N/A,Paris_Outflow!F48)</f>
        <v>78.126000000000005</v>
      </c>
      <c r="S48" s="172" t="e">
        <v>#N/A</v>
      </c>
      <c r="T48" s="167" t="e">
        <f>IF(Paris_Outflow!G48=0,#N/A,Paris_Outflow!G48)</f>
        <v>#N/A</v>
      </c>
      <c r="U48" s="172" t="e">
        <v>#N/A</v>
      </c>
      <c r="V48" s="252">
        <f>IF(Paris_Inflow!O48=0,#N/A,Paris_Inflow!O48)</f>
        <v>74.171135999999365</v>
      </c>
      <c r="W48" s="252">
        <f>IF(Paris_Inflow!P48=0,#N/A,Paris_Inflow!P48)</f>
        <v>52.178879999999999</v>
      </c>
      <c r="X48" s="249"/>
      <c r="Y48" s="249" t="e">
        <f>IF(Paris_Inflow!W48=0,#N/A,Paris_Inflow!W48)</f>
        <v>#N/A</v>
      </c>
      <c r="Z48" s="249" t="e">
        <f>IF(Paris_Inflow!X48=0,#N/A,Paris_Inflow!X48)</f>
        <v>#N/A</v>
      </c>
      <c r="AA48" s="249" t="e">
        <f>IF(Paris_Inflow!Y48=0,#N/A,Paris_Inflow!Y48)</f>
        <v>#N/A</v>
      </c>
      <c r="AB48" s="249"/>
      <c r="AC48" s="249" t="e">
        <f>IF(Paris_Inflow!AA48=0,#N/A,(Paris_Inflow!AA48+Paris_Inflow!AE48)/2)</f>
        <v>#N/A</v>
      </c>
      <c r="AD48" s="249" t="e">
        <f>IF(Paris_Inflow!AB48=0,#N/A,(Paris_Inflow!AB48+Paris_Inflow!AF48)/2)</f>
        <v>#N/A</v>
      </c>
      <c r="AE48" s="249" t="e">
        <f>IF(Paris_Inflow!AC48=0,#N/A,(Paris_Inflow!AC48+Paris_Inflow!AG48)/2)</f>
        <v>#N/A</v>
      </c>
      <c r="AG48" s="204"/>
      <c r="AH48" s="204"/>
      <c r="AI48" s="207"/>
      <c r="AJ48" s="207"/>
      <c r="AK48" s="204"/>
      <c r="AL48" s="207"/>
      <c r="AM48" s="204"/>
      <c r="AN48" s="207"/>
      <c r="AP48" s="204"/>
      <c r="AQ48" s="204"/>
      <c r="AR48" s="204"/>
      <c r="AS48" s="204"/>
      <c r="AT48" s="204"/>
      <c r="AU48" s="204"/>
    </row>
    <row r="49" spans="1:47" x14ac:dyDescent="0.25">
      <c r="A49" s="94">
        <v>1994</v>
      </c>
      <c r="B49" s="168">
        <f>IF(Paris_Inflow!C49=0,#N/A,Paris_Inflow!C49)</f>
        <v>163.3905</v>
      </c>
      <c r="C49" s="163" t="e">
        <v>#N/A</v>
      </c>
      <c r="D49" s="168" t="e">
        <f>IF(Paris_Inflow!D49=0,#N/A,Paris_Inflow!D49)</f>
        <v>#N/A</v>
      </c>
      <c r="E49" s="163" t="e">
        <v>#N/A</v>
      </c>
      <c r="F49" s="168">
        <f>IF(Paris_Inflow!E49=0,#N/A,Paris_Inflow!E49)</f>
        <v>163.3905</v>
      </c>
      <c r="G49" s="163" t="e">
        <v>#N/A</v>
      </c>
      <c r="H49" s="168">
        <f>IF(Paris_Inflow!F49=0,#N/A,Paris_Inflow!F49)</f>
        <v>21.475999999999999</v>
      </c>
      <c r="I49" s="163" t="e">
        <v>#N/A</v>
      </c>
      <c r="J49" s="168">
        <f>IF(Paris_Inflow!G49=0,#N/A,Paris_Inflow!G49)</f>
        <v>12.375999999999999</v>
      </c>
      <c r="K49" s="163" t="e">
        <v>#N/A</v>
      </c>
      <c r="L49" s="167">
        <f>IF(Paris_Outflow!C49=0,#N/A,Paris_Outflow!C49)</f>
        <v>176.904</v>
      </c>
      <c r="M49" s="172" t="e">
        <v>#N/A</v>
      </c>
      <c r="N49" s="167">
        <f>IF(Paris_Outflow!D49=0,#N/A,Paris_Outflow!D49)</f>
        <v>36.855000000000004</v>
      </c>
      <c r="O49" s="172" t="e">
        <v>#N/A</v>
      </c>
      <c r="P49" s="167">
        <f>IF(Paris_Outflow!E49=0,#N/A,Paris_Outflow!E49)</f>
        <v>140.04900000000001</v>
      </c>
      <c r="Q49" s="172" t="e">
        <v>#N/A</v>
      </c>
      <c r="R49" s="167">
        <f>IF(Paris_Outflow!F49=0,#N/A,Paris_Outflow!F49)</f>
        <v>21.475999999999999</v>
      </c>
      <c r="S49" s="172" t="e">
        <v>#N/A</v>
      </c>
      <c r="T49" s="167">
        <f>IF(Paris_Outflow!G49=0,#N/A,Paris_Outflow!G49)</f>
        <v>12.375999999999999</v>
      </c>
      <c r="U49" s="172" t="e">
        <v>#N/A</v>
      </c>
      <c r="V49" s="252">
        <f>IF(Paris_Inflow!O49=0,#N/A,Paris_Inflow!O49)</f>
        <v>193.14300028182723</v>
      </c>
      <c r="W49" s="252">
        <f>IF(Paris_Inflow!P49=0,#N/A,Paris_Inflow!P49)</f>
        <v>137.6401572</v>
      </c>
      <c r="X49" s="249"/>
      <c r="Y49" s="249" t="e">
        <f>IF(Paris_Inflow!W49=0,#N/A,Paris_Inflow!W49)</f>
        <v>#N/A</v>
      </c>
      <c r="Z49" s="249" t="e">
        <f>IF(Paris_Inflow!X49=0,#N/A,Paris_Inflow!X49)</f>
        <v>#N/A</v>
      </c>
      <c r="AA49" s="249" t="e">
        <f>IF(Paris_Inflow!Y49=0,#N/A,Paris_Inflow!Y49)</f>
        <v>#N/A</v>
      </c>
      <c r="AB49" s="249"/>
      <c r="AC49" s="249" t="e">
        <f>IF(Paris_Inflow!AA49=0,#N/A,(Paris_Inflow!AA49+Paris_Inflow!AE49)/2)</f>
        <v>#N/A</v>
      </c>
      <c r="AD49" s="249" t="e">
        <f>IF(Paris_Inflow!AB49=0,#N/A,(Paris_Inflow!AB49+Paris_Inflow!AF49)/2)</f>
        <v>#N/A</v>
      </c>
      <c r="AE49" s="249" t="e">
        <f>IF(Paris_Inflow!AC49=0,#N/A,(Paris_Inflow!AC49+Paris_Inflow!AG49)/2)</f>
        <v>#N/A</v>
      </c>
      <c r="AG49" s="204"/>
      <c r="AH49" s="204"/>
      <c r="AI49" s="207"/>
      <c r="AJ49" s="207"/>
      <c r="AK49" s="204"/>
      <c r="AL49" s="207"/>
      <c r="AM49" s="204"/>
      <c r="AN49" s="207"/>
      <c r="AP49" s="204"/>
      <c r="AQ49" s="204"/>
      <c r="AR49" s="204"/>
      <c r="AS49" s="204"/>
      <c r="AT49" s="204"/>
      <c r="AU49" s="204"/>
    </row>
    <row r="50" spans="1:47" x14ac:dyDescent="0.25">
      <c r="A50" s="94">
        <v>1995</v>
      </c>
      <c r="B50" s="168">
        <f>IF(Paris_Inflow!C50=0,#N/A,Paris_Inflow!C50)</f>
        <v>2437.7999999999997</v>
      </c>
      <c r="C50" s="163" t="e">
        <v>#N/A</v>
      </c>
      <c r="D50" s="168">
        <f>IF(Paris_Inflow!D50=0,#N/A,Paris_Inflow!D50)</f>
        <v>968.99999999999989</v>
      </c>
      <c r="E50" s="163" t="e">
        <v>#N/A</v>
      </c>
      <c r="F50" s="168">
        <f>IF(Paris_Inflow!E50=0,#N/A,Paris_Inflow!E50)</f>
        <v>1468.8</v>
      </c>
      <c r="G50" s="163" t="e">
        <v>#N/A</v>
      </c>
      <c r="H50" s="168">
        <f>IF(Paris_Inflow!F50=0,#N/A,Paris_Inflow!F50)</f>
        <v>97.92</v>
      </c>
      <c r="I50" s="163" t="e">
        <v>#N/A</v>
      </c>
      <c r="J50" s="168">
        <f>IF(Paris_Inflow!G50=0,#N/A,Paris_Inflow!G50)</f>
        <v>48.96</v>
      </c>
      <c r="K50" s="163" t="e">
        <v>#N/A</v>
      </c>
      <c r="L50" s="167" t="e">
        <f>IF(Paris_Outflow!C50=0,#N/A,Paris_Outflow!C50)</f>
        <v>#N/A</v>
      </c>
      <c r="M50" s="172" t="e">
        <v>#N/A</v>
      </c>
      <c r="N50" s="167" t="e">
        <f>IF(Paris_Outflow!D50=0,#N/A,Paris_Outflow!D50)</f>
        <v>#N/A</v>
      </c>
      <c r="O50" s="172" t="e">
        <v>#N/A</v>
      </c>
      <c r="P50" s="167" t="e">
        <f>IF(Paris_Outflow!E50=0,#N/A,Paris_Outflow!E50)</f>
        <v>#N/A</v>
      </c>
      <c r="Q50" s="172" t="e">
        <v>#N/A</v>
      </c>
      <c r="R50" s="167" t="e">
        <f>IF(Paris_Outflow!F50=0,#N/A,Paris_Outflow!F50)</f>
        <v>#N/A</v>
      </c>
      <c r="S50" s="172" t="e">
        <v>#N/A</v>
      </c>
      <c r="T50" s="167" t="e">
        <f>IF(Paris_Outflow!G50=0,#N/A,Paris_Outflow!G50)</f>
        <v>#N/A</v>
      </c>
      <c r="U50" s="172" t="e">
        <v>#N/A</v>
      </c>
      <c r="V50" s="252">
        <f>IF(Paris_Inflow!O50=0,#N/A,Paris_Inflow!O50)</f>
        <v>2865.5263722001641</v>
      </c>
      <c r="W50" s="252">
        <f>IF(Paris_Inflow!P50=0,#N/A,Paris_Inflow!P50)</f>
        <v>2059.9409999999998</v>
      </c>
      <c r="X50" s="249"/>
      <c r="Y50" s="249" t="e">
        <f>IF(Paris_Inflow!W50=0,#N/A,Paris_Inflow!W50)</f>
        <v>#N/A</v>
      </c>
      <c r="Z50" s="249" t="e">
        <f>IF(Paris_Inflow!X50=0,#N/A,Paris_Inflow!X50)</f>
        <v>#N/A</v>
      </c>
      <c r="AA50" s="249" t="e">
        <f>IF(Paris_Inflow!Y50=0,#N/A,Paris_Inflow!Y50)</f>
        <v>#N/A</v>
      </c>
      <c r="AB50" s="249"/>
      <c r="AC50" s="249" t="e">
        <f>IF(Paris_Inflow!AA50=0,#N/A,(Paris_Inflow!AA50+Paris_Inflow!AE50)/2)</f>
        <v>#N/A</v>
      </c>
      <c r="AD50" s="249" t="e">
        <f>IF(Paris_Inflow!AB50=0,#N/A,(Paris_Inflow!AB50+Paris_Inflow!AF50)/2)</f>
        <v>#N/A</v>
      </c>
      <c r="AE50" s="249" t="e">
        <f>IF(Paris_Inflow!AC50=0,#N/A,(Paris_Inflow!AC50+Paris_Inflow!AG50)/2)</f>
        <v>#N/A</v>
      </c>
      <c r="AG50" s="208">
        <f>AVERAGE(Paris_Inflow!B50:B59)</f>
        <v>51337.962999999996</v>
      </c>
      <c r="AH50" s="208">
        <f>AVERAGE(Paris_Inflow!C50:C59)</f>
        <v>1242.4712500000001</v>
      </c>
      <c r="AI50" s="207">
        <f>AVERAGE(Paris_Outflow!B50:B59)</f>
        <v>13428.810000000001</v>
      </c>
      <c r="AJ50" s="207">
        <f>AVERAGE(Paris_Outflow!C50:C59)</f>
        <v>251.23223000000002</v>
      </c>
      <c r="AK50" s="208">
        <f>AVERAGE(Paris_Inflow!F50:F59)</f>
        <v>74.94473746666668</v>
      </c>
      <c r="AL50" s="207">
        <f>AVERAGE(Paris_Outflow!F50:F59)</f>
        <v>19.696893333333335</v>
      </c>
      <c r="AM50" s="208">
        <f>AVERAGE(Paris_Inflow!G50:G59)</f>
        <v>45.744163733333338</v>
      </c>
      <c r="AN50" s="207">
        <f>AVERAGE(Paris_Outflow!G50:G59)</f>
        <v>16.023780000000002</v>
      </c>
      <c r="AP50" s="204"/>
      <c r="AQ50" s="204"/>
      <c r="AR50" s="204"/>
      <c r="AS50" s="204"/>
      <c r="AT50" s="204"/>
      <c r="AU50" s="204"/>
    </row>
    <row r="51" spans="1:47" x14ac:dyDescent="0.25">
      <c r="A51" s="94">
        <v>1996</v>
      </c>
      <c r="B51" s="168">
        <f>IF(Paris_Inflow!C51=0,#N/A,Paris_Inflow!C51)</f>
        <v>760.72319999999991</v>
      </c>
      <c r="C51" s="163" t="e">
        <v>#N/A</v>
      </c>
      <c r="D51" s="168">
        <f>IF(Paris_Inflow!D51=0,#N/A,Paris_Inflow!D51)</f>
        <v>464.43599999999998</v>
      </c>
      <c r="E51" s="163" t="e">
        <v>#N/A</v>
      </c>
      <c r="F51" s="168">
        <f>IF(Paris_Inflow!E51=0,#N/A,Paris_Inflow!E51)</f>
        <v>296.28719999999998</v>
      </c>
      <c r="G51" s="163" t="e">
        <v>#N/A</v>
      </c>
      <c r="H51" s="168">
        <f>IF(Paris_Inflow!F51=0,#N/A,Paris_Inflow!F51)</f>
        <v>52.771007999999995</v>
      </c>
      <c r="I51" s="163" t="e">
        <v>#N/A</v>
      </c>
      <c r="J51" s="168">
        <f>IF(Paris_Inflow!G51=0,#N/A,Paris_Inflow!G51)</f>
        <v>34.658003999999998</v>
      </c>
      <c r="K51" s="163" t="e">
        <v>#N/A</v>
      </c>
      <c r="L51" s="167">
        <f>IF(Paris_Outflow!C51=0,#N/A,Paris_Outflow!C51)</f>
        <v>335.8449</v>
      </c>
      <c r="M51" s="172" t="e">
        <v>#N/A</v>
      </c>
      <c r="N51" s="167">
        <f>IF(Paris_Outflow!D51=0,#N/A,Paris_Outflow!D51)</f>
        <v>39.557699999999997</v>
      </c>
      <c r="O51" s="172" t="e">
        <v>#N/A</v>
      </c>
      <c r="P51" s="167">
        <f>IF(Paris_Outflow!E51=0,#N/A,Paris_Outflow!E51)</f>
        <v>296.28719999999998</v>
      </c>
      <c r="Q51" s="172" t="e">
        <v>#N/A</v>
      </c>
      <c r="R51" s="167">
        <f>IF(Paris_Outflow!F51=0,#N/A,Paris_Outflow!F51)</f>
        <v>27.1374</v>
      </c>
      <c r="S51" s="172" t="e">
        <v>#N/A</v>
      </c>
      <c r="T51" s="167">
        <f>IF(Paris_Outflow!G51=0,#N/A,Paris_Outflow!G51)</f>
        <v>18.856200000000001</v>
      </c>
      <c r="U51" s="172" t="e">
        <v>#N/A</v>
      </c>
      <c r="V51" s="252">
        <f>IF(Paris_Inflow!O51=0,#N/A,Paris_Inflow!O51)</f>
        <v>889.12383013344117</v>
      </c>
      <c r="W51" s="252">
        <f>IF(Paris_Inflow!P51=0,#N/A,Paris_Inflow!P51)</f>
        <v>634.63651972954813</v>
      </c>
      <c r="X51" s="249"/>
      <c r="Y51" s="249" t="e">
        <f>IF(Paris_Inflow!W51=0,#N/A,Paris_Inflow!W51)</f>
        <v>#N/A</v>
      </c>
      <c r="Z51" s="249" t="e">
        <f>IF(Paris_Inflow!X51=0,#N/A,Paris_Inflow!X51)</f>
        <v>#N/A</v>
      </c>
      <c r="AA51" s="249" t="e">
        <f>IF(Paris_Inflow!Y51=0,#N/A,Paris_Inflow!Y51)</f>
        <v>#N/A</v>
      </c>
      <c r="AB51" s="249"/>
      <c r="AC51" s="249" t="e">
        <f>IF(Paris_Inflow!AA51=0,#N/A,(Paris_Inflow!AA51+Paris_Inflow!AE51)/2)</f>
        <v>#N/A</v>
      </c>
      <c r="AD51" s="249" t="e">
        <f>IF(Paris_Inflow!AB51=0,#N/A,(Paris_Inflow!AB51+Paris_Inflow!AF51)/2)</f>
        <v>#N/A</v>
      </c>
      <c r="AE51" s="249" t="e">
        <f>IF(Paris_Inflow!AC51=0,#N/A,(Paris_Inflow!AC51+Paris_Inflow!AG51)/2)</f>
        <v>#N/A</v>
      </c>
      <c r="AG51" s="204"/>
      <c r="AH51" s="204"/>
      <c r="AI51" s="207"/>
      <c r="AJ51" s="207"/>
      <c r="AK51" s="204"/>
      <c r="AL51" s="207"/>
      <c r="AM51" s="204"/>
      <c r="AN51" s="207"/>
      <c r="AP51" s="204"/>
      <c r="AQ51" s="204"/>
      <c r="AR51" s="204"/>
      <c r="AS51" s="204"/>
      <c r="AT51" s="204"/>
      <c r="AU51" s="204"/>
    </row>
    <row r="52" spans="1:47" x14ac:dyDescent="0.25">
      <c r="A52" s="94">
        <v>1997</v>
      </c>
      <c r="B52" s="168" t="e">
        <f>IF(Paris_Inflow!C52=0,#N/A,Paris_Inflow!C52)</f>
        <v>#N/A</v>
      </c>
      <c r="C52" s="163" t="e">
        <v>#N/A</v>
      </c>
      <c r="D52" s="168" t="e">
        <f>IF(Paris_Inflow!D52=0,#N/A,Paris_Inflow!D52)</f>
        <v>#N/A</v>
      </c>
      <c r="E52" s="163" t="e">
        <v>#N/A</v>
      </c>
      <c r="F52" s="168" t="e">
        <f>IF(Paris_Inflow!E52=0,#N/A,Paris_Inflow!E52)</f>
        <v>#N/A</v>
      </c>
      <c r="G52" s="163" t="e">
        <v>#N/A</v>
      </c>
      <c r="H52" s="168" t="e">
        <f>IF(Paris_Inflow!F52=0,#N/A,Paris_Inflow!F52)</f>
        <v>#N/A</v>
      </c>
      <c r="I52" s="163" t="e">
        <v>#N/A</v>
      </c>
      <c r="J52" s="168" t="e">
        <f>IF(Paris_Inflow!G52=0,#N/A,Paris_Inflow!G52)</f>
        <v>#N/A</v>
      </c>
      <c r="K52" s="163" t="e">
        <v>#N/A</v>
      </c>
      <c r="L52" s="167" t="e">
        <f>IF(Paris_Outflow!C52=0,#N/A,Paris_Outflow!C52)</f>
        <v>#N/A</v>
      </c>
      <c r="M52" s="172" t="e">
        <v>#N/A</v>
      </c>
      <c r="N52" s="167" t="e">
        <f>IF(Paris_Outflow!D52=0,#N/A,Paris_Outflow!D52)</f>
        <v>#N/A</v>
      </c>
      <c r="O52" s="172" t="e">
        <v>#N/A</v>
      </c>
      <c r="P52" s="167" t="e">
        <f>IF(Paris_Outflow!E52=0,#N/A,Paris_Outflow!E52)</f>
        <v>#N/A</v>
      </c>
      <c r="Q52" s="172" t="e">
        <v>#N/A</v>
      </c>
      <c r="R52" s="167" t="e">
        <f>IF(Paris_Outflow!F52=0,#N/A,Paris_Outflow!F52)</f>
        <v>#N/A</v>
      </c>
      <c r="S52" s="172" t="e">
        <v>#N/A</v>
      </c>
      <c r="T52" s="167" t="e">
        <f>IF(Paris_Outflow!G52=0,#N/A,Paris_Outflow!G52)</f>
        <v>#N/A</v>
      </c>
      <c r="U52" s="172" t="e">
        <v>#N/A</v>
      </c>
      <c r="V52" s="252" t="e">
        <f>IF(Paris_Inflow!O52=0,#N/A,Paris_Inflow!O52)</f>
        <v>#N/A</v>
      </c>
      <c r="W52" s="252" t="e">
        <f>IF(Paris_Inflow!P52=0,#N/A,Paris_Inflow!P52)</f>
        <v>#N/A</v>
      </c>
      <c r="X52" s="249"/>
      <c r="Y52" s="249" t="e">
        <f>IF(Paris_Inflow!W52=0,#N/A,Paris_Inflow!W52)</f>
        <v>#N/A</v>
      </c>
      <c r="Z52" s="249" t="e">
        <f>IF(Paris_Inflow!X52=0,#N/A,Paris_Inflow!X52)</f>
        <v>#N/A</v>
      </c>
      <c r="AA52" s="249" t="e">
        <f>IF(Paris_Inflow!Y52=0,#N/A,Paris_Inflow!Y52)</f>
        <v>#N/A</v>
      </c>
      <c r="AB52" s="249"/>
      <c r="AC52" s="249" t="e">
        <f>IF(Paris_Inflow!AA52=0,#N/A,(Paris_Inflow!AA52+Paris_Inflow!AE52)/2)</f>
        <v>#N/A</v>
      </c>
      <c r="AD52" s="249" t="e">
        <f>IF(Paris_Inflow!AB52=0,#N/A,(Paris_Inflow!AB52+Paris_Inflow!AF52)/2)</f>
        <v>#N/A</v>
      </c>
      <c r="AE52" s="249" t="e">
        <f>IF(Paris_Inflow!AC52=0,#N/A,(Paris_Inflow!AC52+Paris_Inflow!AG52)/2)</f>
        <v>#N/A</v>
      </c>
      <c r="AG52" s="204"/>
      <c r="AH52" s="204"/>
      <c r="AI52" s="207"/>
      <c r="AJ52" s="207"/>
      <c r="AK52" s="204"/>
      <c r="AL52" s="207"/>
      <c r="AM52" s="204"/>
      <c r="AN52" s="207"/>
      <c r="AP52" s="204"/>
      <c r="AQ52" s="204"/>
      <c r="AR52" s="204"/>
      <c r="AS52" s="204"/>
      <c r="AT52" s="204"/>
      <c r="AU52" s="204"/>
    </row>
    <row r="53" spans="1:47" x14ac:dyDescent="0.25">
      <c r="A53" s="94">
        <v>1998</v>
      </c>
      <c r="B53" s="168">
        <f>IF(Paris_Inflow!C53=0,#N/A,Paris_Inflow!C53)</f>
        <v>1208.1950999999999</v>
      </c>
      <c r="C53" s="163" t="e">
        <v>#N/A</v>
      </c>
      <c r="D53" s="168">
        <f>IF(Paris_Inflow!D53=0,#N/A,Paris_Inflow!D53)</f>
        <v>173.49299999999999</v>
      </c>
      <c r="E53" s="163" t="e">
        <v>#N/A</v>
      </c>
      <c r="F53" s="168">
        <f>IF(Paris_Inflow!E53=0,#N/A,Paris_Inflow!E53)</f>
        <v>1034.7021</v>
      </c>
      <c r="G53" s="163" t="e">
        <v>#N/A</v>
      </c>
      <c r="H53" s="168">
        <f>IF(Paris_Inflow!F53=0,#N/A,Paris_Inflow!F53)</f>
        <v>103.85296</v>
      </c>
      <c r="I53" s="163" t="e">
        <v>#N/A</v>
      </c>
      <c r="J53" s="168">
        <f>IF(Paris_Inflow!G53=0,#N/A,Paris_Inflow!G53)</f>
        <v>62.980399999999996</v>
      </c>
      <c r="K53" s="163" t="e">
        <v>#N/A</v>
      </c>
      <c r="L53" s="167">
        <f>IF(Paris_Outflow!C53=0,#N/A,Paris_Outflow!C53)</f>
        <v>406.77119999999996</v>
      </c>
      <c r="M53" s="172" t="e">
        <v>#N/A</v>
      </c>
      <c r="N53" s="167">
        <f>IF(Paris_Outflow!D53=0,#N/A,Paris_Outflow!D53)</f>
        <v>57.024000000000001</v>
      </c>
      <c r="O53" s="172" t="e">
        <v>#N/A</v>
      </c>
      <c r="P53" s="167">
        <f>IF(Paris_Outflow!E53=0,#N/A,Paris_Outflow!E53)</f>
        <v>349.74719999999996</v>
      </c>
      <c r="Q53" s="172" t="e">
        <v>#N/A</v>
      </c>
      <c r="R53" s="167">
        <f>IF(Paris_Outflow!F53=0,#N/A,Paris_Outflow!F53)</f>
        <v>44.774399999999993</v>
      </c>
      <c r="S53" s="172" t="e">
        <v>#N/A</v>
      </c>
      <c r="T53" s="167">
        <f>IF(Paris_Outflow!G53=0,#N/A,Paris_Outflow!G53)</f>
        <v>27.878399999999999</v>
      </c>
      <c r="U53" s="172" t="e">
        <v>#N/A</v>
      </c>
      <c r="V53" s="252">
        <f>IF(Paris_Inflow!O53=0,#N/A,Paris_Inflow!O53)</f>
        <v>1396.2077500967519</v>
      </c>
      <c r="W53" s="252">
        <f>IF(Paris_Inflow!P53=0,#N/A,Paris_Inflow!P53)</f>
        <v>936.40420718825681</v>
      </c>
      <c r="X53" s="249"/>
      <c r="Y53" s="249" t="e">
        <f>IF(Paris_Inflow!W53=0,#N/A,Paris_Inflow!W53)</f>
        <v>#N/A</v>
      </c>
      <c r="Z53" s="249" t="e">
        <f>IF(Paris_Inflow!X53=0,#N/A,Paris_Inflow!X53)</f>
        <v>#N/A</v>
      </c>
      <c r="AA53" s="249" t="e">
        <f>IF(Paris_Inflow!Y53=0,#N/A,Paris_Inflow!Y53)</f>
        <v>#N/A</v>
      </c>
      <c r="AB53" s="249"/>
      <c r="AC53" s="249" t="e">
        <f>IF(Paris_Inflow!AA53=0,#N/A,(Paris_Inflow!AA53+Paris_Inflow!AE53)/2)</f>
        <v>#N/A</v>
      </c>
      <c r="AD53" s="249" t="e">
        <f>IF(Paris_Inflow!AB53=0,#N/A,(Paris_Inflow!AB53+Paris_Inflow!AF53)/2)</f>
        <v>#N/A</v>
      </c>
      <c r="AE53" s="249" t="e">
        <f>IF(Paris_Inflow!AC53=0,#N/A,(Paris_Inflow!AC53+Paris_Inflow!AG53)/2)</f>
        <v>#N/A</v>
      </c>
      <c r="AG53" s="204"/>
      <c r="AH53" s="204"/>
      <c r="AI53" s="207"/>
      <c r="AJ53" s="207"/>
      <c r="AK53" s="204"/>
      <c r="AL53" s="207"/>
      <c r="AM53" s="204"/>
      <c r="AN53" s="207"/>
      <c r="AP53" s="204"/>
      <c r="AQ53" s="204"/>
      <c r="AR53" s="204"/>
      <c r="AS53" s="204"/>
      <c r="AT53" s="204"/>
      <c r="AU53" s="204"/>
    </row>
    <row r="54" spans="1:47" x14ac:dyDescent="0.25">
      <c r="A54" s="94">
        <v>1999</v>
      </c>
      <c r="B54" s="168">
        <f>IF(Paris_Inflow!C54=0,#N/A,Paris_Inflow!C54)</f>
        <v>878.55200000000002</v>
      </c>
      <c r="C54" s="163" t="e">
        <v>#N/A</v>
      </c>
      <c r="D54" s="168">
        <f>IF(Paris_Inflow!D54=0,#N/A,Paris_Inflow!D54)</f>
        <v>281.88</v>
      </c>
      <c r="E54" s="163" t="e">
        <v>#N/A</v>
      </c>
      <c r="F54" s="168">
        <f>IF(Paris_Inflow!E54=0,#N/A,Paris_Inflow!E54)</f>
        <v>596.67200000000003</v>
      </c>
      <c r="G54" s="163" t="e">
        <v>#N/A</v>
      </c>
      <c r="H54" s="168">
        <f>IF(Paris_Inflow!F54=0,#N/A,Paris_Inflow!F54)</f>
        <v>59.210840000000005</v>
      </c>
      <c r="I54" s="163" t="e">
        <v>#N/A</v>
      </c>
      <c r="J54" s="168">
        <f>IF(Paris_Inflow!G54=0,#N/A,Paris_Inflow!G54)</f>
        <v>36.493400000000001</v>
      </c>
      <c r="K54" s="163" t="e">
        <v>#N/A</v>
      </c>
      <c r="L54" s="167">
        <f>IF(Paris_Outflow!C54=0,#N/A,Paris_Outflow!C54)</f>
        <v>394.94</v>
      </c>
      <c r="M54" s="172" t="e">
        <v>#N/A</v>
      </c>
      <c r="N54" s="167">
        <f>IF(Paris_Outflow!D54=0,#N/A,Paris_Outflow!D54)</f>
        <v>36.299999999999997</v>
      </c>
      <c r="O54" s="172" t="e">
        <v>#N/A</v>
      </c>
      <c r="P54" s="167">
        <f>IF(Paris_Outflow!E54=0,#N/A,Paris_Outflow!E54)</f>
        <v>358.64</v>
      </c>
      <c r="Q54" s="172" t="e">
        <v>#N/A</v>
      </c>
      <c r="R54" s="167">
        <f>IF(Paris_Outflow!F54=0,#N/A,Paris_Outflow!F54)</f>
        <v>22.295000000000002</v>
      </c>
      <c r="S54" s="172" t="e">
        <v>#N/A</v>
      </c>
      <c r="T54" s="167">
        <f>IF(Paris_Outflow!G54=0,#N/A,Paris_Outflow!G54)</f>
        <v>23.909333333333333</v>
      </c>
      <c r="U54" s="172" t="e">
        <v>#N/A</v>
      </c>
      <c r="V54" s="252">
        <f>IF(Paris_Inflow!O54=0,#N/A,Paris_Inflow!O54)</f>
        <v>1009.6636660591231</v>
      </c>
      <c r="W54" s="252">
        <f>IF(Paris_Inflow!P54=0,#N/A,Paris_Inflow!P54)</f>
        <v>654.00884580129002</v>
      </c>
      <c r="X54" s="249"/>
      <c r="Y54" s="249" t="e">
        <f>IF(Paris_Inflow!W54=0,#N/A,Paris_Inflow!W54)</f>
        <v>#N/A</v>
      </c>
      <c r="Z54" s="249" t="e">
        <f>IF(Paris_Inflow!X54=0,#N/A,Paris_Inflow!X54)</f>
        <v>#N/A</v>
      </c>
      <c r="AA54" s="249" t="e">
        <f>IF(Paris_Inflow!Y54=0,#N/A,Paris_Inflow!Y54)</f>
        <v>#N/A</v>
      </c>
      <c r="AB54" s="249"/>
      <c r="AC54" s="249" t="e">
        <f>IF(Paris_Inflow!AA54=0,#N/A,(Paris_Inflow!AA54+Paris_Inflow!AE54)/2)</f>
        <v>#N/A</v>
      </c>
      <c r="AD54" s="249" t="e">
        <f>IF(Paris_Inflow!AB54=0,#N/A,(Paris_Inflow!AB54+Paris_Inflow!AF54)/2)</f>
        <v>#N/A</v>
      </c>
      <c r="AE54" s="249" t="e">
        <f>IF(Paris_Inflow!AC54=0,#N/A,(Paris_Inflow!AC54+Paris_Inflow!AG54)/2)</f>
        <v>#N/A</v>
      </c>
      <c r="AG54" s="204"/>
      <c r="AH54" s="204"/>
      <c r="AI54" s="207"/>
      <c r="AJ54" s="207"/>
      <c r="AK54" s="204"/>
      <c r="AL54" s="207"/>
      <c r="AM54" s="204"/>
      <c r="AN54" s="207"/>
      <c r="AP54" s="204"/>
      <c r="AQ54" s="204"/>
      <c r="AR54" s="204"/>
      <c r="AS54" s="204"/>
      <c r="AT54" s="204"/>
      <c r="AU54" s="204"/>
    </row>
    <row r="55" spans="1:47" x14ac:dyDescent="0.25">
      <c r="A55" s="94">
        <v>2000</v>
      </c>
      <c r="B55" s="168">
        <f>IF(Paris_Inflow!C55=0,#N/A,Paris_Inflow!C55)</f>
        <v>241.5</v>
      </c>
      <c r="C55" s="163" t="e">
        <v>#N/A</v>
      </c>
      <c r="D55" s="168" t="e">
        <f>IF(Paris_Inflow!D55=0,#N/A,Paris_Inflow!D55)</f>
        <v>#N/A</v>
      </c>
      <c r="E55" s="163" t="e">
        <v>#N/A</v>
      </c>
      <c r="F55" s="168">
        <f>IF(Paris_Inflow!E55=0,#N/A,Paris_Inflow!E55)</f>
        <v>241.5</v>
      </c>
      <c r="G55" s="163" t="e">
        <v>#N/A</v>
      </c>
      <c r="H55" s="168">
        <f>IF(Paris_Inflow!F55=0,#N/A,Paris_Inflow!F55)</f>
        <v>16.28</v>
      </c>
      <c r="I55" s="163" t="e">
        <v>#N/A</v>
      </c>
      <c r="J55" s="168">
        <f>IF(Paris_Inflow!G55=0,#N/A,Paris_Inflow!G55)</f>
        <v>11.714</v>
      </c>
      <c r="K55" s="163" t="e">
        <v>#N/A</v>
      </c>
      <c r="L55" s="167">
        <f>IF(Paris_Outflow!C55=0,#N/A,Paris_Outflow!C55)</f>
        <v>143.5</v>
      </c>
      <c r="M55" s="172" t="e">
        <v>#N/A</v>
      </c>
      <c r="N55" s="167" t="e">
        <f>IF(Paris_Outflow!D55=0,#N/A,Paris_Outflow!D55)</f>
        <v>#N/A</v>
      </c>
      <c r="O55" s="172" t="e">
        <v>#N/A</v>
      </c>
      <c r="P55" s="167">
        <f>IF(Paris_Outflow!E55=0,#N/A,Paris_Outflow!E55)</f>
        <v>143.5</v>
      </c>
      <c r="Q55" s="172" t="e">
        <v>#N/A</v>
      </c>
      <c r="R55" s="167">
        <f>IF(Paris_Outflow!F55=0,#N/A,Paris_Outflow!F55)</f>
        <v>14.78</v>
      </c>
      <c r="S55" s="172" t="e">
        <v>#N/A</v>
      </c>
      <c r="T55" s="167">
        <f>IF(Paris_Outflow!G55=0,#N/A,Paris_Outflow!G55)</f>
        <v>14.78</v>
      </c>
      <c r="U55" s="172" t="e">
        <v>#N/A</v>
      </c>
      <c r="V55" s="252">
        <f>IF(Paris_Inflow!O55=0,#N/A,Paris_Inflow!O55)</f>
        <v>276.05400169095765</v>
      </c>
      <c r="W55" s="252">
        <f>IF(Paris_Inflow!P55=0,#N/A,Paris_Inflow!P55)</f>
        <v>175.08750000000001</v>
      </c>
      <c r="X55" s="249"/>
      <c r="Y55" s="249" t="e">
        <f>IF(Paris_Inflow!W55=0,#N/A,Paris_Inflow!W55)</f>
        <v>#N/A</v>
      </c>
      <c r="Z55" s="249" t="e">
        <f>IF(Paris_Inflow!X55=0,#N/A,Paris_Inflow!X55)</f>
        <v>#N/A</v>
      </c>
      <c r="AA55" s="249" t="e">
        <f>IF(Paris_Inflow!Y55=0,#N/A,Paris_Inflow!Y55)</f>
        <v>#N/A</v>
      </c>
      <c r="AB55" s="249"/>
      <c r="AC55" s="249" t="e">
        <f>IF(Paris_Inflow!AA55=0,#N/A,(Paris_Inflow!AA55+Paris_Inflow!AE55)/2)</f>
        <v>#N/A</v>
      </c>
      <c r="AD55" s="249" t="e">
        <f>IF(Paris_Inflow!AB55=0,#N/A,(Paris_Inflow!AB55+Paris_Inflow!AF55)/2)</f>
        <v>#N/A</v>
      </c>
      <c r="AE55" s="249" t="e">
        <f>IF(Paris_Inflow!AC55=0,#N/A,(Paris_Inflow!AC55+Paris_Inflow!AG55)/2)</f>
        <v>#N/A</v>
      </c>
      <c r="AG55" s="204"/>
      <c r="AH55" s="204"/>
      <c r="AI55" s="207"/>
      <c r="AJ55" s="207"/>
      <c r="AK55" s="204"/>
      <c r="AL55" s="207"/>
      <c r="AM55" s="204"/>
      <c r="AN55" s="207"/>
      <c r="AP55" s="204"/>
      <c r="AQ55" s="204"/>
      <c r="AR55" s="204"/>
      <c r="AS55" s="204"/>
      <c r="AT55" s="204"/>
      <c r="AU55" s="204"/>
    </row>
    <row r="56" spans="1:47" x14ac:dyDescent="0.25">
      <c r="A56" s="94">
        <v>2001</v>
      </c>
      <c r="B56" s="168">
        <f>IF(Paris_Inflow!C56=0,#N/A,Paris_Inflow!C56)</f>
        <v>3764.0699999999997</v>
      </c>
      <c r="C56" s="163" t="e">
        <v>#N/A</v>
      </c>
      <c r="D56" s="168">
        <f>IF(Paris_Inflow!D56=0,#N/A,Paris_Inflow!D56)</f>
        <v>1300.05</v>
      </c>
      <c r="E56" s="163" t="e">
        <v>#N/A</v>
      </c>
      <c r="F56" s="168">
        <f>IF(Paris_Inflow!E56=0,#N/A,Paris_Inflow!E56)</f>
        <v>2464.02</v>
      </c>
      <c r="G56" s="163" t="e">
        <v>#N/A</v>
      </c>
      <c r="H56" s="168">
        <f>IF(Paris_Inflow!F56=0,#N/A,Paris_Inflow!F56)</f>
        <v>214.16849999999997</v>
      </c>
      <c r="I56" s="163" t="e">
        <v>#N/A</v>
      </c>
      <c r="J56" s="168">
        <f>IF(Paris_Inflow!G56=0,#N/A,Paris_Inflow!G56)</f>
        <v>126.53549999999998</v>
      </c>
      <c r="K56" s="163" t="e">
        <v>#N/A</v>
      </c>
      <c r="L56" s="167" t="e">
        <f>IF(Paris_Outflow!C56=0,#N/A,Paris_Outflow!C56)</f>
        <v>#N/A</v>
      </c>
      <c r="M56" s="172" t="e">
        <v>#N/A</v>
      </c>
      <c r="N56" s="167" t="e">
        <f>IF(Paris_Outflow!D56=0,#N/A,Paris_Outflow!D56)</f>
        <v>#N/A</v>
      </c>
      <c r="O56" s="172" t="e">
        <v>#N/A</v>
      </c>
      <c r="P56" s="167" t="e">
        <f>IF(Paris_Outflow!E56=0,#N/A,Paris_Outflow!E56)</f>
        <v>#N/A</v>
      </c>
      <c r="Q56" s="172" t="e">
        <v>#N/A</v>
      </c>
      <c r="R56" s="167" t="e">
        <f>IF(Paris_Outflow!F56=0,#N/A,Paris_Outflow!F56)</f>
        <v>#N/A</v>
      </c>
      <c r="S56" s="172" t="e">
        <v>#N/A</v>
      </c>
      <c r="T56" s="167" t="e">
        <f>IF(Paris_Outflow!G56=0,#N/A,Paris_Outflow!G56)</f>
        <v>#N/A</v>
      </c>
      <c r="U56" s="172" t="e">
        <v>#N/A</v>
      </c>
      <c r="V56" s="252">
        <f>IF(Paris_Inflow!O56=0,#N/A,Paris_Inflow!O56)</f>
        <v>4280.5443197539953</v>
      </c>
      <c r="W56" s="252">
        <f>IF(Paris_Inflow!P56=0,#N/A,Paris_Inflow!P56)</f>
        <v>2695.5543160830271</v>
      </c>
      <c r="X56" s="249"/>
      <c r="Y56" s="249" t="e">
        <f>IF(Paris_Inflow!W56=0,#N/A,Paris_Inflow!W56)</f>
        <v>#N/A</v>
      </c>
      <c r="Z56" s="249" t="e">
        <f>IF(Paris_Inflow!X56=0,#N/A,Paris_Inflow!X56)</f>
        <v>#N/A</v>
      </c>
      <c r="AA56" s="249" t="e">
        <f>IF(Paris_Inflow!Y56=0,#N/A,Paris_Inflow!Y56)</f>
        <v>#N/A</v>
      </c>
      <c r="AB56" s="249"/>
      <c r="AC56" s="249" t="e">
        <f>IF(Paris_Inflow!AA56=0,#N/A,(Paris_Inflow!AA56+Paris_Inflow!AE56)/2)</f>
        <v>#N/A</v>
      </c>
      <c r="AD56" s="249" t="e">
        <f>IF(Paris_Inflow!AB56=0,#N/A,(Paris_Inflow!AB56+Paris_Inflow!AF56)/2)</f>
        <v>#N/A</v>
      </c>
      <c r="AE56" s="249" t="e">
        <f>IF(Paris_Inflow!AC56=0,#N/A,(Paris_Inflow!AC56+Paris_Inflow!AG56)/2)</f>
        <v>#N/A</v>
      </c>
      <c r="AG56" s="204"/>
      <c r="AH56" s="204"/>
      <c r="AI56" s="207"/>
      <c r="AJ56" s="207"/>
      <c r="AK56" s="204"/>
      <c r="AL56" s="207"/>
      <c r="AM56" s="204"/>
      <c r="AN56" s="207"/>
      <c r="AP56" s="204"/>
      <c r="AQ56" s="204"/>
      <c r="AR56" s="204"/>
      <c r="AS56" s="204"/>
      <c r="AT56" s="204"/>
      <c r="AU56" s="204"/>
    </row>
    <row r="57" spans="1:47" x14ac:dyDescent="0.25">
      <c r="A57" s="94">
        <v>2002</v>
      </c>
      <c r="B57" s="168">
        <f>IF(Paris_Inflow!C57=0,#N/A,Paris_Inflow!C57)</f>
        <v>920.85700000000008</v>
      </c>
      <c r="C57" s="163" t="e">
        <v>#N/A</v>
      </c>
      <c r="D57" s="168">
        <f>IF(Paris_Inflow!D57=0,#N/A,Paris_Inflow!D57)</f>
        <v>281.88</v>
      </c>
      <c r="E57" s="163" t="e">
        <v>#N/A</v>
      </c>
      <c r="F57" s="168">
        <f>IF(Paris_Inflow!E57=0,#N/A,Paris_Inflow!E57)</f>
        <v>638.97699999999998</v>
      </c>
      <c r="G57" s="163" t="e">
        <v>#N/A</v>
      </c>
      <c r="H57" s="168">
        <f>IF(Paris_Inflow!F57=0,#N/A,Paris_Inflow!F57)</f>
        <v>58.3264</v>
      </c>
      <c r="I57" s="163" t="e">
        <v>#N/A</v>
      </c>
      <c r="J57" s="168">
        <f>IF(Paris_Inflow!G57=0,#N/A,Paris_Inflow!G57)</f>
        <v>44.128</v>
      </c>
      <c r="K57" s="163" t="e">
        <v>#N/A</v>
      </c>
      <c r="L57" s="167">
        <f>IF(Paris_Outflow!C57=0,#N/A,Paris_Outflow!C57)</f>
        <v>293.053</v>
      </c>
      <c r="M57" s="172" t="e">
        <v>#N/A</v>
      </c>
      <c r="N57" s="167" t="e">
        <f>IF(Paris_Outflow!D57=0,#N/A,Paris_Outflow!D57)</f>
        <v>#N/A</v>
      </c>
      <c r="O57" s="172" t="e">
        <v>#N/A</v>
      </c>
      <c r="P57" s="167">
        <f>IF(Paris_Outflow!E57=0,#N/A,Paris_Outflow!E57)</f>
        <v>293.053</v>
      </c>
      <c r="Q57" s="172" t="e">
        <v>#N/A</v>
      </c>
      <c r="R57" s="167">
        <f>IF(Paris_Outflow!F57=0,#N/A,Paris_Outflow!F57)</f>
        <v>24.140799999999999</v>
      </c>
      <c r="S57" s="172" t="e">
        <v>#N/A</v>
      </c>
      <c r="T57" s="167">
        <f>IF(Paris_Outflow!G57=0,#N/A,Paris_Outflow!G57)</f>
        <v>24.140799999999999</v>
      </c>
      <c r="U57" s="172" t="e">
        <v>#N/A</v>
      </c>
      <c r="V57" s="252">
        <f>IF(Paris_Inflow!O57=0,#N/A,Paris_Inflow!O57)</f>
        <v>1042.12653626882</v>
      </c>
      <c r="W57" s="252">
        <f>IF(Paris_Inflow!P57=0,#N/A,Paris_Inflow!P57)</f>
        <v>653.79849943051897</v>
      </c>
      <c r="X57" s="249"/>
      <c r="Y57" s="249" t="e">
        <f>IF(Paris_Inflow!W57=0,#N/A,Paris_Inflow!W57)</f>
        <v>#N/A</v>
      </c>
      <c r="Z57" s="249" t="e">
        <f>IF(Paris_Inflow!X57=0,#N/A,Paris_Inflow!X57)</f>
        <v>#N/A</v>
      </c>
      <c r="AA57" s="249" t="e">
        <f>IF(Paris_Inflow!Y57=0,#N/A,Paris_Inflow!Y57)</f>
        <v>#N/A</v>
      </c>
      <c r="AB57" s="249"/>
      <c r="AC57" s="249" t="e">
        <f>IF(Paris_Inflow!AA57=0,#N/A,(Paris_Inflow!AA57+Paris_Inflow!AE57)/2)</f>
        <v>#N/A</v>
      </c>
      <c r="AD57" s="249" t="e">
        <f>IF(Paris_Inflow!AB57=0,#N/A,(Paris_Inflow!AB57+Paris_Inflow!AF57)/2)</f>
        <v>#N/A</v>
      </c>
      <c r="AE57" s="249" t="e">
        <f>IF(Paris_Inflow!AC57=0,#N/A,(Paris_Inflow!AC57+Paris_Inflow!AG57)/2)</f>
        <v>#N/A</v>
      </c>
      <c r="AG57" s="204"/>
      <c r="AH57" s="204"/>
      <c r="AI57" s="207"/>
      <c r="AJ57" s="207"/>
      <c r="AK57" s="204"/>
      <c r="AL57" s="207"/>
      <c r="AM57" s="204"/>
      <c r="AN57" s="207"/>
      <c r="AP57" s="204"/>
      <c r="AQ57" s="204"/>
      <c r="AR57" s="204"/>
      <c r="AS57" s="204"/>
      <c r="AT57" s="204"/>
      <c r="AU57" s="204"/>
    </row>
    <row r="58" spans="1:47" x14ac:dyDescent="0.25">
      <c r="A58" s="94">
        <v>2003</v>
      </c>
      <c r="B58" s="168">
        <f>IF(Paris_Inflow!C58=0,#N/A,Paris_Inflow!C58)</f>
        <v>773.01519999999994</v>
      </c>
      <c r="C58" s="163" t="e">
        <v>#N/A</v>
      </c>
      <c r="D58" s="168">
        <f>IF(Paris_Inflow!D58=0,#N/A,Paris_Inflow!D58)</f>
        <v>158.97359999999998</v>
      </c>
      <c r="E58" s="163" t="e">
        <v>#N/A</v>
      </c>
      <c r="F58" s="168">
        <f>IF(Paris_Inflow!E58=0,#N/A,Paris_Inflow!E58)</f>
        <v>614.04160000000002</v>
      </c>
      <c r="G58" s="163" t="e">
        <v>#N/A</v>
      </c>
      <c r="H58" s="168">
        <f>IF(Paris_Inflow!F58=0,#N/A,Paris_Inflow!F58)</f>
        <v>71.603000000000009</v>
      </c>
      <c r="I58" s="163" t="e">
        <v>#N/A</v>
      </c>
      <c r="J58" s="168">
        <f>IF(Paris_Inflow!G58=0,#N/A,Paris_Inflow!G58)</f>
        <v>37.414999999999999</v>
      </c>
      <c r="K58" s="163" t="e">
        <v>#N/A</v>
      </c>
      <c r="L58" s="167">
        <f>IF(Paris_Outflow!C58=0,#N/A,Paris_Outflow!C58)</f>
        <v>678.06319999999994</v>
      </c>
      <c r="M58" s="172" t="e">
        <v>#N/A</v>
      </c>
      <c r="N58" s="167">
        <f>IF(Paris_Outflow!D58=0,#N/A,Paris_Outflow!D58)</f>
        <v>118.2456</v>
      </c>
      <c r="O58" s="172" t="e">
        <v>#N/A</v>
      </c>
      <c r="P58" s="167">
        <f>IF(Paris_Outflow!E58=0,#N/A,Paris_Outflow!E58)</f>
        <v>559.81759999999997</v>
      </c>
      <c r="Q58" s="172" t="e">
        <v>#N/A</v>
      </c>
      <c r="R58" s="167">
        <f>IF(Paris_Outflow!F58=0,#N/A,Paris_Outflow!F58)</f>
        <v>47.788000000000004</v>
      </c>
      <c r="S58" s="172" t="e">
        <v>#N/A</v>
      </c>
      <c r="T58" s="167">
        <f>IF(Paris_Outflow!G58=0,#N/A,Paris_Outflow!G58)</f>
        <v>34.619733333333336</v>
      </c>
      <c r="U58" s="172" t="e">
        <v>#N/A</v>
      </c>
      <c r="V58" s="252">
        <f>IF(Paris_Inflow!O58=0,#N/A,Paris_Inflow!O58)</f>
        <v>870.86738579518499</v>
      </c>
      <c r="W58" s="252">
        <f>IF(Paris_Inflow!P58=0,#N/A,Paris_Inflow!P58)</f>
        <v>544.81105183649925</v>
      </c>
      <c r="X58" s="249"/>
      <c r="Y58" s="249" t="e">
        <f>IF(Paris_Inflow!W58=0,#N/A,Paris_Inflow!W58)</f>
        <v>#N/A</v>
      </c>
      <c r="Z58" s="249" t="e">
        <f>IF(Paris_Inflow!X58=0,#N/A,Paris_Inflow!X58)</f>
        <v>#N/A</v>
      </c>
      <c r="AA58" s="249" t="e">
        <f>IF(Paris_Inflow!Y58=0,#N/A,Paris_Inflow!Y58)</f>
        <v>#N/A</v>
      </c>
      <c r="AB58" s="249"/>
      <c r="AC58" s="249" t="e">
        <f>IF(Paris_Inflow!AA58=0,#N/A,(Paris_Inflow!AA58+Paris_Inflow!AE58)/2)</f>
        <v>#N/A</v>
      </c>
      <c r="AD58" s="249" t="e">
        <f>IF(Paris_Inflow!AB58=0,#N/A,(Paris_Inflow!AB58+Paris_Inflow!AF58)/2)</f>
        <v>#N/A</v>
      </c>
      <c r="AE58" s="249" t="e">
        <f>IF(Paris_Inflow!AC58=0,#N/A,(Paris_Inflow!AC58+Paris_Inflow!AG58)/2)</f>
        <v>#N/A</v>
      </c>
      <c r="AG58" s="204"/>
      <c r="AH58" s="204"/>
      <c r="AI58" s="207"/>
      <c r="AJ58" s="207"/>
      <c r="AK58" s="204"/>
      <c r="AL58" s="207"/>
      <c r="AM58" s="204"/>
      <c r="AN58" s="207"/>
      <c r="AP58" s="204"/>
      <c r="AQ58" s="204"/>
      <c r="AR58" s="204"/>
      <c r="AS58" s="204"/>
      <c r="AT58" s="204"/>
      <c r="AU58" s="204"/>
    </row>
    <row r="59" spans="1:47" x14ac:dyDescent="0.25">
      <c r="A59" s="94">
        <v>2004</v>
      </c>
      <c r="B59" s="168">
        <f>IF(Paris_Inflow!C59=0,#N/A,Paris_Inflow!C59)</f>
        <v>1440</v>
      </c>
      <c r="C59" s="163" t="e">
        <v>#N/A</v>
      </c>
      <c r="D59" s="168">
        <f>IF(Paris_Inflow!D59=0,#N/A,Paris_Inflow!D59)</f>
        <v>188.28</v>
      </c>
      <c r="E59" s="163" t="e">
        <v>#N/A</v>
      </c>
      <c r="F59" s="168">
        <f>IF(Paris_Inflow!E59=0,#N/A,Paris_Inflow!E59)</f>
        <v>1251.72</v>
      </c>
      <c r="G59" s="163" t="e">
        <v>#N/A</v>
      </c>
      <c r="H59" s="168">
        <f>IF(Paris_Inflow!F59=0,#N/A,Paris_Inflow!F59)</f>
        <v>75.314666666666668</v>
      </c>
      <c r="I59" s="163" t="e">
        <v>#N/A</v>
      </c>
      <c r="J59" s="168">
        <f>IF(Paris_Inflow!G59=0,#N/A,Paris_Inflow!G59)</f>
        <v>54.557333333333332</v>
      </c>
      <c r="K59" s="163" t="e">
        <v>#N/A</v>
      </c>
      <c r="L59" s="167">
        <f>IF(Paris_Outflow!C59=0,#N/A,Paris_Outflow!C59)</f>
        <v>260.15000000000003</v>
      </c>
      <c r="M59" s="172" t="e">
        <v>#N/A</v>
      </c>
      <c r="N59" s="167">
        <f>IF(Paris_Outflow!D59=0,#N/A,Paris_Outflow!D59)</f>
        <v>19.350000000000001</v>
      </c>
      <c r="O59" s="172" t="e">
        <v>#N/A</v>
      </c>
      <c r="P59" s="167">
        <f>IF(Paris_Outflow!E59=0,#N/A,Paris_Outflow!E59)</f>
        <v>240.8</v>
      </c>
      <c r="Q59" s="172" t="e">
        <v>#N/A</v>
      </c>
      <c r="R59" s="167">
        <f>IF(Paris_Outflow!F59=0,#N/A,Paris_Outflow!F59)</f>
        <v>16.053333333333335</v>
      </c>
      <c r="S59" s="172" t="e">
        <v>#N/A</v>
      </c>
      <c r="T59" s="167">
        <f>IF(Paris_Outflow!G59=0,#N/A,Paris_Outflow!G59)</f>
        <v>16.053333333333335</v>
      </c>
      <c r="U59" s="172" t="e">
        <v>#N/A</v>
      </c>
      <c r="V59" s="252">
        <f>IF(Paris_Inflow!O59=0,#N/A,Paris_Inflow!O59)</f>
        <v>1615.613721712949</v>
      </c>
      <c r="W59" s="252">
        <f>IF(Paris_Inflow!P59=0,#N/A,Paris_Inflow!P59)</f>
        <v>1006.1614047685823</v>
      </c>
      <c r="X59" s="249"/>
      <c r="Y59" s="249" t="e">
        <f>IF(Paris_Inflow!W59=0,#N/A,Paris_Inflow!W59)</f>
        <v>#N/A</v>
      </c>
      <c r="Z59" s="249" t="e">
        <f>IF(Paris_Inflow!X59=0,#N/A,Paris_Inflow!X59)</f>
        <v>#N/A</v>
      </c>
      <c r="AA59" s="249" t="e">
        <f>IF(Paris_Inflow!Y59=0,#N/A,Paris_Inflow!Y59)</f>
        <v>#N/A</v>
      </c>
      <c r="AB59" s="249"/>
      <c r="AC59" s="249" t="e">
        <f>IF(Paris_Inflow!AA59=0,#N/A,(Paris_Inflow!AA59+Paris_Inflow!AE59)/2)</f>
        <v>#N/A</v>
      </c>
      <c r="AD59" s="249" t="e">
        <f>IF(Paris_Inflow!AB59=0,#N/A,(Paris_Inflow!AB59+Paris_Inflow!AF59)/2)</f>
        <v>#N/A</v>
      </c>
      <c r="AE59" s="249" t="e">
        <f>IF(Paris_Inflow!AC59=0,#N/A,(Paris_Inflow!AC59+Paris_Inflow!AG59)/2)</f>
        <v>#N/A</v>
      </c>
      <c r="AG59" s="204"/>
      <c r="AH59" s="204"/>
      <c r="AI59" s="207"/>
      <c r="AJ59" s="207"/>
      <c r="AK59" s="204"/>
      <c r="AL59" s="207"/>
      <c r="AM59" s="204"/>
      <c r="AN59" s="207"/>
      <c r="AP59" s="204"/>
      <c r="AQ59" s="204"/>
      <c r="AR59" s="204"/>
      <c r="AS59" s="204"/>
      <c r="AT59" s="204"/>
      <c r="AU59" s="204"/>
    </row>
    <row r="60" spans="1:47" x14ac:dyDescent="0.25">
      <c r="A60" s="94">
        <v>2005</v>
      </c>
      <c r="B60" s="168">
        <f>IF(Paris_Inflow!C60=0,#N/A,Paris_Inflow!C60)</f>
        <v>1376.3394000000001</v>
      </c>
      <c r="C60" s="163" t="e">
        <v>#N/A</v>
      </c>
      <c r="D60" s="168" t="e">
        <f>IF(Paris_Inflow!D60=0,#N/A,Paris_Inflow!D60)</f>
        <v>#N/A</v>
      </c>
      <c r="E60" s="163" t="e">
        <v>#N/A</v>
      </c>
      <c r="F60" s="168">
        <f>IF(Paris_Inflow!E60=0,#N/A,Paris_Inflow!E60)</f>
        <v>1376.3394000000001</v>
      </c>
      <c r="G60" s="163" t="e">
        <v>#N/A</v>
      </c>
      <c r="H60" s="168">
        <f>IF(Paris_Inflow!F60=0,#N/A,Paris_Inflow!F60)</f>
        <v>50.075280000000006</v>
      </c>
      <c r="I60" s="163" t="e">
        <v>#N/A</v>
      </c>
      <c r="J60" s="168">
        <f>IF(Paris_Inflow!G60=0,#N/A,Paris_Inflow!G60)</f>
        <v>50.075280000000006</v>
      </c>
      <c r="K60" s="163" t="e">
        <v>#N/A</v>
      </c>
      <c r="L60" s="167">
        <f>IF(Paris_Outflow!C60=0,#N/A,Paris_Outflow!C60)</f>
        <v>202.3947</v>
      </c>
      <c r="M60" s="172" t="e">
        <v>#N/A</v>
      </c>
      <c r="N60" s="167">
        <f>IF(Paris_Outflow!D60=0,#N/A,Paris_Outflow!D60)</f>
        <v>202.3947</v>
      </c>
      <c r="O60" s="172" t="e">
        <v>#N/A</v>
      </c>
      <c r="P60" s="167" t="e">
        <f>IF(Paris_Outflow!E60=0,#N/A,Paris_Outflow!E60)</f>
        <v>#N/A</v>
      </c>
      <c r="Q60" s="172" t="e">
        <v>#N/A</v>
      </c>
      <c r="R60" s="167">
        <f>IF(Paris_Outflow!F60=0,#N/A,Paris_Outflow!F60)</f>
        <v>41.810280000000006</v>
      </c>
      <c r="S60" s="172" t="e">
        <v>#N/A</v>
      </c>
      <c r="T60" s="167">
        <f>IF(Paris_Outflow!G60=0,#N/A,Paris_Outflow!G60)</f>
        <v>13.2</v>
      </c>
      <c r="U60" s="172" t="e">
        <v>#N/A</v>
      </c>
      <c r="V60" s="252">
        <f>IF(Paris_Inflow!O60=0,#N/A,Paris_Inflow!O60)</f>
        <v>1538.5574369951289</v>
      </c>
      <c r="W60" s="252">
        <f>IF(Paris_Inflow!P60=0,#N/A,Paris_Inflow!P60)</f>
        <v>949.67418599999996</v>
      </c>
      <c r="X60" s="249"/>
      <c r="Y60" s="249" t="e">
        <f>IF(Paris_Inflow!W60=0,#N/A,Paris_Inflow!W60)</f>
        <v>#N/A</v>
      </c>
      <c r="Z60" s="249" t="e">
        <f>IF(Paris_Inflow!X60=0,#N/A,Paris_Inflow!X60)</f>
        <v>#N/A</v>
      </c>
      <c r="AA60" s="249" t="e">
        <f>IF(Paris_Inflow!Y60=0,#N/A,Paris_Inflow!Y60)</f>
        <v>#N/A</v>
      </c>
      <c r="AB60" s="249"/>
      <c r="AC60" s="249" t="e">
        <f>IF(Paris_Inflow!AA60=0,#N/A,(Paris_Inflow!AA60+Paris_Inflow!AE60)/2)</f>
        <v>#N/A</v>
      </c>
      <c r="AD60" s="249" t="e">
        <f>IF(Paris_Inflow!AB60=0,#N/A,(Paris_Inflow!AB60+Paris_Inflow!AF60)/2)</f>
        <v>#N/A</v>
      </c>
      <c r="AE60" s="249" t="e">
        <f>IF(Paris_Inflow!AC60=0,#N/A,(Paris_Inflow!AC60+Paris_Inflow!AG60)/2)</f>
        <v>#N/A</v>
      </c>
      <c r="AG60" s="208">
        <f>AVERAGE(Paris_Inflow!B60:B69)</f>
        <v>51624.104999999996</v>
      </c>
      <c r="AH60" s="208">
        <f>AVERAGE(Paris_Inflow!C60:C69)</f>
        <v>1264.153313</v>
      </c>
      <c r="AI60" s="207">
        <f>AVERAGE(Paris_Outflow!B60:B69)</f>
        <v>17830.388599999998</v>
      </c>
      <c r="AJ60" s="207">
        <f>AVERAGE(Paris_Outflow!C60:C69)</f>
        <v>354.72255999999999</v>
      </c>
      <c r="AK60" s="208">
        <f>AVERAGE(Paris_Inflow!F60:F69)</f>
        <v>69.547787153439145</v>
      </c>
      <c r="AL60" s="207">
        <f>AVERAGE(Paris_Outflow!F60:F69)</f>
        <v>33.529165289377296</v>
      </c>
      <c r="AM60" s="208">
        <f>AVERAGE(Paris_Inflow!G60:G69)</f>
        <v>47.552795830687828</v>
      </c>
      <c r="AN60" s="207">
        <f>AVERAGE(Paris_Outflow!G60:G69)</f>
        <v>18.864621904761908</v>
      </c>
      <c r="AP60" s="204"/>
      <c r="AQ60" s="204"/>
      <c r="AR60" s="204"/>
      <c r="AS60" s="204"/>
      <c r="AT60" s="204"/>
      <c r="AU60" s="204"/>
    </row>
    <row r="61" spans="1:47" x14ac:dyDescent="0.25">
      <c r="A61" s="94">
        <v>2006</v>
      </c>
      <c r="B61" s="168">
        <f>IF(Paris_Inflow!C61=0,#N/A,Paris_Inflow!C61)</f>
        <v>499.77647999999994</v>
      </c>
      <c r="C61" s="163" t="e">
        <v>#N/A</v>
      </c>
      <c r="D61" s="168">
        <f>IF(Paris_Inflow!D61=0,#N/A,Paris_Inflow!D61)</f>
        <v>69.189120000000003</v>
      </c>
      <c r="E61" s="163" t="e">
        <v>#N/A</v>
      </c>
      <c r="F61" s="168">
        <f>IF(Paris_Inflow!E61=0,#N/A,Paris_Inflow!E61)</f>
        <v>430.58735999999993</v>
      </c>
      <c r="G61" s="163" t="e">
        <v>#N/A</v>
      </c>
      <c r="H61" s="168">
        <f>IF(Paris_Inflow!F61=0,#N/A,Paris_Inflow!F61)</f>
        <v>45.430199999999999</v>
      </c>
      <c r="I61" s="163" t="e">
        <v>#N/A</v>
      </c>
      <c r="J61" s="168">
        <f>IF(Paris_Inflow!G61=0,#N/A,Paris_Inflow!G61)</f>
        <v>33.061800000000005</v>
      </c>
      <c r="K61" s="163" t="e">
        <v>#N/A</v>
      </c>
      <c r="L61" s="167">
        <f>IF(Paris_Outflow!C61=0,#N/A,Paris_Outflow!C61)</f>
        <v>74.418749999999989</v>
      </c>
      <c r="M61" s="172" t="e">
        <v>#N/A</v>
      </c>
      <c r="N61" s="167">
        <f>IF(Paris_Outflow!D61=0,#N/A,Paris_Outflow!D61)</f>
        <v>17.71875</v>
      </c>
      <c r="O61" s="172" t="e">
        <v>#N/A</v>
      </c>
      <c r="P61" s="167">
        <f>IF(Paris_Outflow!E61=0,#N/A,Paris_Outflow!E61)</f>
        <v>56.699999999999989</v>
      </c>
      <c r="Q61" s="172" t="e">
        <v>#N/A</v>
      </c>
      <c r="R61" s="167">
        <f>IF(Paris_Outflow!F61=0,#N/A,Paris_Outflow!F61)</f>
        <v>8.3249999999999993</v>
      </c>
      <c r="S61" s="172" t="e">
        <v>#N/A</v>
      </c>
      <c r="T61" s="167">
        <f>IF(Paris_Outflow!G61=0,#N/A,Paris_Outflow!G61)</f>
        <v>4.3499999999999996</v>
      </c>
      <c r="U61" s="172" t="e">
        <v>#N/A</v>
      </c>
      <c r="V61" s="252">
        <f>IF(Paris_Inflow!O61=0,#N/A,Paris_Inflow!O61)</f>
        <v>556.93700990521961</v>
      </c>
      <c r="W61" s="252">
        <f>IF(Paris_Inflow!P61=0,#N/A,Paris_Inflow!P61)</f>
        <v>336.38840230434738</v>
      </c>
      <c r="X61" s="249"/>
      <c r="Y61" s="249" t="e">
        <f>IF(Paris_Inflow!W61=0,#N/A,Paris_Inflow!W61)</f>
        <v>#N/A</v>
      </c>
      <c r="Z61" s="249" t="e">
        <f>IF(Paris_Inflow!X61=0,#N/A,Paris_Inflow!X61)</f>
        <v>#N/A</v>
      </c>
      <c r="AA61" s="249" t="e">
        <f>IF(Paris_Inflow!Y61=0,#N/A,Paris_Inflow!Y61)</f>
        <v>#N/A</v>
      </c>
      <c r="AB61" s="249"/>
      <c r="AC61" s="249" t="e">
        <f>IF(Paris_Inflow!AA61=0,#N/A,(Paris_Inflow!AA61+Paris_Inflow!AE61)/2)</f>
        <v>#N/A</v>
      </c>
      <c r="AD61" s="249" t="e">
        <f>IF(Paris_Inflow!AB61=0,#N/A,(Paris_Inflow!AB61+Paris_Inflow!AF61)/2)</f>
        <v>#N/A</v>
      </c>
      <c r="AE61" s="249" t="e">
        <f>IF(Paris_Inflow!AC61=0,#N/A,(Paris_Inflow!AC61+Paris_Inflow!AG61)/2)</f>
        <v>#N/A</v>
      </c>
      <c r="AG61" s="204"/>
      <c r="AH61" s="204"/>
      <c r="AI61" s="207"/>
      <c r="AJ61" s="207"/>
      <c r="AK61" s="204"/>
      <c r="AL61" s="207"/>
      <c r="AM61" s="204"/>
      <c r="AN61" s="207"/>
      <c r="AP61" s="204"/>
      <c r="AQ61" s="204"/>
      <c r="AR61" s="204"/>
      <c r="AS61" s="204"/>
      <c r="AT61" s="204"/>
      <c r="AU61" s="204"/>
    </row>
    <row r="62" spans="1:47" x14ac:dyDescent="0.25">
      <c r="A62" s="94">
        <v>2007</v>
      </c>
      <c r="B62" s="168">
        <f>IF(Paris_Inflow!C62=0,#N/A,Paris_Inflow!C62)</f>
        <v>718.91199999999992</v>
      </c>
      <c r="C62" s="163" t="e">
        <v>#N/A</v>
      </c>
      <c r="D62" s="168">
        <f>IF(Paris_Inflow!D62=0,#N/A,Paris_Inflow!D62)</f>
        <v>79.38</v>
      </c>
      <c r="E62" s="163" t="e">
        <v>#N/A</v>
      </c>
      <c r="F62" s="168">
        <f>IF(Paris_Inflow!E62=0,#N/A,Paris_Inflow!E62)</f>
        <v>639.53199999999993</v>
      </c>
      <c r="G62" s="163" t="e">
        <v>#N/A</v>
      </c>
      <c r="H62" s="168">
        <f>IF(Paris_Inflow!F62=0,#N/A,Paris_Inflow!F62)</f>
        <v>48.974533333333341</v>
      </c>
      <c r="I62" s="163" t="e">
        <v>#N/A</v>
      </c>
      <c r="J62" s="168">
        <f>IF(Paris_Inflow!G62=0,#N/A,Paris_Inflow!G62)</f>
        <v>40.304533333333339</v>
      </c>
      <c r="K62" s="163" t="e">
        <v>#N/A</v>
      </c>
      <c r="L62" s="167">
        <f>IF(Paris_Outflow!C62=0,#N/A,Paris_Outflow!C62)</f>
        <v>529.4615</v>
      </c>
      <c r="M62" s="172" t="e">
        <v>#N/A</v>
      </c>
      <c r="N62" s="167">
        <f>IF(Paris_Outflow!D62=0,#N/A,Paris_Outflow!D62)</f>
        <v>29.4375</v>
      </c>
      <c r="O62" s="172" t="e">
        <v>#N/A</v>
      </c>
      <c r="P62" s="167">
        <f>IF(Paris_Outflow!E62=0,#N/A,Paris_Outflow!E62)</f>
        <v>500.024</v>
      </c>
      <c r="Q62" s="172" t="e">
        <v>#N/A</v>
      </c>
      <c r="R62" s="167">
        <f>IF(Paris_Outflow!F62=0,#N/A,Paris_Outflow!F62)</f>
        <v>33.899487179487174</v>
      </c>
      <c r="S62" s="172" t="e">
        <v>#N/A</v>
      </c>
      <c r="T62" s="167">
        <f>IF(Paris_Outflow!G62=0,#N/A,Paris_Outflow!G62)</f>
        <v>26.653333333333332</v>
      </c>
      <c r="U62" s="172" t="e">
        <v>#N/A</v>
      </c>
      <c r="V62" s="252">
        <f>IF(Paris_Inflow!O62=0,#N/A,Paris_Inflow!O62)</f>
        <v>799.10513293191923</v>
      </c>
      <c r="W62" s="252">
        <f>IF(Paris_Inflow!P62=0,#N/A,Paris_Inflow!P62)</f>
        <v>470.88735999999994</v>
      </c>
      <c r="X62" s="249"/>
      <c r="Y62" s="249" t="e">
        <f>IF(Paris_Inflow!W62=0,#N/A,Paris_Inflow!W62)</f>
        <v>#N/A</v>
      </c>
      <c r="Z62" s="249" t="e">
        <f>IF(Paris_Inflow!X62=0,#N/A,Paris_Inflow!X62)</f>
        <v>#N/A</v>
      </c>
      <c r="AA62" s="249" t="e">
        <f>IF(Paris_Inflow!Y62=0,#N/A,Paris_Inflow!Y62)</f>
        <v>#N/A</v>
      </c>
      <c r="AB62" s="249"/>
      <c r="AC62" s="249" t="e">
        <f>IF(Paris_Inflow!AA62=0,#N/A,(Paris_Inflow!AA62+Paris_Inflow!AE62)/2)</f>
        <v>#N/A</v>
      </c>
      <c r="AD62" s="249" t="e">
        <f>IF(Paris_Inflow!AB62=0,#N/A,(Paris_Inflow!AB62+Paris_Inflow!AF62)/2)</f>
        <v>#N/A</v>
      </c>
      <c r="AE62" s="249" t="e">
        <f>IF(Paris_Inflow!AC62=0,#N/A,(Paris_Inflow!AC62+Paris_Inflow!AG62)/2)</f>
        <v>#N/A</v>
      </c>
      <c r="AG62" s="204"/>
      <c r="AH62" s="204"/>
      <c r="AI62" s="207"/>
      <c r="AJ62" s="207"/>
      <c r="AK62" s="204"/>
      <c r="AL62" s="207"/>
      <c r="AM62" s="204"/>
      <c r="AN62" s="207"/>
      <c r="AP62" s="204"/>
      <c r="AQ62" s="204"/>
      <c r="AR62" s="204"/>
      <c r="AS62" s="204"/>
      <c r="AT62" s="204"/>
      <c r="AU62" s="204"/>
    </row>
    <row r="63" spans="1:47" x14ac:dyDescent="0.25">
      <c r="A63" s="94">
        <v>2008</v>
      </c>
      <c r="B63" s="168">
        <f>IF(Paris_Inflow!C63=0,#N/A,Paris_Inflow!C63)</f>
        <v>2118.4650000000001</v>
      </c>
      <c r="C63" s="163" t="e">
        <v>#N/A</v>
      </c>
      <c r="D63" s="168">
        <f>IF(Paris_Inflow!D63=0,#N/A,Paris_Inflow!D63)</f>
        <v>351</v>
      </c>
      <c r="E63" s="163" t="e">
        <v>#N/A</v>
      </c>
      <c r="F63" s="168">
        <f>IF(Paris_Inflow!E63=0,#N/A,Paris_Inflow!E63)</f>
        <v>1767.4649999999999</v>
      </c>
      <c r="G63" s="163" t="e">
        <v>#N/A</v>
      </c>
      <c r="H63" s="168">
        <f>IF(Paris_Inflow!F63=0,#N/A,Paris_Inflow!F63)</f>
        <v>137.2839619047619</v>
      </c>
      <c r="I63" s="163" t="e">
        <v>#N/A</v>
      </c>
      <c r="J63" s="168">
        <f>IF(Paris_Inflow!G63=0,#N/A,Paris_Inflow!G63)</f>
        <v>84.560152380952388</v>
      </c>
      <c r="K63" s="163" t="e">
        <v>#N/A</v>
      </c>
      <c r="L63" s="167">
        <f>IF(Paris_Outflow!C63=0,#N/A,Paris_Outflow!C63)</f>
        <v>767.63700000000006</v>
      </c>
      <c r="M63" s="172" t="e">
        <v>#N/A</v>
      </c>
      <c r="N63" s="167">
        <f>IF(Paris_Outflow!D63=0,#N/A,Paris_Outflow!D63)</f>
        <v>127.93950000000002</v>
      </c>
      <c r="O63" s="172" t="e">
        <v>#N/A</v>
      </c>
      <c r="P63" s="167">
        <f>IF(Paris_Outflow!E63=0,#N/A,Paris_Outflow!E63)</f>
        <v>639.69749999999999</v>
      </c>
      <c r="Q63" s="172" t="e">
        <v>#N/A</v>
      </c>
      <c r="R63" s="167">
        <f>IF(Paris_Outflow!F63=0,#N/A,Paris_Outflow!F63)</f>
        <v>81.432000000000002</v>
      </c>
      <c r="S63" s="172" t="e">
        <v>#N/A</v>
      </c>
      <c r="T63" s="167">
        <f>IF(Paris_Outflow!G63=0,#N/A,Paris_Outflow!G63)</f>
        <v>47.735999999999997</v>
      </c>
      <c r="U63" s="172" t="e">
        <v>#N/A</v>
      </c>
      <c r="V63" s="252">
        <f>IF(Paris_Inflow!O63=0,#N/A,Paris_Inflow!O63)</f>
        <v>2350.3359081425242</v>
      </c>
      <c r="W63" s="252">
        <f>IF(Paris_Inflow!P63=0,#N/A,Paris_Inflow!P63)</f>
        <v>1362.5183747241908</v>
      </c>
      <c r="X63" s="249"/>
      <c r="Y63" s="249" t="e">
        <f>IF(Paris_Inflow!W63=0,#N/A,Paris_Inflow!W63)</f>
        <v>#N/A</v>
      </c>
      <c r="Z63" s="249" t="e">
        <f>IF(Paris_Inflow!X63=0,#N/A,Paris_Inflow!X63)</f>
        <v>#N/A</v>
      </c>
      <c r="AA63" s="249" t="e">
        <f>IF(Paris_Inflow!Y63=0,#N/A,Paris_Inflow!Y63)</f>
        <v>#N/A</v>
      </c>
      <c r="AB63" s="249"/>
      <c r="AC63" s="249" t="e">
        <f>IF(Paris_Inflow!AA63=0,#N/A,(Paris_Inflow!AA63+Paris_Inflow!AE63)/2)</f>
        <v>#N/A</v>
      </c>
      <c r="AD63" s="249" t="e">
        <f>IF(Paris_Inflow!AB63=0,#N/A,(Paris_Inflow!AB63+Paris_Inflow!AF63)/2)</f>
        <v>#N/A</v>
      </c>
      <c r="AE63" s="249" t="e">
        <f>IF(Paris_Inflow!AC63=0,#N/A,(Paris_Inflow!AC63+Paris_Inflow!AG63)/2)</f>
        <v>#N/A</v>
      </c>
      <c r="AG63" s="204"/>
      <c r="AH63" s="204"/>
      <c r="AI63" s="207"/>
      <c r="AJ63" s="207"/>
      <c r="AK63" s="204"/>
      <c r="AL63" s="207"/>
      <c r="AM63" s="204"/>
      <c r="AN63" s="207"/>
      <c r="AP63" s="204"/>
      <c r="AQ63" s="204"/>
      <c r="AR63" s="204"/>
      <c r="AS63" s="204"/>
      <c r="AT63" s="204"/>
      <c r="AU63" s="204"/>
    </row>
    <row r="64" spans="1:47" x14ac:dyDescent="0.25">
      <c r="A64" s="94">
        <v>2009</v>
      </c>
      <c r="B64" s="168">
        <f>IF(Paris_Inflow!C64=0,#N/A,Paris_Inflow!C64)</f>
        <v>221.94</v>
      </c>
      <c r="C64" s="163" t="e">
        <v>#N/A</v>
      </c>
      <c r="D64" s="168" t="e">
        <f>IF(Paris_Inflow!D64=0,#N/A,Paris_Inflow!D64)</f>
        <v>#N/A</v>
      </c>
      <c r="E64" s="163" t="e">
        <v>#N/A</v>
      </c>
      <c r="F64" s="168">
        <f>IF(Paris_Inflow!E64=0,#N/A,Paris_Inflow!E64)</f>
        <v>221.94</v>
      </c>
      <c r="G64" s="163" t="e">
        <v>#N/A</v>
      </c>
      <c r="H64" s="168">
        <f>IF(Paris_Inflow!F64=0,#N/A,Paris_Inflow!F64)</f>
        <v>10.521600000000001</v>
      </c>
      <c r="I64" s="163" t="e">
        <v>#N/A</v>
      </c>
      <c r="J64" s="168">
        <f>IF(Paris_Inflow!G64=0,#N/A,Paris_Inflow!G64)</f>
        <v>10.521600000000001</v>
      </c>
      <c r="K64" s="163" t="e">
        <v>#N/A</v>
      </c>
      <c r="L64" s="167">
        <f>IF(Paris_Outflow!C64=0,#N/A,Paris_Outflow!C64)</f>
        <v>73.180800000000005</v>
      </c>
      <c r="M64" s="172" t="e">
        <v>#N/A</v>
      </c>
      <c r="N64" s="167" t="e">
        <f>IF(Paris_Outflow!D64=0,#N/A,Paris_Outflow!D64)</f>
        <v>#N/A</v>
      </c>
      <c r="O64" s="172" t="e">
        <v>#N/A</v>
      </c>
      <c r="P64" s="167">
        <f>IF(Paris_Outflow!E64=0,#N/A,Paris_Outflow!E64)</f>
        <v>73.180800000000005</v>
      </c>
      <c r="Q64" s="172" t="e">
        <v>#N/A</v>
      </c>
      <c r="R64" s="167">
        <f>IF(Paris_Outflow!F64=0,#N/A,Paris_Outflow!F64)</f>
        <v>5.7833999999999994</v>
      </c>
      <c r="S64" s="172" t="e">
        <v>#N/A</v>
      </c>
      <c r="T64" s="167">
        <f>IF(Paris_Outflow!G64=0,#N/A,Paris_Outflow!G64)</f>
        <v>5.7833999999999994</v>
      </c>
      <c r="U64" s="172" t="e">
        <v>#N/A</v>
      </c>
      <c r="V64" s="252">
        <f>IF(Paris_Inflow!O64=0,#N/A,Paris_Inflow!O64)</f>
        <v>245.94250337649865</v>
      </c>
      <c r="W64" s="252">
        <f>IF(Paris_Inflow!P64=0,#N/A,Paris_Inflow!P64)</f>
        <v>140.55490709219842</v>
      </c>
      <c r="X64" s="249"/>
      <c r="Y64" s="249" t="e">
        <f>IF(Paris_Inflow!W64=0,#N/A,Paris_Inflow!W64)</f>
        <v>#N/A</v>
      </c>
      <c r="Z64" s="249" t="e">
        <f>IF(Paris_Inflow!X64=0,#N/A,Paris_Inflow!X64)</f>
        <v>#N/A</v>
      </c>
      <c r="AA64" s="249" t="e">
        <f>IF(Paris_Inflow!Y64=0,#N/A,Paris_Inflow!Y64)</f>
        <v>#N/A</v>
      </c>
      <c r="AB64" s="249"/>
      <c r="AC64" s="249" t="e">
        <f>IF(Paris_Inflow!AA64=0,#N/A,(Paris_Inflow!AA64+Paris_Inflow!AE64)/2)</f>
        <v>#N/A</v>
      </c>
      <c r="AD64" s="249" t="e">
        <f>IF(Paris_Inflow!AB64=0,#N/A,(Paris_Inflow!AB64+Paris_Inflow!AF64)/2)</f>
        <v>#N/A</v>
      </c>
      <c r="AE64" s="249" t="e">
        <f>IF(Paris_Inflow!AC64=0,#N/A,(Paris_Inflow!AC64+Paris_Inflow!AG64)/2)</f>
        <v>#N/A</v>
      </c>
      <c r="AG64" s="204"/>
      <c r="AH64" s="204"/>
      <c r="AI64" s="207"/>
      <c r="AJ64" s="207"/>
      <c r="AK64" s="204"/>
      <c r="AL64" s="207"/>
      <c r="AM64" s="204"/>
      <c r="AN64" s="207"/>
      <c r="AP64" s="204"/>
      <c r="AQ64" s="204"/>
      <c r="AR64" s="204"/>
      <c r="AS64" s="204"/>
      <c r="AT64" s="204"/>
      <c r="AU64" s="204"/>
    </row>
    <row r="65" spans="1:51" x14ac:dyDescent="0.25">
      <c r="A65" s="94">
        <v>2010</v>
      </c>
      <c r="B65" s="168">
        <f>IF(Paris_Inflow!C65=0,#N/A,Paris_Inflow!C65)</f>
        <v>852.89715000000001</v>
      </c>
      <c r="C65" s="163" t="e">
        <v>#N/A</v>
      </c>
      <c r="D65" s="168" t="e">
        <f>IF(Paris_Inflow!D65=0,#N/A,Paris_Inflow!D65)</f>
        <v>#N/A</v>
      </c>
      <c r="E65" s="163" t="e">
        <v>#N/A</v>
      </c>
      <c r="F65" s="168">
        <f>IF(Paris_Inflow!E65=0,#N/A,Paris_Inflow!E65)</f>
        <v>852.89715000000001</v>
      </c>
      <c r="G65" s="163" t="e">
        <v>#N/A</v>
      </c>
      <c r="H65" s="168">
        <f>IF(Paris_Inflow!F65=0,#N/A,Paris_Inflow!F65)</f>
        <v>79.408000000000001</v>
      </c>
      <c r="I65" s="163" t="e">
        <v>#N/A</v>
      </c>
      <c r="J65" s="168">
        <f>IF(Paris_Inflow!G65=0,#N/A,Paris_Inflow!G65)</f>
        <v>47.404000000000003</v>
      </c>
      <c r="K65" s="163" t="e">
        <v>#N/A</v>
      </c>
      <c r="L65" s="167">
        <f>IF(Paris_Outflow!C65=0,#N/A,Paris_Outflow!C65)</f>
        <v>874.9093499999999</v>
      </c>
      <c r="M65" s="172" t="e">
        <v>#N/A</v>
      </c>
      <c r="N65" s="167">
        <f>IF(Paris_Outflow!D65=0,#N/A,Paris_Outflow!D65)</f>
        <v>129.61619999999999</v>
      </c>
      <c r="O65" s="172" t="e">
        <v>#N/A</v>
      </c>
      <c r="P65" s="167">
        <f>IF(Paris_Outflow!E65=0,#N/A,Paris_Outflow!E65)</f>
        <v>745.29314999999997</v>
      </c>
      <c r="Q65" s="172" t="e">
        <v>#N/A</v>
      </c>
      <c r="R65" s="167">
        <f>IF(Paris_Outflow!F65=0,#N/A,Paris_Outflow!F65)</f>
        <v>72.542400000000001</v>
      </c>
      <c r="S65" s="172" t="e">
        <v>#N/A</v>
      </c>
      <c r="T65" s="167">
        <f>IF(Paris_Outflow!G65=0,#N/A,Paris_Outflow!G65)</f>
        <v>40.538400000000003</v>
      </c>
      <c r="U65" s="172" t="e">
        <v>#N/A</v>
      </c>
      <c r="V65" s="252">
        <f>IF(Paris_Inflow!O65=0,#N/A,Paris_Inflow!O65)</f>
        <v>944.75417305499991</v>
      </c>
      <c r="W65" s="252">
        <f>IF(Paris_Inflow!P65=0,#N/A,Paris_Inflow!P65)</f>
        <v>533.06071874999998</v>
      </c>
      <c r="X65" s="249"/>
      <c r="Y65" s="249" t="e">
        <f>IF(Paris_Inflow!W65=0,#N/A,Paris_Inflow!W65)</f>
        <v>#N/A</v>
      </c>
      <c r="Z65" s="249" t="e">
        <f>IF(Paris_Inflow!X65=0,#N/A,Paris_Inflow!X65)</f>
        <v>#N/A</v>
      </c>
      <c r="AA65" s="249" t="e">
        <f>IF(Paris_Inflow!Y65=0,#N/A,Paris_Inflow!Y65)</f>
        <v>#N/A</v>
      </c>
      <c r="AB65" s="249"/>
      <c r="AC65" s="249" t="e">
        <f>IF(Paris_Inflow!AA65=0,#N/A,(Paris_Inflow!AA65+Paris_Inflow!AE65)/2)</f>
        <v>#N/A</v>
      </c>
      <c r="AD65" s="249" t="e">
        <f>IF(Paris_Inflow!AB65=0,#N/A,(Paris_Inflow!AB65+Paris_Inflow!AF65)/2)</f>
        <v>#N/A</v>
      </c>
      <c r="AE65" s="249" t="e">
        <f>IF(Paris_Inflow!AC65=0,#N/A,(Paris_Inflow!AC65+Paris_Inflow!AG65)/2)</f>
        <v>#N/A</v>
      </c>
      <c r="AG65" s="204"/>
      <c r="AH65" s="204"/>
      <c r="AI65" s="207"/>
      <c r="AJ65" s="207"/>
      <c r="AK65" s="204"/>
      <c r="AL65" s="207"/>
      <c r="AM65" s="204"/>
      <c r="AN65" s="207"/>
      <c r="AP65" s="204"/>
      <c r="AQ65" s="204"/>
      <c r="AR65" s="204"/>
      <c r="AS65" s="204"/>
      <c r="AT65" s="204"/>
      <c r="AU65" s="204"/>
    </row>
    <row r="66" spans="1:51" x14ac:dyDescent="0.25">
      <c r="A66" s="94">
        <v>2011</v>
      </c>
      <c r="B66" s="168">
        <f>IF(Paris_Inflow!C66=0,#N/A,Paris_Inflow!C66)</f>
        <v>1966.4999999999998</v>
      </c>
      <c r="C66" s="163" t="e">
        <v>#N/A</v>
      </c>
      <c r="D66" s="168">
        <f>IF(Paris_Inflow!D66=0,#N/A,Paris_Inflow!D66)</f>
        <v>675</v>
      </c>
      <c r="E66" s="163" t="e">
        <v>#N/A</v>
      </c>
      <c r="F66" s="168">
        <f>IF(Paris_Inflow!E66=0,#N/A,Paris_Inflow!E66)</f>
        <v>1291.4999999999998</v>
      </c>
      <c r="G66" s="163" t="e">
        <v>#N/A</v>
      </c>
      <c r="H66" s="168">
        <f>IF(Paris_Inflow!F66=0,#N/A,Paris_Inflow!F66)</f>
        <v>119.05185185185184</v>
      </c>
      <c r="I66" s="163" t="e">
        <v>#N/A</v>
      </c>
      <c r="J66" s="168">
        <f>IF(Paris_Inflow!G66=0,#N/A,Paris_Inflow!G66)</f>
        <v>59.525925925925918</v>
      </c>
      <c r="K66" s="163" t="e">
        <v>#N/A</v>
      </c>
      <c r="L66" s="167">
        <f>IF(Paris_Outflow!C66=0,#N/A,Paris_Outflow!C66)</f>
        <v>80</v>
      </c>
      <c r="M66" s="172" t="e">
        <v>#N/A</v>
      </c>
      <c r="N66" s="167" t="e">
        <f>IF(Paris_Outflow!D66=0,#N/A,Paris_Outflow!D66)</f>
        <v>#N/A</v>
      </c>
      <c r="O66" s="172" t="e">
        <v>#N/A</v>
      </c>
      <c r="P66" s="167">
        <f>IF(Paris_Outflow!E66=0,#N/A,Paris_Outflow!E66)</f>
        <v>80</v>
      </c>
      <c r="Q66" s="172" t="e">
        <v>#N/A</v>
      </c>
      <c r="R66" s="167">
        <f>IF(Paris_Outflow!F66=0,#N/A,Paris_Outflow!F66)</f>
        <v>5.7142857142857144</v>
      </c>
      <c r="S66" s="172" t="e">
        <v>#N/A</v>
      </c>
      <c r="T66" s="167">
        <f>IF(Paris_Outflow!G66=0,#N/A,Paris_Outflow!G66)</f>
        <v>5.7142857142857144</v>
      </c>
      <c r="U66" s="172" t="e">
        <v>#N/A</v>
      </c>
      <c r="V66" s="252">
        <f>IF(Paris_Inflow!O66=0,#N/A,Paris_Inflow!O66)</f>
        <v>2178.2920499999996</v>
      </c>
      <c r="W66" s="252">
        <f>IF(Paris_Inflow!P66=0,#N/A,Paris_Inflow!P66)</f>
        <v>1215.2829401424672</v>
      </c>
      <c r="X66" s="249"/>
      <c r="Y66" s="249" t="e">
        <f>IF(Paris_Inflow!W66=0,#N/A,Paris_Inflow!W66)</f>
        <v>#N/A</v>
      </c>
      <c r="Z66" s="249" t="e">
        <f>IF(Paris_Inflow!X66=0,#N/A,Paris_Inflow!X66)</f>
        <v>#N/A</v>
      </c>
      <c r="AA66" s="249" t="e">
        <f>IF(Paris_Inflow!Y66=0,#N/A,Paris_Inflow!Y66)</f>
        <v>#N/A</v>
      </c>
      <c r="AB66" s="249"/>
      <c r="AC66" s="249" t="e">
        <f>IF(Paris_Inflow!AA66=0,#N/A,(Paris_Inflow!AA66+Paris_Inflow!AE66)/2)</f>
        <v>#N/A</v>
      </c>
      <c r="AD66" s="249" t="e">
        <f>IF(Paris_Inflow!AB66=0,#N/A,(Paris_Inflow!AB66+Paris_Inflow!AF66)/2)</f>
        <v>#N/A</v>
      </c>
      <c r="AE66" s="249" t="e">
        <f>IF(Paris_Inflow!AC66=0,#N/A,(Paris_Inflow!AC66+Paris_Inflow!AG66)/2)</f>
        <v>#N/A</v>
      </c>
      <c r="AG66" s="204"/>
      <c r="AH66" s="204"/>
      <c r="AI66" s="207"/>
      <c r="AJ66" s="207"/>
      <c r="AK66" s="204"/>
      <c r="AL66" s="207"/>
      <c r="AM66" s="204"/>
      <c r="AN66" s="207"/>
      <c r="AP66" s="204"/>
      <c r="AQ66" s="204"/>
      <c r="AR66" s="204"/>
      <c r="AS66" s="204"/>
      <c r="AT66" s="204"/>
      <c r="AU66" s="204"/>
    </row>
    <row r="67" spans="1:51" x14ac:dyDescent="0.25">
      <c r="A67" s="94">
        <v>2012</v>
      </c>
      <c r="B67" s="168">
        <f>IF(Paris_Inflow!C67=0,#N/A,Paris_Inflow!C67)</f>
        <v>755.52749999999992</v>
      </c>
      <c r="C67" s="163" t="e">
        <v>#N/A</v>
      </c>
      <c r="D67" s="168">
        <f>IF(Paris_Inflow!D67=0,#N/A,Paris_Inflow!D67)</f>
        <v>290.58749999999998</v>
      </c>
      <c r="E67" s="163" t="e">
        <v>#N/A</v>
      </c>
      <c r="F67" s="168">
        <f>IF(Paris_Inflow!E67=0,#N/A,Paris_Inflow!E67)</f>
        <v>464.94</v>
      </c>
      <c r="G67" s="163" t="e">
        <v>#N/A</v>
      </c>
      <c r="H67" s="168">
        <f>IF(Paris_Inflow!F67=0,#N/A,Paris_Inflow!F67)</f>
        <v>66.42</v>
      </c>
      <c r="I67" s="163" t="e">
        <v>#N/A</v>
      </c>
      <c r="J67" s="168">
        <f>IF(Paris_Inflow!G67=0,#N/A,Paris_Inflow!G67)</f>
        <v>33.21</v>
      </c>
      <c r="K67" s="163" t="e">
        <v>#N/A</v>
      </c>
      <c r="L67" s="167">
        <f>IF(Paris_Outflow!C67=0,#N/A,Paris_Outflow!C67)</f>
        <v>755.52749999999992</v>
      </c>
      <c r="M67" s="172" t="e">
        <v>#N/A</v>
      </c>
      <c r="N67" s="167">
        <f>IF(Paris_Outflow!D67=0,#N/A,Paris_Outflow!D67)</f>
        <v>290.58749999999998</v>
      </c>
      <c r="O67" s="172" t="e">
        <v>#N/A</v>
      </c>
      <c r="P67" s="167">
        <f>IF(Paris_Outflow!E67=0,#N/A,Paris_Outflow!E67)</f>
        <v>464.94</v>
      </c>
      <c r="Q67" s="172" t="e">
        <v>#N/A</v>
      </c>
      <c r="R67" s="167">
        <f>IF(Paris_Outflow!F67=0,#N/A,Paris_Outflow!F67)</f>
        <v>66.42</v>
      </c>
      <c r="S67" s="172" t="e">
        <v>#N/A</v>
      </c>
      <c r="T67" s="167">
        <f>IF(Paris_Outflow!G67=0,#N/A,Paris_Outflow!G67)</f>
        <v>33.21</v>
      </c>
      <c r="U67" s="172" t="e">
        <v>#N/A</v>
      </c>
      <c r="V67" s="252">
        <f>IF(Paris_Inflow!O67=0,#N/A,Paris_Inflow!O67)</f>
        <v>836.89781174999985</v>
      </c>
      <c r="W67" s="252">
        <f>IF(Paris_Inflow!P67=0,#N/A,Paris_Inflow!P67)</f>
        <v>462.36019462554088</v>
      </c>
      <c r="X67" s="249"/>
      <c r="Y67" s="249" t="e">
        <f>IF(Paris_Inflow!W67=0,#N/A,Paris_Inflow!W67)</f>
        <v>#N/A</v>
      </c>
      <c r="Z67" s="249" t="e">
        <f>IF(Paris_Inflow!X67=0,#N/A,Paris_Inflow!X67)</f>
        <v>#N/A</v>
      </c>
      <c r="AA67" s="249" t="e">
        <f>IF(Paris_Inflow!Y67=0,#N/A,Paris_Inflow!Y67)</f>
        <v>#N/A</v>
      </c>
      <c r="AB67" s="249"/>
      <c r="AC67" s="249" t="e">
        <f>IF(Paris_Inflow!AA67=0,#N/A,(Paris_Inflow!AA67+Paris_Inflow!AE67)/2)</f>
        <v>#N/A</v>
      </c>
      <c r="AD67" s="249" t="e">
        <f>IF(Paris_Inflow!AB67=0,#N/A,(Paris_Inflow!AB67+Paris_Inflow!AF67)/2)</f>
        <v>#N/A</v>
      </c>
      <c r="AE67" s="249" t="e">
        <f>IF(Paris_Inflow!AC67=0,#N/A,(Paris_Inflow!AC67+Paris_Inflow!AG67)/2)</f>
        <v>#N/A</v>
      </c>
      <c r="AG67" s="204"/>
      <c r="AH67" s="204"/>
      <c r="AI67" s="207"/>
      <c r="AJ67" s="207"/>
      <c r="AK67" s="204"/>
      <c r="AL67" s="207"/>
      <c r="AM67" s="204"/>
      <c r="AN67" s="207"/>
      <c r="AP67" s="204"/>
      <c r="AQ67" s="204"/>
      <c r="AR67" s="204"/>
      <c r="AS67" s="204"/>
      <c r="AT67" s="204"/>
      <c r="AU67" s="204"/>
    </row>
    <row r="68" spans="1:51" x14ac:dyDescent="0.25">
      <c r="A68" s="94">
        <v>2013</v>
      </c>
      <c r="B68" s="168">
        <f>IF(Paris_Inflow!C68=0,#N/A,Paris_Inflow!C68)</f>
        <v>1289.6000000000001</v>
      </c>
      <c r="C68" s="163" t="e">
        <v>#N/A</v>
      </c>
      <c r="D68" s="168">
        <f>IF(Paris_Inflow!D68=0,#N/A,Paris_Inflow!D68)</f>
        <v>231.20000000000002</v>
      </c>
      <c r="E68" s="163" t="e">
        <v>#N/A</v>
      </c>
      <c r="F68" s="168" t="e">
        <f>IF(Paris_Inflow!E68=0,#N/A,Paris_Inflow!E68)</f>
        <v>#N/A</v>
      </c>
      <c r="G68" s="163" t="e">
        <v>#N/A</v>
      </c>
      <c r="H68" s="168">
        <f>IF(Paris_Inflow!F68=0,#N/A,Paris_Inflow!F68)</f>
        <v>22.819555555555553</v>
      </c>
      <c r="I68" s="163" t="e">
        <v>#N/A</v>
      </c>
      <c r="J68" s="168">
        <f>IF(Paris_Inflow!G68=0,#N/A,Paris_Inflow!G68)</f>
        <v>34.229333333333329</v>
      </c>
      <c r="K68" s="163" t="e">
        <v>#N/A</v>
      </c>
      <c r="L68" s="167" t="e">
        <f>IF(Paris_Outflow!C68=0,#N/A,Paris_Outflow!C68)</f>
        <v>#N/A</v>
      </c>
      <c r="M68" s="172" t="e">
        <v>#N/A</v>
      </c>
      <c r="N68" s="167" t="e">
        <f>IF(Paris_Outflow!D68=0,#N/A,Paris_Outflow!D68)</f>
        <v>#N/A</v>
      </c>
      <c r="O68" s="172" t="e">
        <v>#N/A</v>
      </c>
      <c r="P68" s="167" t="e">
        <f>IF(Paris_Outflow!E68=0,#N/A,Paris_Outflow!E68)</f>
        <v>#N/A</v>
      </c>
      <c r="Q68" s="172" t="e">
        <v>#N/A</v>
      </c>
      <c r="R68" s="167" t="e">
        <f>IF(Paris_Outflow!F68=0,#N/A,Paris_Outflow!F68)</f>
        <v>#N/A</v>
      </c>
      <c r="S68" s="172" t="e">
        <v>#N/A</v>
      </c>
      <c r="T68" s="167" t="e">
        <f>IF(Paris_Outflow!G68=0,#N/A,Paris_Outflow!G68)</f>
        <v>#N/A</v>
      </c>
      <c r="U68" s="172" t="e">
        <v>#N/A</v>
      </c>
      <c r="V68" s="252">
        <f>IF(Paris_Inflow!O68=0,#N/A,Paris_Inflow!O68)</f>
        <v>1428.48992</v>
      </c>
      <c r="W68" s="252">
        <f>IF(Paris_Inflow!P68=0,#N/A,Paris_Inflow!P68)</f>
        <v>782.07895830387054</v>
      </c>
      <c r="X68" s="249"/>
      <c r="Y68" s="249" t="e">
        <f>IF(Paris_Inflow!W68=0,#N/A,Paris_Inflow!W68)</f>
        <v>#N/A</v>
      </c>
      <c r="Z68" s="249" t="e">
        <f>IF(Paris_Inflow!X68=0,#N/A,Paris_Inflow!X68)</f>
        <v>#N/A</v>
      </c>
      <c r="AA68" s="249" t="e">
        <f>IF(Paris_Inflow!Y68=0,#N/A,Paris_Inflow!Y68)</f>
        <v>#N/A</v>
      </c>
      <c r="AB68" s="249"/>
      <c r="AC68" s="249" t="e">
        <f>IF(Paris_Inflow!AA68=0,#N/A,(Paris_Inflow!AA68+Paris_Inflow!AE68)/2)</f>
        <v>#N/A</v>
      </c>
      <c r="AD68" s="249" t="e">
        <f>IF(Paris_Inflow!AB68=0,#N/A,(Paris_Inflow!AB68+Paris_Inflow!AF68)/2)</f>
        <v>#N/A</v>
      </c>
      <c r="AE68" s="249" t="e">
        <f>IF(Paris_Inflow!AC68=0,#N/A,(Paris_Inflow!AC68+Paris_Inflow!AG68)/2)</f>
        <v>#N/A</v>
      </c>
      <c r="AG68" s="204"/>
      <c r="AH68" s="204"/>
      <c r="AI68" s="207"/>
      <c r="AJ68" s="207"/>
      <c r="AK68" s="204"/>
      <c r="AL68" s="207"/>
      <c r="AM68" s="204"/>
      <c r="AN68" s="207"/>
      <c r="AP68" s="204"/>
      <c r="AQ68" s="204"/>
      <c r="AR68" s="204"/>
      <c r="AS68" s="204"/>
      <c r="AT68" s="204"/>
      <c r="AU68" s="204"/>
    </row>
    <row r="69" spans="1:51" x14ac:dyDescent="0.25">
      <c r="A69" s="94">
        <v>2014</v>
      </c>
      <c r="B69" s="168">
        <f>IF(Paris_Inflow!C69=0,#N/A,Paris_Inflow!C69)</f>
        <v>2841.5755999999997</v>
      </c>
      <c r="C69" s="163" t="e">
        <v>#N/A</v>
      </c>
      <c r="D69" s="168">
        <f>IF(Paris_Inflow!D69=0,#N/A,Paris_Inflow!D69)</f>
        <v>1010.4528</v>
      </c>
      <c r="E69" s="163" t="e">
        <v>#N/A</v>
      </c>
      <c r="F69" s="168">
        <f>IF(Paris_Inflow!E69=0,#N/A,Paris_Inflow!E69)</f>
        <v>1831.1227999999999</v>
      </c>
      <c r="G69" s="163" t="e">
        <v>#N/A</v>
      </c>
      <c r="H69" s="168">
        <f>IF(Paris_Inflow!F69=0,#N/A,Paris_Inflow!F69)</f>
        <v>115.4928888888889</v>
      </c>
      <c r="I69" s="163" t="e">
        <v>#N/A</v>
      </c>
      <c r="J69" s="168">
        <f>IF(Paris_Inflow!G69=0,#N/A,Paris_Inflow!G69)</f>
        <v>82.635333333333335</v>
      </c>
      <c r="K69" s="163" t="e">
        <v>#N/A</v>
      </c>
      <c r="L69" s="167">
        <f>IF(Paris_Outflow!C69=0,#N/A,Paris_Outflow!C69)</f>
        <v>189.69599999999997</v>
      </c>
      <c r="M69" s="172" t="e">
        <v>#N/A</v>
      </c>
      <c r="N69" s="167">
        <f>IF(Paris_Outflow!D69=0,#N/A,Paris_Outflow!D69)</f>
        <v>39.519999999999996</v>
      </c>
      <c r="O69" s="172" t="e">
        <v>#N/A</v>
      </c>
      <c r="P69" s="167">
        <f>IF(Paris_Outflow!E69=0,#N/A,Paris_Outflow!E69)</f>
        <v>150.17599999999999</v>
      </c>
      <c r="Q69" s="172" t="e">
        <v>#N/A</v>
      </c>
      <c r="R69" s="167">
        <f>IF(Paris_Outflow!F69=0,#N/A,Paris_Outflow!F69)</f>
        <v>19.364800000000002</v>
      </c>
      <c r="S69" s="172" t="e">
        <v>#N/A</v>
      </c>
      <c r="T69" s="167">
        <f>IF(Paris_Outflow!G69=0,#N/A,Paris_Outflow!G69)</f>
        <v>11.460799999999999</v>
      </c>
      <c r="U69" s="172" t="e">
        <v>#N/A</v>
      </c>
      <c r="V69" s="252">
        <f>IF(Paris_Inflow!O69=0,#N/A,Paris_Inflow!O69)</f>
        <v>3147.6132921199992</v>
      </c>
      <c r="W69" s="252">
        <f>IF(Paris_Inflow!P69=0,#N/A,Paris_Inflow!P69)</f>
        <v>1707.6573028625319</v>
      </c>
      <c r="X69" s="249"/>
      <c r="Y69" s="249" t="e">
        <f>IF(Paris_Inflow!W69=0,#N/A,Paris_Inflow!W69)</f>
        <v>#N/A</v>
      </c>
      <c r="Z69" s="249" t="e">
        <f>IF(Paris_Inflow!X69=0,#N/A,Paris_Inflow!X69)</f>
        <v>#N/A</v>
      </c>
      <c r="AA69" s="249" t="e">
        <f>IF(Paris_Inflow!Y69=0,#N/A,Paris_Inflow!Y69)</f>
        <v>#N/A</v>
      </c>
      <c r="AB69" s="249"/>
      <c r="AC69" s="249" t="e">
        <f>IF(Paris_Inflow!AA69=0,#N/A,(Paris_Inflow!AA69+Paris_Inflow!AE69)/2)</f>
        <v>#N/A</v>
      </c>
      <c r="AD69" s="249" t="e">
        <f>IF(Paris_Inflow!AB69=0,#N/A,(Paris_Inflow!AB69+Paris_Inflow!AF69)/2)</f>
        <v>#N/A</v>
      </c>
      <c r="AE69" s="249" t="e">
        <f>IF(Paris_Inflow!AC69=0,#N/A,(Paris_Inflow!AC69+Paris_Inflow!AG69)/2)</f>
        <v>#N/A</v>
      </c>
      <c r="AG69" s="204"/>
      <c r="AH69" s="204"/>
      <c r="AI69" s="207"/>
      <c r="AJ69" s="207"/>
      <c r="AK69" s="204"/>
      <c r="AL69" s="207"/>
      <c r="AM69" s="204"/>
      <c r="AN69" s="207"/>
      <c r="AP69" s="204"/>
      <c r="AQ69" s="204"/>
      <c r="AR69" s="204"/>
      <c r="AS69" s="204"/>
      <c r="AT69" s="204"/>
      <c r="AU69" s="204"/>
    </row>
    <row r="70" spans="1:51" x14ac:dyDescent="0.25">
      <c r="A70" s="94">
        <v>2015</v>
      </c>
      <c r="B70" s="168">
        <f>IF(Paris_Inflow!C70=0,#N/A,Paris_Inflow!C70)</f>
        <v>380</v>
      </c>
      <c r="C70" s="163" t="e">
        <v>#N/A</v>
      </c>
      <c r="D70" s="168" t="e">
        <f>IF(Paris_Inflow!D70=0,#N/A,Paris_Inflow!D70)</f>
        <v>#N/A</v>
      </c>
      <c r="E70" s="163" t="e">
        <v>#N/A</v>
      </c>
      <c r="F70" s="168">
        <f>IF(Paris_Inflow!E70=0,#N/A,Paris_Inflow!E70)</f>
        <v>380</v>
      </c>
      <c r="G70" s="163" t="e">
        <v>#N/A</v>
      </c>
      <c r="H70" s="168">
        <f>IF(Paris_Inflow!F70=0,#N/A,Paris_Inflow!F70)</f>
        <v>22</v>
      </c>
      <c r="I70" s="163" t="e">
        <v>#N/A</v>
      </c>
      <c r="J70" s="168">
        <f>IF(Paris_Inflow!G70=0,#N/A,Paris_Inflow!G70)</f>
        <v>22</v>
      </c>
      <c r="K70" s="163" t="e">
        <v>#N/A</v>
      </c>
      <c r="L70" s="167">
        <f>IF(Paris_Outflow!C70=0,#N/A,Paris_Outflow!C70)</f>
        <v>558.55999999999995</v>
      </c>
      <c r="M70" s="172" t="e">
        <v>#N/A</v>
      </c>
      <c r="N70" s="167">
        <f>IF(Paris_Outflow!D70=0,#N/A,Paris_Outflow!D70)</f>
        <v>96</v>
      </c>
      <c r="O70" s="172" t="e">
        <v>#N/A</v>
      </c>
      <c r="P70" s="167">
        <f>IF(Paris_Outflow!E70=0,#N/A,Paris_Outflow!E70)</f>
        <v>462.56</v>
      </c>
      <c r="Q70" s="172" t="e">
        <v>#N/A</v>
      </c>
      <c r="R70" s="167">
        <f>IF(Paris_Outflow!F70=0,#N/A,Paris_Outflow!F70)</f>
        <v>26.815999999999999</v>
      </c>
      <c r="S70" s="172" t="e">
        <v>#N/A</v>
      </c>
      <c r="T70" s="167">
        <f>IF(Paris_Outflow!G70=0,#N/A,Paris_Outflow!G70)</f>
        <v>26.815999999999999</v>
      </c>
      <c r="U70" s="172" t="e">
        <v>#N/A</v>
      </c>
      <c r="V70" s="252">
        <f>IF(Paris_Inflow!O70=0,#N/A,Paris_Inflow!O70)</f>
        <v>420.92599999999999</v>
      </c>
      <c r="W70" s="252">
        <f>IF(Paris_Inflow!P70=0,#N/A,Paris_Inflow!P70)</f>
        <v>226.1</v>
      </c>
      <c r="X70" s="249"/>
      <c r="Y70" s="249" t="e">
        <f>IF(Paris_Inflow!W70=0,#N/A,Paris_Inflow!W70)</f>
        <v>#N/A</v>
      </c>
      <c r="Z70" s="249" t="e">
        <f>IF(Paris_Inflow!X70=0,#N/A,Paris_Inflow!X70)</f>
        <v>#N/A</v>
      </c>
      <c r="AA70" s="249" t="e">
        <f>IF(Paris_Inflow!Y70=0,#N/A,Paris_Inflow!Y70)</f>
        <v>#N/A</v>
      </c>
      <c r="AB70" s="249"/>
      <c r="AC70" s="249" t="e">
        <f>IF(Paris_Inflow!AA70=0,#N/A,(Paris_Inflow!AA70+Paris_Inflow!AE70)/2)</f>
        <v>#N/A</v>
      </c>
      <c r="AD70" s="249" t="e">
        <f>IF(Paris_Inflow!AB70=0,#N/A,(Paris_Inflow!AB70+Paris_Inflow!AF70)/2)</f>
        <v>#N/A</v>
      </c>
      <c r="AE70" s="249" t="e">
        <f>IF(Paris_Inflow!AC70=0,#N/A,(Paris_Inflow!AC70+Paris_Inflow!AG70)/2)</f>
        <v>#N/A</v>
      </c>
      <c r="AG70" s="208">
        <f>AVERAGE(Paris_Inflow!B70:B79)</f>
        <v>55383.614598</v>
      </c>
      <c r="AH70" s="208">
        <f>AVERAGE(Paris_Inflow!C70:C79)</f>
        <v>1559.8932645</v>
      </c>
      <c r="AI70" s="207">
        <f>AVERAGE(Paris_Outflow!B70:B79)</f>
        <v>34534.215749999996</v>
      </c>
      <c r="AJ70" s="207">
        <f>AVERAGE(Paris_Outflow!C70:C79)</f>
        <v>755.70960500000001</v>
      </c>
      <c r="AK70" s="208">
        <f>AVERAGE(Paris_Inflow!F70:F79)</f>
        <v>99.996688376470587</v>
      </c>
      <c r="AL70" s="207">
        <f>AVERAGE(Paris_Outflow!F70:F79)</f>
        <v>52.607844176470586</v>
      </c>
      <c r="AM70" s="208">
        <f>AVERAGE(Paris_Inflow!G70:G79)</f>
        <v>67.101035176470589</v>
      </c>
      <c r="AN70" s="207">
        <f>AVERAGE(Paris_Outflow!G70:G79)</f>
        <v>35.621666176470583</v>
      </c>
      <c r="AP70" s="204"/>
      <c r="AQ70" s="204"/>
      <c r="AR70" s="204"/>
      <c r="AS70" s="204"/>
      <c r="AT70" s="204"/>
      <c r="AU70" s="204"/>
    </row>
    <row r="71" spans="1:51" x14ac:dyDescent="0.25">
      <c r="A71" s="94">
        <v>2016</v>
      </c>
      <c r="B71" s="168">
        <f>IF(Paris_Inflow!C71=0,#N/A,Paris_Inflow!C71)</f>
        <v>466.20000000000005</v>
      </c>
      <c r="C71" s="163" t="e">
        <v>#N/A</v>
      </c>
      <c r="D71" s="168">
        <f>IF(Paris_Inflow!D71=0,#N/A,Paris_Inflow!D71)</f>
        <v>239.4</v>
      </c>
      <c r="E71" s="163" t="e">
        <v>#N/A</v>
      </c>
      <c r="F71" s="168">
        <f>IF(Paris_Inflow!E71=0,#N/A,Paris_Inflow!E71)</f>
        <v>226.8</v>
      </c>
      <c r="G71" s="163" t="e">
        <v>#N/A</v>
      </c>
      <c r="H71" s="168">
        <f>IF(Paris_Inflow!F71=0,#N/A,Paris_Inflow!F71)</f>
        <v>11.016</v>
      </c>
      <c r="I71" s="163" t="e">
        <v>#N/A</v>
      </c>
      <c r="J71" s="168">
        <f>IF(Paris_Inflow!G71=0,#N/A,Paris_Inflow!G71)</f>
        <v>6.48</v>
      </c>
      <c r="K71" s="163" t="e">
        <v>#N/A</v>
      </c>
      <c r="L71" s="167">
        <f>IF(Paris_Outflow!C71=0,#N/A,Paris_Outflow!C71)</f>
        <v>200.09999999999997</v>
      </c>
      <c r="M71" s="172" t="e">
        <v>#N/A</v>
      </c>
      <c r="N71" s="167">
        <f>IF(Paris_Outflow!D71=0,#N/A,Paris_Outflow!D71)</f>
        <v>14.25</v>
      </c>
      <c r="O71" s="172" t="e">
        <v>#N/A</v>
      </c>
      <c r="P71" s="167">
        <f>IF(Paris_Outflow!E71=0,#N/A,Paris_Outflow!E71)</f>
        <v>185.84999999999997</v>
      </c>
      <c r="Q71" s="172" t="e">
        <v>#N/A</v>
      </c>
      <c r="R71" s="167">
        <f>IF(Paris_Outflow!F71=0,#N/A,Paris_Outflow!F71)</f>
        <v>15.433333333333334</v>
      </c>
      <c r="S71" s="172" t="e">
        <v>#N/A</v>
      </c>
      <c r="T71" s="167">
        <f>IF(Paris_Outflow!G71=0,#N/A,Paris_Outflow!G71)</f>
        <v>12.936666666666667</v>
      </c>
      <c r="U71" s="172" t="e">
        <v>#N/A</v>
      </c>
      <c r="V71" s="252">
        <f>IF(Paris_Inflow!O71=0,#N/A,Paris_Inflow!O71)</f>
        <v>516.40974000000006</v>
      </c>
      <c r="W71" s="252">
        <f>IF(Paris_Inflow!P71=0,#N/A,Paris_Inflow!P71)</f>
        <v>274.37383685756242</v>
      </c>
      <c r="X71" s="249"/>
      <c r="Y71" s="249" t="e">
        <f>IF(Paris_Inflow!W71=0,#N/A,Paris_Inflow!W71)</f>
        <v>#N/A</v>
      </c>
      <c r="Z71" s="249" t="e">
        <f>IF(Paris_Inflow!X71=0,#N/A,Paris_Inflow!X71)</f>
        <v>#N/A</v>
      </c>
      <c r="AA71" s="249" t="e">
        <f>IF(Paris_Inflow!Y71=0,#N/A,Paris_Inflow!Y71)</f>
        <v>#N/A</v>
      </c>
      <c r="AB71" s="249"/>
      <c r="AC71" s="249" t="e">
        <f>IF(Paris_Inflow!AA71=0,#N/A,(Paris_Inflow!AA71+Paris_Inflow!AE71)/2)</f>
        <v>#N/A</v>
      </c>
      <c r="AD71" s="249" t="e">
        <f>IF(Paris_Inflow!AB71=0,#N/A,(Paris_Inflow!AB71+Paris_Inflow!AF71)/2)</f>
        <v>#N/A</v>
      </c>
      <c r="AE71" s="249" t="e">
        <f>IF(Paris_Inflow!AC71=0,#N/A,(Paris_Inflow!AC71+Paris_Inflow!AG71)/2)</f>
        <v>#N/A</v>
      </c>
      <c r="AG71" s="204"/>
      <c r="AH71" s="204"/>
      <c r="AI71" s="204"/>
      <c r="AJ71" s="204"/>
      <c r="AK71" s="204"/>
      <c r="AL71" s="204"/>
      <c r="AM71" s="204"/>
      <c r="AN71" s="204"/>
      <c r="AP71" s="204"/>
      <c r="AQ71" s="204"/>
      <c r="AR71" s="204"/>
      <c r="AS71" s="204"/>
      <c r="AT71" s="204"/>
      <c r="AU71" s="204"/>
    </row>
    <row r="72" spans="1:51" x14ac:dyDescent="0.25">
      <c r="A72" s="94">
        <v>2017</v>
      </c>
      <c r="B72" s="168">
        <f>IF(Paris_Inflow!C72=0,#N/A,Paris_Inflow!C72)</f>
        <v>270.2448</v>
      </c>
      <c r="C72" s="163" t="e">
        <v>#N/A</v>
      </c>
      <c r="D72" s="168" t="e">
        <f>IF(Paris_Inflow!D72=0,#N/A,Paris_Inflow!D72)</f>
        <v>#N/A</v>
      </c>
      <c r="E72" s="163" t="e">
        <v>#N/A</v>
      </c>
      <c r="F72" s="168">
        <f>IF(Paris_Inflow!E72=0,#N/A,Paris_Inflow!E72)</f>
        <v>270.2448</v>
      </c>
      <c r="G72" s="163" t="e">
        <v>#N/A</v>
      </c>
      <c r="H72" s="168">
        <f>IF(Paris_Inflow!F72=0,#N/A,Paris_Inflow!F72)</f>
        <v>77.212800000000001</v>
      </c>
      <c r="I72" s="163" t="e">
        <v>#N/A</v>
      </c>
      <c r="J72" s="168">
        <f>IF(Paris_Inflow!G72=0,#N/A,Paris_Inflow!G72)</f>
        <v>38.606400000000001</v>
      </c>
      <c r="K72" s="163" t="e">
        <v>#N/A</v>
      </c>
      <c r="L72" s="167">
        <f>IF(Paris_Outflow!C72=0,#N/A,Paris_Outflow!C72)</f>
        <v>1235.6471999999999</v>
      </c>
      <c r="M72" s="172" t="e">
        <v>#N/A</v>
      </c>
      <c r="N72" s="167">
        <f>IF(Paris_Outflow!D72=0,#N/A,Paris_Outflow!D72)</f>
        <v>827.17200000000003</v>
      </c>
      <c r="O72" s="172" t="e">
        <v>#N/A</v>
      </c>
      <c r="P72" s="167">
        <f>IF(Paris_Outflow!E72=0,#N/A,Paris_Outflow!E72)</f>
        <v>408.47519999999997</v>
      </c>
      <c r="Q72" s="172" t="e">
        <v>#N/A</v>
      </c>
      <c r="R72" s="167">
        <f>IF(Paris_Outflow!F72=0,#N/A,Paris_Outflow!F72)</f>
        <v>99.44256</v>
      </c>
      <c r="S72" s="172" t="e">
        <v>#N/A</v>
      </c>
      <c r="T72" s="167">
        <f>IF(Paris_Outflow!G72=0,#N/A,Paris_Outflow!G72)</f>
        <v>46.35568</v>
      </c>
      <c r="U72" s="172" t="e">
        <v>#N/A</v>
      </c>
      <c r="V72" s="252">
        <f>IF(Paris_Inflow!O72=0,#N/A,Paris_Inflow!O72)</f>
        <v>299.35016495999997</v>
      </c>
      <c r="W72" s="252">
        <f>IF(Paris_Inflow!P72=0,#N/A,Paris_Inflow!P72)</f>
        <v>157.24182003406744</v>
      </c>
      <c r="X72" s="249"/>
      <c r="Y72" s="249" t="e">
        <f>IF(Paris_Inflow!W72=0,#N/A,Paris_Inflow!W72)</f>
        <v>#N/A</v>
      </c>
      <c r="Z72" s="249" t="e">
        <f>IF(Paris_Inflow!X72=0,#N/A,Paris_Inflow!X72)</f>
        <v>#N/A</v>
      </c>
      <c r="AA72" s="249" t="e">
        <f>IF(Paris_Inflow!Y72=0,#N/A,Paris_Inflow!Y72)</f>
        <v>#N/A</v>
      </c>
      <c r="AB72" s="249"/>
      <c r="AC72" s="249" t="e">
        <f>IF(Paris_Inflow!AA72=0,#N/A,(Paris_Inflow!AA72+Paris_Inflow!AE72)/2)</f>
        <v>#N/A</v>
      </c>
      <c r="AD72" s="249" t="e">
        <f>IF(Paris_Inflow!AB72=0,#N/A,(Paris_Inflow!AB72+Paris_Inflow!AF72)/2)</f>
        <v>#N/A</v>
      </c>
      <c r="AE72" s="249" t="e">
        <f>IF(Paris_Inflow!AC72=0,#N/A,(Paris_Inflow!AC72+Paris_Inflow!AG72)/2)</f>
        <v>#N/A</v>
      </c>
      <c r="AG72" s="204"/>
      <c r="AH72" s="204"/>
      <c r="AI72" s="204"/>
      <c r="AJ72" s="204"/>
      <c r="AK72" s="204"/>
      <c r="AL72" s="204"/>
      <c r="AM72" s="204"/>
      <c r="AN72" s="204"/>
      <c r="AP72" s="204"/>
      <c r="AQ72" s="204"/>
      <c r="AR72" s="204"/>
      <c r="AS72" s="204"/>
      <c r="AT72" s="204"/>
      <c r="AU72" s="204"/>
    </row>
    <row r="73" spans="1:51" x14ac:dyDescent="0.25">
      <c r="A73" s="94">
        <v>2018</v>
      </c>
      <c r="B73" s="168">
        <f>IF(Paris_Inflow!C73=0,#N/A,Paris_Inflow!C73)</f>
        <v>665.351</v>
      </c>
      <c r="C73" s="163" t="e">
        <v>#N/A</v>
      </c>
      <c r="D73" s="168">
        <f>IF(Paris_Inflow!D73=0,#N/A,Paris_Inflow!D73)</f>
        <v>169.04</v>
      </c>
      <c r="E73" s="163" t="e">
        <v>#N/A</v>
      </c>
      <c r="F73" s="168">
        <f>IF(Paris_Inflow!E73=0,#N/A,Paris_Inflow!E73)</f>
        <v>496.31099999999998</v>
      </c>
      <c r="G73" s="163" t="e">
        <v>#N/A</v>
      </c>
      <c r="H73" s="168">
        <f>IF(Paris_Inflow!F73=0,#N/A,Paris_Inflow!F73)</f>
        <v>70.259205333333341</v>
      </c>
      <c r="I73" s="163" t="e">
        <v>#N/A</v>
      </c>
      <c r="J73" s="168">
        <f>IF(Paris_Inflow!G73=0,#N/A,Paris_Inflow!G73)</f>
        <v>50.185146666666668</v>
      </c>
      <c r="K73" s="163" t="e">
        <v>#N/A</v>
      </c>
      <c r="L73" s="167" t="e">
        <f>IF(Paris_Outflow!C73=0,#N/A,Paris_Outflow!C73)</f>
        <v>#N/A</v>
      </c>
      <c r="M73" s="172" t="e">
        <v>#N/A</v>
      </c>
      <c r="N73" s="167" t="e">
        <f>IF(Paris_Outflow!D73=0,#N/A,Paris_Outflow!D73)</f>
        <v>#N/A</v>
      </c>
      <c r="O73" s="172" t="e">
        <v>#N/A</v>
      </c>
      <c r="P73" s="167" t="e">
        <f>IF(Paris_Outflow!E73=0,#N/A,Paris_Outflow!E73)</f>
        <v>#N/A</v>
      </c>
      <c r="Q73" s="172" t="e">
        <v>#N/A</v>
      </c>
      <c r="R73" s="167" t="e">
        <f>IF(Paris_Outflow!F73=0,#N/A,Paris_Outflow!F73)</f>
        <v>#N/A</v>
      </c>
      <c r="S73" s="172" t="e">
        <v>#N/A</v>
      </c>
      <c r="T73" s="167" t="e">
        <f>IF(Paris_Outflow!G73=0,#N/A,Paris_Outflow!G73)</f>
        <v>#N/A</v>
      </c>
      <c r="U73" s="172" t="e">
        <v>#N/A</v>
      </c>
      <c r="V73" s="252">
        <f>IF(Paris_Inflow!O73=0,#N/A,Paris_Inflow!O73)</f>
        <v>737.00930269999992</v>
      </c>
      <c r="W73" s="252">
        <f>IF(Paris_Inflow!P73=0,#N/A,Paris_Inflow!P73)</f>
        <v>382.57682499999999</v>
      </c>
      <c r="X73" s="249"/>
      <c r="Y73" s="249" t="e">
        <f>IF(Paris_Inflow!W73=0,#N/A,Paris_Inflow!W73)</f>
        <v>#N/A</v>
      </c>
      <c r="Z73" s="249" t="e">
        <f>IF(Paris_Inflow!X73=0,#N/A,Paris_Inflow!X73)</f>
        <v>#N/A</v>
      </c>
      <c r="AA73" s="249" t="e">
        <f>IF(Paris_Inflow!Y73=0,#N/A,Paris_Inflow!Y73)</f>
        <v>#N/A</v>
      </c>
      <c r="AB73" s="249"/>
      <c r="AC73" s="249" t="e">
        <f>IF(Paris_Inflow!AA73=0,#N/A,(Paris_Inflow!AA73+Paris_Inflow!AE73)/2)</f>
        <v>#N/A</v>
      </c>
      <c r="AD73" s="249" t="e">
        <f>IF(Paris_Inflow!AB73=0,#N/A,(Paris_Inflow!AB73+Paris_Inflow!AF73)/2)</f>
        <v>#N/A</v>
      </c>
      <c r="AE73" s="249" t="e">
        <f>IF(Paris_Inflow!AC73=0,#N/A,(Paris_Inflow!AC73+Paris_Inflow!AG73)/2)</f>
        <v>#N/A</v>
      </c>
      <c r="AG73" s="204"/>
      <c r="AH73" s="204"/>
      <c r="AI73" s="204"/>
      <c r="AJ73" s="204"/>
      <c r="AK73" s="204"/>
      <c r="AL73" s="204"/>
      <c r="AM73" s="204"/>
      <c r="AN73" s="204"/>
      <c r="AP73" s="204"/>
      <c r="AQ73" s="204"/>
      <c r="AR73" s="204"/>
      <c r="AS73" s="204"/>
      <c r="AT73" s="204"/>
      <c r="AU73" s="204"/>
    </row>
    <row r="74" spans="1:51" x14ac:dyDescent="0.25">
      <c r="A74" s="94">
        <v>2019</v>
      </c>
      <c r="B74" s="168">
        <f>IF(Paris_Inflow!C74=0,#N/A,Paris_Inflow!C74)</f>
        <v>647.68000000000006</v>
      </c>
      <c r="C74" s="163" t="e">
        <v>#N/A</v>
      </c>
      <c r="D74" s="168" t="e">
        <f>IF(Paris_Inflow!D74=0,#N/A,Paris_Inflow!D74)</f>
        <v>#N/A</v>
      </c>
      <c r="E74" s="163" t="e">
        <v>#N/A</v>
      </c>
      <c r="F74" s="168">
        <f>IF(Paris_Inflow!E74=0,#N/A,Paris_Inflow!E74)</f>
        <v>647.68000000000006</v>
      </c>
      <c r="G74" s="163" t="e">
        <v>#N/A</v>
      </c>
      <c r="H74" s="168">
        <f>IF(Paris_Inflow!F74=0,#N/A,Paris_Inflow!F74)</f>
        <v>53.061866666666667</v>
      </c>
      <c r="I74" s="163" t="e">
        <v>#N/A</v>
      </c>
      <c r="J74" s="168">
        <f>IF(Paris_Inflow!G74=0,#N/A,Paris_Inflow!G74)</f>
        <v>37.901333333333334</v>
      </c>
      <c r="K74" s="163" t="e">
        <v>#N/A</v>
      </c>
      <c r="L74" s="167" t="e">
        <f>IF(Paris_Outflow!C74=0,#N/A,Paris_Outflow!C74)</f>
        <v>#N/A</v>
      </c>
      <c r="M74" s="172" t="e">
        <v>#N/A</v>
      </c>
      <c r="N74" s="167" t="e">
        <f>IF(Paris_Outflow!D74=0,#N/A,Paris_Outflow!D74)</f>
        <v>#N/A</v>
      </c>
      <c r="O74" s="172" t="e">
        <v>#N/A</v>
      </c>
      <c r="P74" s="167" t="e">
        <f>IF(Paris_Outflow!E74=0,#N/A,Paris_Outflow!E74)</f>
        <v>#N/A</v>
      </c>
      <c r="Q74" s="172" t="e">
        <v>#N/A</v>
      </c>
      <c r="R74" s="167" t="e">
        <f>IF(Paris_Outflow!F74=0,#N/A,Paris_Outflow!F74)</f>
        <v>#N/A</v>
      </c>
      <c r="S74" s="172" t="e">
        <v>#N/A</v>
      </c>
      <c r="T74" s="167" t="e">
        <f>IF(Paris_Outflow!G74=0,#N/A,Paris_Outflow!G74)</f>
        <v>#N/A</v>
      </c>
      <c r="U74" s="172" t="e">
        <v>#N/A</v>
      </c>
      <c r="V74" s="252">
        <f>IF(Paris_Inflow!O74=0,#N/A,Paris_Inflow!O74)</f>
        <v>717.43513600000006</v>
      </c>
      <c r="W74" s="252">
        <f>IF(Paris_Inflow!P74=0,#N/A,Paris_Inflow!P74)</f>
        <v>367.90326925762776</v>
      </c>
      <c r="X74" s="249"/>
      <c r="Y74" s="249" t="e">
        <f>IF(Paris_Inflow!W74=0,#N/A,Paris_Inflow!W74)</f>
        <v>#N/A</v>
      </c>
      <c r="Z74" s="249" t="e">
        <f>IF(Paris_Inflow!X74=0,#N/A,Paris_Inflow!X74)</f>
        <v>#N/A</v>
      </c>
      <c r="AA74" s="249" t="e">
        <f>IF(Paris_Inflow!Y74=0,#N/A,Paris_Inflow!Y74)</f>
        <v>#N/A</v>
      </c>
      <c r="AB74" s="249"/>
      <c r="AC74" s="249" t="e">
        <f>IF(Paris_Inflow!AA74=0,#N/A,(Paris_Inflow!AA74+Paris_Inflow!AE74)/2)</f>
        <v>#N/A</v>
      </c>
      <c r="AD74" s="249" t="e">
        <f>IF(Paris_Inflow!AB74=0,#N/A,(Paris_Inflow!AB74+Paris_Inflow!AF74)/2)</f>
        <v>#N/A</v>
      </c>
      <c r="AE74" s="249" t="e">
        <f>IF(Paris_Inflow!AC74=0,#N/A,(Paris_Inflow!AC74+Paris_Inflow!AG74)/2)</f>
        <v>#N/A</v>
      </c>
      <c r="AG74" s="204"/>
      <c r="AH74" s="204"/>
      <c r="AI74" s="204"/>
      <c r="AJ74" s="204"/>
      <c r="AK74" s="204"/>
      <c r="AL74" s="204"/>
      <c r="AM74" s="204"/>
      <c r="AN74" s="204"/>
      <c r="AP74" s="204"/>
      <c r="AQ74" s="204"/>
      <c r="AR74" s="204"/>
      <c r="AS74" s="204"/>
      <c r="AT74" s="204"/>
      <c r="AU74" s="204"/>
    </row>
    <row r="75" spans="1:51" x14ac:dyDescent="0.25">
      <c r="A75" s="94">
        <v>2020</v>
      </c>
      <c r="B75" s="168">
        <f>IF(Paris_Inflow!C75=0,#N/A,Paris_Inflow!C75)</f>
        <v>4223.6318700000002</v>
      </c>
      <c r="C75" s="163" t="e">
        <v>#N/A</v>
      </c>
      <c r="D75" s="168">
        <f>IF(Paris_Inflow!D75=0,#N/A,Paris_Inflow!D75)</f>
        <v>1346.2497000000001</v>
      </c>
      <c r="E75" s="163" t="e">
        <v>#N/A</v>
      </c>
      <c r="F75" s="168">
        <f>IF(Paris_Inflow!E75=0,#N/A,Paris_Inflow!E75)</f>
        <v>2877.3821699999999</v>
      </c>
      <c r="G75" s="163" t="e">
        <v>#N/A</v>
      </c>
      <c r="H75" s="168">
        <f>IF(Paris_Inflow!F75=0,#N/A,Paris_Inflow!F75)</f>
        <v>298.24272000000002</v>
      </c>
      <c r="I75" s="163" t="e">
        <v>#N/A</v>
      </c>
      <c r="J75" s="168">
        <f>IF(Paris_Inflow!G75=0,#N/A,Paris_Inflow!G75)</f>
        <v>149.12136000000001</v>
      </c>
      <c r="K75" s="163" t="e">
        <v>#N/A</v>
      </c>
      <c r="L75" s="167">
        <f>IF(Paris_Outflow!C75=0,#N/A,Paris_Outflow!C75)</f>
        <v>987.28875000000005</v>
      </c>
      <c r="M75" s="172" t="e">
        <v>#N/A</v>
      </c>
      <c r="N75" s="167">
        <f>IF(Paris_Outflow!D75=0,#N/A,Paris_Outflow!D75)</f>
        <v>261.93375000000003</v>
      </c>
      <c r="O75" s="172" t="e">
        <v>#N/A</v>
      </c>
      <c r="P75" s="167">
        <f>IF(Paris_Outflow!E75=0,#N/A,Paris_Outflow!E75)</f>
        <v>725.35500000000002</v>
      </c>
      <c r="Q75" s="172" t="e">
        <v>#N/A</v>
      </c>
      <c r="R75" s="167">
        <f>IF(Paris_Outflow!F75=0,#N/A,Paris_Outflow!F75)</f>
        <v>115.17125000000001</v>
      </c>
      <c r="S75" s="172" t="e">
        <v>#N/A</v>
      </c>
      <c r="T75" s="167">
        <f>IF(Paris_Outflow!G75=0,#N/A,Paris_Outflow!G75)</f>
        <v>60.446249999999999</v>
      </c>
      <c r="U75" s="172" t="e">
        <v>#N/A</v>
      </c>
      <c r="V75" s="252">
        <f>IF(Paris_Inflow!O75=0,#N/A,Paris_Inflow!O75)</f>
        <v>4678.5170223989999</v>
      </c>
      <c r="W75" s="252">
        <f>IF(Paris_Inflow!P75=0,#N/A,Paris_Inflow!P75)</f>
        <v>2369.4392173234573</v>
      </c>
      <c r="X75" s="249"/>
      <c r="Y75" s="249" t="e">
        <f>IF(Paris_Inflow!W75=0,#N/A,Paris_Inflow!W75)</f>
        <v>#N/A</v>
      </c>
      <c r="Z75" s="249" t="e">
        <f>IF(Paris_Inflow!X75=0,#N/A,Paris_Inflow!X75)</f>
        <v>#N/A</v>
      </c>
      <c r="AA75" s="249" t="e">
        <f>IF(Paris_Inflow!Y75=0,#N/A,Paris_Inflow!Y75)</f>
        <v>#N/A</v>
      </c>
      <c r="AB75" s="249"/>
      <c r="AC75" s="249" t="e">
        <f>IF(Paris_Inflow!AA75=0,#N/A,(Paris_Inflow!AA75+Paris_Inflow!AE75)/2)</f>
        <v>#N/A</v>
      </c>
      <c r="AD75" s="249" t="e">
        <f>IF(Paris_Inflow!AB75=0,#N/A,(Paris_Inflow!AB75+Paris_Inflow!AF75)/2)</f>
        <v>#N/A</v>
      </c>
      <c r="AE75" s="249" t="e">
        <f>IF(Paris_Inflow!AC75=0,#N/A,(Paris_Inflow!AC75+Paris_Inflow!AG75)/2)</f>
        <v>#N/A</v>
      </c>
      <c r="AG75" s="204"/>
      <c r="AH75" s="204"/>
      <c r="AI75" s="204"/>
      <c r="AJ75" s="204"/>
      <c r="AK75" s="204"/>
      <c r="AL75" s="204"/>
      <c r="AM75" s="204"/>
      <c r="AN75" s="204"/>
      <c r="AP75" s="204"/>
      <c r="AQ75" s="204"/>
      <c r="AR75" s="204"/>
      <c r="AS75" s="204"/>
      <c r="AT75" s="204"/>
      <c r="AU75" s="204"/>
    </row>
    <row r="76" spans="1:51" x14ac:dyDescent="0.25">
      <c r="A76" s="94">
        <v>2021</v>
      </c>
      <c r="B76" s="168">
        <f>IF(Paris_Inflow!C76=0,#N/A,Paris_Inflow!C76)</f>
        <v>2599.2415999999998</v>
      </c>
      <c r="C76" s="163" t="e">
        <v>#N/A</v>
      </c>
      <c r="D76" s="168">
        <f>IF(Paris_Inflow!D76=0,#N/A,Paris_Inflow!D76)</f>
        <v>818.39530000000002</v>
      </c>
      <c r="E76" s="163" t="e">
        <v>#N/A</v>
      </c>
      <c r="F76" s="168">
        <f>IF(Paris_Inflow!E76=0,#N/A,Paris_Inflow!E76)</f>
        <v>1780.8462999999997</v>
      </c>
      <c r="G76" s="163" t="e">
        <v>#N/A</v>
      </c>
      <c r="H76" s="168">
        <f>IF(Paris_Inflow!F76=0,#N/A,Paris_Inflow!F76)</f>
        <v>89.518946666666679</v>
      </c>
      <c r="I76" s="163" t="e">
        <v>#N/A</v>
      </c>
      <c r="J76" s="168">
        <f>IF(Paris_Inflow!G76=0,#N/A,Paris_Inflow!G76)</f>
        <v>71.738333333333344</v>
      </c>
      <c r="K76" s="163" t="e">
        <v>#N/A</v>
      </c>
      <c r="L76" s="167">
        <f>IF(Paris_Outflow!C76=0,#N/A,Paris_Outflow!C76)</f>
        <v>1142.1170999999999</v>
      </c>
      <c r="M76" s="172" t="e">
        <v>#N/A</v>
      </c>
      <c r="N76" s="167">
        <f>IF(Paris_Outflow!D76=0,#N/A,Paris_Outflow!D76)</f>
        <v>84</v>
      </c>
      <c r="O76" s="172" t="e">
        <v>#N/A</v>
      </c>
      <c r="P76" s="167">
        <f>IF(Paris_Outflow!E76=0,#N/A,Paris_Outflow!E76)</f>
        <v>1058.1170999999999</v>
      </c>
      <c r="Q76" s="172" t="e">
        <v>#N/A</v>
      </c>
      <c r="R76" s="167">
        <f>IF(Paris_Outflow!F76=0,#N/A,Paris_Outflow!F76)</f>
        <v>67.284586666666669</v>
      </c>
      <c r="S76" s="172" t="e">
        <v>#N/A</v>
      </c>
      <c r="T76" s="167">
        <f>IF(Paris_Outflow!G76=0,#N/A,Paris_Outflow!G76)</f>
        <v>57.247253333333333</v>
      </c>
      <c r="U76" s="172" t="e">
        <v>#N/A</v>
      </c>
      <c r="V76" s="252">
        <f>IF(Paris_Inflow!O76=0,#N/A,Paris_Inflow!O76)</f>
        <v>2879.1799203199994</v>
      </c>
      <c r="W76" s="252">
        <f>IF(Paris_Inflow!P76=0,#N/A,Paris_Inflow!P76)</f>
        <v>1458.163299240985</v>
      </c>
      <c r="X76" s="249"/>
      <c r="Y76" s="249" t="e">
        <f>IF(Paris_Inflow!W76=0,#N/A,Paris_Inflow!W76)</f>
        <v>#N/A</v>
      </c>
      <c r="Z76" s="249" t="e">
        <f>IF(Paris_Inflow!X76=0,#N/A,Paris_Inflow!X76)</f>
        <v>#N/A</v>
      </c>
      <c r="AA76" s="249" t="e">
        <f>IF(Paris_Inflow!Y76=0,#N/A,Paris_Inflow!Y76)</f>
        <v>#N/A</v>
      </c>
      <c r="AB76" s="249"/>
      <c r="AC76" s="249" t="e">
        <f>IF(Paris_Inflow!AA76=0,#N/A,(Paris_Inflow!AA76+Paris_Inflow!AE76)/2)</f>
        <v>#N/A</v>
      </c>
      <c r="AD76" s="249" t="e">
        <f>IF(Paris_Inflow!AB76=0,#N/A,(Paris_Inflow!AB76+Paris_Inflow!AF76)/2)</f>
        <v>#N/A</v>
      </c>
      <c r="AE76" s="249" t="e">
        <f>IF(Paris_Inflow!AC76=0,#N/A,(Paris_Inflow!AC76+Paris_Inflow!AG76)/2)</f>
        <v>#N/A</v>
      </c>
      <c r="AG76" s="204"/>
      <c r="AH76" s="204"/>
      <c r="AI76" s="204"/>
      <c r="AJ76" s="204"/>
      <c r="AK76" s="204"/>
      <c r="AL76" s="204"/>
      <c r="AM76" s="204"/>
      <c r="AN76" s="204"/>
      <c r="AP76" s="204"/>
      <c r="AQ76" s="204"/>
      <c r="AR76" s="204"/>
      <c r="AS76" s="204"/>
      <c r="AT76" s="204"/>
      <c r="AU76" s="204"/>
    </row>
    <row r="77" spans="1:51" x14ac:dyDescent="0.25">
      <c r="A77" s="94">
        <v>2022</v>
      </c>
      <c r="B77" s="168">
        <f>IF(Paris_Inflow!C77=0,#N/A,Paris_Inflow!C77)</f>
        <v>2679.2280000000001</v>
      </c>
      <c r="C77" s="163" t="e">
        <v>#N/A</v>
      </c>
      <c r="D77" s="168">
        <f>IF(Paris_Inflow!D77=0,#N/A,Paris_Inflow!D77)</f>
        <v>409.5</v>
      </c>
      <c r="E77" s="163" t="e">
        <v>#N/A</v>
      </c>
      <c r="F77" s="168">
        <f>IF(Paris_Inflow!E77=0,#N/A,Paris_Inflow!E77)</f>
        <v>2269.7280000000001</v>
      </c>
      <c r="G77" s="163" t="e">
        <v>#N/A</v>
      </c>
      <c r="H77" s="168">
        <f>IF(Paris_Inflow!F77=0,#N/A,Paris_Inflow!F77)</f>
        <v>134.1198</v>
      </c>
      <c r="I77" s="163" t="e">
        <v>#N/A</v>
      </c>
      <c r="J77" s="168">
        <f>IF(Paris_Inflow!G77=0,#N/A,Paris_Inflow!G77)</f>
        <v>113.6773</v>
      </c>
      <c r="K77" s="163" t="e">
        <v>#N/A</v>
      </c>
      <c r="L77" s="167">
        <f>IF(Paris_Outflow!C77=0,#N/A,Paris_Outflow!C77)</f>
        <v>1860.23</v>
      </c>
      <c r="M77" s="172" t="e">
        <v>#N/A</v>
      </c>
      <c r="N77" s="167">
        <f>IF(Paris_Outflow!D77=0,#N/A,Paris_Outflow!D77)</f>
        <v>462.42</v>
      </c>
      <c r="O77" s="172" t="e">
        <v>#N/A</v>
      </c>
      <c r="P77" s="167">
        <f>IF(Paris_Outflow!E77=0,#N/A,Paris_Outflow!E77)</f>
        <v>1397.81</v>
      </c>
      <c r="Q77" s="172" t="e">
        <v>#N/A</v>
      </c>
      <c r="R77" s="167">
        <f>IF(Paris_Outflow!F77=0,#N/A,Paris_Outflow!F77)</f>
        <v>110.19999999999999</v>
      </c>
      <c r="S77" s="172" t="e">
        <v>#N/A</v>
      </c>
      <c r="T77" s="167">
        <f>IF(Paris_Outflow!G77=0,#N/A,Paris_Outflow!G77)</f>
        <v>74.882499999999993</v>
      </c>
      <c r="U77" s="172" t="e">
        <v>#N/A</v>
      </c>
      <c r="V77" s="252">
        <f>IF(Paris_Inflow!O77=0,#N/A,Paris_Inflow!O77)</f>
        <v>2967.7808556</v>
      </c>
      <c r="W77" s="252">
        <f>IF(Paris_Inflow!P77=0,#N/A,Paris_Inflow!P77)</f>
        <v>1503.0353238032301</v>
      </c>
      <c r="X77" s="249"/>
      <c r="Y77" s="249" t="e">
        <f>IF(Paris_Inflow!W77=0,#N/A,Paris_Inflow!W77)</f>
        <v>#N/A</v>
      </c>
      <c r="Z77" s="249" t="e">
        <f>IF(Paris_Inflow!X77=0,#N/A,Paris_Inflow!X77)</f>
        <v>#N/A</v>
      </c>
      <c r="AA77" s="249" t="e">
        <f>IF(Paris_Inflow!Y77=0,#N/A,Paris_Inflow!Y77)</f>
        <v>#N/A</v>
      </c>
      <c r="AB77" s="249"/>
      <c r="AC77" s="249" t="e">
        <f>IF(Paris_Inflow!AA77=0,#N/A,(Paris_Inflow!AA77+Paris_Inflow!AE77)/2)</f>
        <v>#N/A</v>
      </c>
      <c r="AD77" s="249" t="e">
        <f>IF(Paris_Inflow!AB77=0,#N/A,(Paris_Inflow!AB77+Paris_Inflow!AF77)/2)</f>
        <v>#N/A</v>
      </c>
      <c r="AE77" s="249" t="e">
        <f>IF(Paris_Inflow!AC77=0,#N/A,(Paris_Inflow!AC77+Paris_Inflow!AG77)/2)</f>
        <v>#N/A</v>
      </c>
      <c r="AG77" s="204"/>
      <c r="AH77" s="204"/>
      <c r="AI77" s="204"/>
      <c r="AJ77" s="204"/>
      <c r="AK77" s="204"/>
      <c r="AL77" s="204"/>
      <c r="AM77" s="204"/>
      <c r="AN77" s="204"/>
      <c r="AP77" s="204"/>
      <c r="AQ77" s="204"/>
      <c r="AR77" s="204"/>
      <c r="AS77" s="204"/>
      <c r="AT77" s="204"/>
      <c r="AU77" s="204"/>
      <c r="AW77" s="204"/>
      <c r="AX77" s="204"/>
      <c r="AY77" s="204"/>
    </row>
    <row r="78" spans="1:51" x14ac:dyDescent="0.25">
      <c r="A78" s="94">
        <v>2023</v>
      </c>
      <c r="B78" s="168">
        <f>IF(Paris_Inflow!C78=0,#N/A,Paris_Inflow!C78)</f>
        <v>943.10400000000004</v>
      </c>
      <c r="C78" s="163" t="e">
        <v>#N/A</v>
      </c>
      <c r="D78" s="168" t="e">
        <f>IF(Paris_Inflow!D78=0,#N/A,Paris_Inflow!D78)</f>
        <v>#N/A</v>
      </c>
      <c r="E78" s="163" t="e">
        <v>#N/A</v>
      </c>
      <c r="F78" s="168">
        <f>IF(Paris_Inflow!E78=0,#N/A,Paris_Inflow!E78)</f>
        <v>943.10400000000004</v>
      </c>
      <c r="G78" s="163" t="e">
        <v>#N/A</v>
      </c>
      <c r="H78" s="168">
        <f>IF(Paris_Inflow!F78=0,#N/A,Paris_Inflow!F78)</f>
        <v>46.897411764705879</v>
      </c>
      <c r="I78" s="163" t="e">
        <v>#N/A</v>
      </c>
      <c r="J78" s="168">
        <f>IF(Paris_Inflow!G78=0,#N/A,Paris_Inflow!G78)</f>
        <v>46.897411764705879</v>
      </c>
      <c r="K78" s="163" t="e">
        <v>#N/A</v>
      </c>
      <c r="L78" s="167">
        <f>IF(Paris_Outflow!C78=0,#N/A,Paris_Outflow!C78)</f>
        <v>668.08600000000001</v>
      </c>
      <c r="M78" s="172" t="e">
        <v>#N/A</v>
      </c>
      <c r="N78" s="167" t="e">
        <f>IF(Paris_Outflow!D78=0,#N/A,Paris_Outflow!D78)</f>
        <v>#N/A</v>
      </c>
      <c r="O78" s="172" t="e">
        <v>#N/A</v>
      </c>
      <c r="P78" s="167">
        <f>IF(Paris_Outflow!E78=0,#N/A,Paris_Outflow!E78)</f>
        <v>668.08600000000001</v>
      </c>
      <c r="Q78" s="172" t="e">
        <v>#N/A</v>
      </c>
      <c r="R78" s="167">
        <f>IF(Paris_Outflow!F78=0,#N/A,Paris_Outflow!F78)</f>
        <v>49.285911764705887</v>
      </c>
      <c r="S78" s="172" t="e">
        <v>#N/A</v>
      </c>
      <c r="T78" s="167">
        <f>IF(Paris_Outflow!G78=0,#N/A,Paris_Outflow!G78)</f>
        <v>49.285911764705887</v>
      </c>
      <c r="U78" s="172" t="e">
        <v>#N/A</v>
      </c>
      <c r="V78" s="252">
        <f>IF(Paris_Inflow!O78=0,#N/A,Paris_Inflow!O78)</f>
        <v>1044.6763008</v>
      </c>
      <c r="W78" s="252">
        <f>IF(Paris_Inflow!P78=0,#N/A,Paris_Inflow!P78)</f>
        <v>529.07726629466458</v>
      </c>
      <c r="X78" s="249"/>
      <c r="Y78" s="249" t="e">
        <f>IF(Paris_Inflow!W78=0,#N/A,Paris_Inflow!W78)</f>
        <v>#N/A</v>
      </c>
      <c r="Z78" s="249" t="e">
        <f>IF(Paris_Inflow!X78=0,#N/A,Paris_Inflow!X78)</f>
        <v>#N/A</v>
      </c>
      <c r="AA78" s="249" t="e">
        <f>IF(Paris_Inflow!Y78=0,#N/A,Paris_Inflow!Y78)</f>
        <v>#N/A</v>
      </c>
      <c r="AB78" s="249"/>
      <c r="AC78" s="249" t="e">
        <f>IF(Paris_Inflow!AA78=0,#N/A,(Paris_Inflow!AA78+Paris_Inflow!AE78)/2)</f>
        <v>#N/A</v>
      </c>
      <c r="AD78" s="249" t="e">
        <f>IF(Paris_Inflow!AB78=0,#N/A,(Paris_Inflow!AB78+Paris_Inflow!AF78)/2)</f>
        <v>#N/A</v>
      </c>
      <c r="AE78" s="249" t="e">
        <f>IF(Paris_Inflow!AC78=0,#N/A,(Paris_Inflow!AC78+Paris_Inflow!AG78)/2)</f>
        <v>#N/A</v>
      </c>
      <c r="AG78" s="204"/>
      <c r="AH78" s="204"/>
      <c r="AI78" s="204"/>
      <c r="AJ78" s="204"/>
      <c r="AK78" s="204"/>
      <c r="AL78" s="204"/>
      <c r="AM78" s="204"/>
      <c r="AN78" s="204"/>
      <c r="AP78" s="204"/>
      <c r="AQ78" s="204"/>
      <c r="AR78" s="204"/>
      <c r="AS78" s="204"/>
      <c r="AT78" s="204"/>
      <c r="AU78" s="204"/>
      <c r="AW78" s="204"/>
      <c r="AX78" s="204"/>
      <c r="AY78" s="204"/>
    </row>
    <row r="79" spans="1:51" x14ac:dyDescent="0.25">
      <c r="A79" s="94">
        <v>2024</v>
      </c>
      <c r="B79" s="168">
        <f>IF(Paris_Inflow!C79=0,#N/A,Paris_Inflow!C79)</f>
        <v>2724.2513749999998</v>
      </c>
      <c r="C79" s="163" t="e">
        <v>#N/A</v>
      </c>
      <c r="D79" s="168">
        <f>IF(Paris_Inflow!D79=0,#N/A,Paris_Inflow!D79)</f>
        <v>870.32</v>
      </c>
      <c r="E79" s="163" t="e">
        <v>#N/A</v>
      </c>
      <c r="F79" s="168">
        <f>IF(Paris_Inflow!E79=0,#N/A,Paris_Inflow!E79)</f>
        <v>1853.9313749999999</v>
      </c>
      <c r="G79" s="163" t="e">
        <v>#N/A</v>
      </c>
      <c r="H79" s="168">
        <f>IF(Paris_Inflow!F79=0,#N/A,Paris_Inflow!F79)</f>
        <v>197.63813333333331</v>
      </c>
      <c r="I79" s="163" t="e">
        <v>#N/A</v>
      </c>
      <c r="J79" s="168">
        <f>IF(Paris_Inflow!G79=0,#N/A,Paris_Inflow!G79)</f>
        <v>134.40306666666666</v>
      </c>
      <c r="K79" s="163" t="e">
        <v>#N/A</v>
      </c>
      <c r="L79" s="167">
        <f>IF(Paris_Outflow!C79=0,#N/A,Paris_Outflow!C79)</f>
        <v>905.06700000000001</v>
      </c>
      <c r="M79" s="172" t="e">
        <v>#N/A</v>
      </c>
      <c r="N79" s="167">
        <f>IF(Paris_Outflow!D79=0,#N/A,Paris_Outflow!D79)</f>
        <v>281.88</v>
      </c>
      <c r="O79" s="172" t="e">
        <v>#N/A</v>
      </c>
      <c r="P79" s="167">
        <f>IF(Paris_Outflow!E79=0,#N/A,Paris_Outflow!E79)</f>
        <v>623.1869999999999</v>
      </c>
      <c r="Q79" s="172" t="e">
        <v>#N/A</v>
      </c>
      <c r="R79" s="167">
        <f>IF(Paris_Outflow!F79=0,#N/A,Paris_Outflow!F79)</f>
        <v>42.444800000000001</v>
      </c>
      <c r="S79" s="172" t="e">
        <v>#N/A</v>
      </c>
      <c r="T79" s="167">
        <f>IF(Paris_Outflow!G79=0,#N/A,Paris_Outflow!G79)</f>
        <v>28.246400000000001</v>
      </c>
      <c r="U79" s="172" t="e">
        <v>#N/A</v>
      </c>
      <c r="V79" s="252">
        <f>IF(Paris_Inflow!O79=0,#N/A,Paris_Inflow!O79)</f>
        <v>3017.6532480874994</v>
      </c>
      <c r="W79" s="252">
        <f>IF(Paris_Inflow!P79=0,#N/A,Paris_Inflow!P79)</f>
        <v>1528.2932425103497</v>
      </c>
      <c r="X79" s="249"/>
      <c r="Y79" s="249" t="e">
        <f>IF(Paris_Inflow!W79=0,#N/A,Paris_Inflow!W79)</f>
        <v>#N/A</v>
      </c>
      <c r="Z79" s="249" t="e">
        <f>IF(Paris_Inflow!X79=0,#N/A,Paris_Inflow!X79)</f>
        <v>#N/A</v>
      </c>
      <c r="AA79" s="249" t="e">
        <f>IF(Paris_Inflow!Y79=0,#N/A,Paris_Inflow!Y79)</f>
        <v>#N/A</v>
      </c>
      <c r="AB79" s="249"/>
      <c r="AC79" s="249" t="e">
        <f>IF(Paris_Inflow!AA79=0,#N/A,(Paris_Inflow!AA79+Paris_Inflow!AE79)/2)</f>
        <v>#N/A</v>
      </c>
      <c r="AD79" s="249" t="e">
        <f>IF(Paris_Inflow!AB79=0,#N/A,(Paris_Inflow!AB79+Paris_Inflow!AF79)/2)</f>
        <v>#N/A</v>
      </c>
      <c r="AE79" s="249" t="e">
        <f>IF(Paris_Inflow!AC79=0,#N/A,(Paris_Inflow!AC79+Paris_Inflow!AG79)/2)</f>
        <v>#N/A</v>
      </c>
      <c r="AG79" s="204"/>
      <c r="AH79" s="204"/>
      <c r="AI79" s="204"/>
      <c r="AJ79" s="204"/>
      <c r="AK79" s="204"/>
      <c r="AL79" s="204"/>
      <c r="AM79" s="204"/>
      <c r="AN79" s="204"/>
      <c r="AP79" s="204"/>
      <c r="AQ79" s="204"/>
      <c r="AR79" s="204"/>
      <c r="AS79" s="204"/>
      <c r="AT79" s="204"/>
      <c r="AU79" s="204"/>
      <c r="AW79" s="204"/>
      <c r="AX79" s="204"/>
      <c r="AY79" s="204"/>
    </row>
    <row r="80" spans="1:51" x14ac:dyDescent="0.25">
      <c r="A80" s="94">
        <v>2025</v>
      </c>
      <c r="B80" s="168">
        <f>IF(Paris_Inflow!C80=0,#N/A,Paris_Inflow!C80)</f>
        <v>3978.2589676190473</v>
      </c>
      <c r="C80" s="163" t="e">
        <v>#N/A</v>
      </c>
      <c r="D80" s="168">
        <f>IF(Paris_Inflow!D80=0,#N/A,Paris_Inflow!D80)</f>
        <v>967.83333333333326</v>
      </c>
      <c r="E80" s="163" t="e">
        <v>#N/A</v>
      </c>
      <c r="F80" s="168">
        <f>IF(Paris_Inflow!E80=0,#N/A,Paris_Inflow!E80)</f>
        <v>3010.4256342857143</v>
      </c>
      <c r="G80" s="163" t="e">
        <v>#N/A</v>
      </c>
      <c r="H80" s="168">
        <f>IF(Paris_Inflow!F80=0,#N/A,Paris_Inflow!F80)</f>
        <v>378.84013714285709</v>
      </c>
      <c r="I80" s="163" t="e">
        <v>#N/A</v>
      </c>
      <c r="J80" s="168">
        <f>IF(Paris_Inflow!G80=0,#N/A,Paris_Inflow!G80)</f>
        <v>199.41870857142857</v>
      </c>
      <c r="K80" s="163" t="e">
        <v>#N/A</v>
      </c>
      <c r="L80" s="167">
        <f>IF(Paris_Outflow!C80=0,#N/A,Paris_Outflow!C80)</f>
        <v>1922.3899200000001</v>
      </c>
      <c r="M80" s="172" t="e">
        <v>#N/A</v>
      </c>
      <c r="N80" s="167">
        <f>IF(Paris_Outflow!D80=0,#N/A,Paris_Outflow!D80)</f>
        <v>477</v>
      </c>
      <c r="O80" s="172" t="e">
        <v>#N/A</v>
      </c>
      <c r="P80" s="167">
        <f>IF(Paris_Outflow!E80=0,#N/A,Paris_Outflow!E80)</f>
        <v>1445.3899200000001</v>
      </c>
      <c r="Q80" s="172" t="e">
        <v>#N/A</v>
      </c>
      <c r="R80" s="167">
        <f>IF(Paris_Outflow!F80=0,#N/A,Paris_Outflow!F80)</f>
        <v>231.99727999999999</v>
      </c>
      <c r="S80" s="172" t="e">
        <v>#N/A</v>
      </c>
      <c r="T80" s="167">
        <f>IF(Paris_Outflow!G80=0,#N/A,Paris_Outflow!G80)</f>
        <v>125.99728</v>
      </c>
      <c r="U80" s="172" t="e">
        <v>#N/A</v>
      </c>
      <c r="V80" s="252">
        <f>IF(Paris_Inflow!O80=0,#N/A,Paris_Inflow!O80)</f>
        <v>4406.7174584316181</v>
      </c>
      <c r="W80" s="252">
        <f>IF(Paris_Inflow!P80=0,#N/A,Paris_Inflow!P80)</f>
        <v>2231.7860800082703</v>
      </c>
      <c r="X80" s="249"/>
      <c r="Y80" s="249" t="e">
        <f>IF(Paris_Inflow!W80=0,#N/A,Paris_Inflow!W80)</f>
        <v>#N/A</v>
      </c>
      <c r="Z80" s="249" t="e">
        <f>IF(Paris_Inflow!X80=0,#N/A,Paris_Inflow!X80)</f>
        <v>#N/A</v>
      </c>
      <c r="AA80" s="249" t="e">
        <f>IF(Paris_Inflow!Y80=0,#N/A,Paris_Inflow!Y80)</f>
        <v>#N/A</v>
      </c>
      <c r="AB80" s="249"/>
      <c r="AC80" s="249" t="e">
        <f>IF(Paris_Inflow!AA80=0,#N/A,(Paris_Inflow!AA80+Paris_Inflow!AE80)/2)</f>
        <v>#N/A</v>
      </c>
      <c r="AD80" s="249" t="e">
        <f>IF(Paris_Inflow!AB80=0,#N/A,(Paris_Inflow!AB80+Paris_Inflow!AF80)/2)</f>
        <v>#N/A</v>
      </c>
      <c r="AE80" s="249" t="e">
        <f>IF(Paris_Inflow!AC80=0,#N/A,(Paris_Inflow!AC80+Paris_Inflow!AG80)/2)</f>
        <v>#N/A</v>
      </c>
      <c r="AG80" s="222">
        <f>AVERAGE(Paris_Inflow!B80:B89)</f>
        <v>27036.179669047619</v>
      </c>
      <c r="AH80" s="222">
        <f>AVERAGE(Paris_Inflow!C80:C89)</f>
        <v>859.23176151190478</v>
      </c>
      <c r="AI80" s="223">
        <f>AVERAGE(Paris_Outflow!B80:B89)</f>
        <v>27203.701299999997</v>
      </c>
      <c r="AJ80" s="223">
        <f>AVERAGE(Paris_Outflow!C80:C89)</f>
        <v>566.47445674999994</v>
      </c>
      <c r="AK80" s="222">
        <f>AVERAGE(Paris_Inflow!F80:F89)</f>
        <v>69.833703655011647</v>
      </c>
      <c r="AL80" s="223">
        <f>AVERAGE(Paris_Outflow!F80:F89)</f>
        <v>47.176851274059274</v>
      </c>
      <c r="AM80" s="222">
        <f>AVERAGE(Paris_Inflow!G80:G89)</f>
        <v>43.791726442890436</v>
      </c>
      <c r="AN80" s="223">
        <f>AVERAGE(Paris_Outflow!G80:G89)</f>
        <v>29.170747688311685</v>
      </c>
      <c r="AP80" s="208">
        <f>AVERAGE(Paris_Outflow!W81:W90)</f>
        <v>-37.080927884999994</v>
      </c>
      <c r="AQ80" s="208">
        <f>AVERAGE(Paris_Outflow!X81:X90)</f>
        <v>-72.529123390350975</v>
      </c>
      <c r="AR80" s="208">
        <f>AVERAGE(Paris_Outflow!Y81:Y90)</f>
        <v>-116.83936777203967</v>
      </c>
      <c r="AS80" s="208">
        <f>AVERAGE(Paris_Outflow!Z81:Z90)</f>
        <v>-9.2702319712499985</v>
      </c>
      <c r="AT80" s="208">
        <f>AVERAGE(Paris_Outflow!AA81:AA90)</f>
        <v>-18.132280847587744</v>
      </c>
      <c r="AU80" s="208">
        <f>AVERAGE(Paris_Outflow!AB81:AB90)</f>
        <v>-29.209841943009916</v>
      </c>
      <c r="AW80" s="208">
        <f>AVERAGE(Paris_Outflow!AD81:AD90)</f>
        <v>-1.7613440745374995</v>
      </c>
      <c r="AX80" s="208">
        <f>AVERAGE(Paris_Outflow!AE81:AE90)</f>
        <v>-10.534772462111864</v>
      </c>
      <c r="AY80" s="208">
        <f>AVERAGE(Paris_Outflow!AF81:AF90)</f>
        <v>-21.501557946579815</v>
      </c>
    </row>
    <row r="81" spans="1:51" x14ac:dyDescent="0.25">
      <c r="A81" s="94">
        <v>2026</v>
      </c>
      <c r="B81" s="163" t="e">
        <v>#N/A</v>
      </c>
      <c r="C81" s="168">
        <f>IF(Paris_Inflow!C81=0,#N/A,Paris_Inflow!C81)</f>
        <v>139.01118750000001</v>
      </c>
      <c r="D81" s="163" t="e">
        <v>#N/A</v>
      </c>
      <c r="E81" s="168" t="e">
        <f>IF(Paris_Inflow!D81=0,#N/A,Paris_Inflow!D81)</f>
        <v>#N/A</v>
      </c>
      <c r="F81" s="163" t="e">
        <v>#N/A</v>
      </c>
      <c r="G81" s="168">
        <f>IF(Paris_Inflow!E81=0,#N/A,Paris_Inflow!E81)</f>
        <v>139.01118750000001</v>
      </c>
      <c r="H81" s="163" t="e">
        <v>#N/A</v>
      </c>
      <c r="I81" s="168">
        <f>IF(Paris_Inflow!F81=0,#N/A,Paris_Inflow!F81)</f>
        <v>5.4918000000000005</v>
      </c>
      <c r="J81" s="163" t="e">
        <v>#N/A</v>
      </c>
      <c r="K81" s="168">
        <f>IF(Paris_Inflow!G81=0,#N/A,Paris_Inflow!G81)</f>
        <v>5.4918000000000005</v>
      </c>
      <c r="L81" s="172" t="e">
        <v>#N/A</v>
      </c>
      <c r="M81" s="167">
        <f>IF(Paris_Outflow!C81=0,#N/A,Paris_Outflow!C81)</f>
        <v>139.01118750000001</v>
      </c>
      <c r="N81" s="172" t="e">
        <v>#N/A</v>
      </c>
      <c r="O81" s="167" t="e">
        <f>IF(Paris_Outflow!D81=0,#N/A,Paris_Outflow!D81)</f>
        <v>#N/A</v>
      </c>
      <c r="P81" s="172" t="e">
        <v>#N/A</v>
      </c>
      <c r="Q81" s="167">
        <f>IF(Paris_Outflow!E81=0,#N/A,Paris_Outflow!E81)</f>
        <v>139.01118750000001</v>
      </c>
      <c r="R81" s="172" t="e">
        <v>#N/A</v>
      </c>
      <c r="S81" s="167">
        <f>IF(Paris_Outflow!F81=0,#N/A,Paris_Outflow!F81)</f>
        <v>5.4918000000000005</v>
      </c>
      <c r="T81" s="172" t="e">
        <v>#N/A</v>
      </c>
      <c r="U81" s="167">
        <f>IF(Paris_Outflow!G81=0,#N/A,Paris_Outflow!G81)</f>
        <v>5.4918000000000005</v>
      </c>
      <c r="V81" s="249" t="e">
        <f>IF(Paris_Inflow!O81=0,#N/A,Paris_Inflow!O81)</f>
        <v>#N/A</v>
      </c>
      <c r="W81" s="249" t="e">
        <f>IF(Paris_Inflow!P81=0,#N/A,Paris_Inflow!P81)</f>
        <v>#N/A</v>
      </c>
      <c r="X81" s="249"/>
      <c r="Y81" s="252">
        <f>IF(Paris_Inflow!W81=0,#N/A,Paris_Inflow!W81)</f>
        <v>145.64202114374999</v>
      </c>
      <c r="Z81" s="252">
        <f>IF(Paris_Inflow!X81=0,#N/A,Paris_Inflow!X81)</f>
        <v>145.27546723765244</v>
      </c>
      <c r="AA81" s="252">
        <f>IF(Paris_Inflow!Y81=0,#N/A,Paris_Inflow!Y81)</f>
        <v>144.81727485503052</v>
      </c>
      <c r="AB81" s="252"/>
      <c r="AC81" s="253">
        <f>IF(Paris_Inflow!AA81=0,#N/A,(Paris_Inflow!AA81+Paris_Inflow!AE81)/2)</f>
        <v>77.588493259485091</v>
      </c>
      <c r="AD81" s="253">
        <f>IF(Paris_Inflow!AB81=0,#N/A,(Paris_Inflow!AB81+Paris_Inflow!AF81)/2)</f>
        <v>77.497771167725944</v>
      </c>
      <c r="AE81" s="253">
        <f>IF(Paris_Inflow!AC81=0,#N/A,(Paris_Inflow!AC81+Paris_Inflow!AG81)/2)</f>
        <v>77.384368553027031</v>
      </c>
      <c r="AG81" s="240"/>
      <c r="AH81" s="240"/>
      <c r="AI81" s="240"/>
      <c r="AJ81" s="240"/>
      <c r="AK81" s="240"/>
      <c r="AL81" s="240"/>
      <c r="AM81" s="240"/>
      <c r="AN81" s="240"/>
      <c r="AP81" s="204"/>
      <c r="AQ81" s="204"/>
      <c r="AR81" s="204"/>
      <c r="AS81" s="204"/>
      <c r="AT81" s="204"/>
      <c r="AU81" s="204"/>
      <c r="AW81" s="204"/>
      <c r="AX81" s="204"/>
      <c r="AY81" s="204"/>
    </row>
    <row r="82" spans="1:51" x14ac:dyDescent="0.25">
      <c r="A82" s="94">
        <v>2027</v>
      </c>
      <c r="B82" s="163" t="e">
        <v>#N/A</v>
      </c>
      <c r="C82" s="168">
        <f>IF(Paris_Inflow!C82=0,#N/A,Paris_Inflow!C82)</f>
        <v>3232.2500000000005</v>
      </c>
      <c r="D82" s="163" t="e">
        <v>#N/A</v>
      </c>
      <c r="E82" s="168">
        <f>IF(Paris_Inflow!D82=0,#N/A,Paris_Inflow!D82)</f>
        <v>156.41500000000002</v>
      </c>
      <c r="F82" s="163" t="e">
        <v>#N/A</v>
      </c>
      <c r="G82" s="168">
        <f>IF(Paris_Inflow!E82=0,#N/A,Paris_Inflow!E82)</f>
        <v>3075.8350000000005</v>
      </c>
      <c r="H82" s="163" t="e">
        <v>#N/A</v>
      </c>
      <c r="I82" s="168">
        <f>IF(Paris_Inflow!F82=0,#N/A,Paris_Inflow!F82)</f>
        <v>195.64602564102566</v>
      </c>
      <c r="J82" s="163" t="e">
        <v>#N/A</v>
      </c>
      <c r="K82" s="168">
        <f>IF(Paris_Inflow!G82=0,#N/A,Paris_Inflow!G82)</f>
        <v>166.60435897435897</v>
      </c>
      <c r="L82" s="172" t="e">
        <v>#N/A</v>
      </c>
      <c r="M82" s="167">
        <f>IF(Paris_Outflow!C82=0,#N/A,Paris_Outflow!C82)</f>
        <v>1778.3449999999998</v>
      </c>
      <c r="N82" s="172" t="e">
        <v>#N/A</v>
      </c>
      <c r="O82" s="167">
        <f>IF(Paris_Outflow!D82=0,#N/A,Paris_Outflow!D82)</f>
        <v>308.58999999999997</v>
      </c>
      <c r="P82" s="172" t="e">
        <v>#N/A</v>
      </c>
      <c r="Q82" s="167">
        <f>IF(Paris_Outflow!E82=0,#N/A,Paris_Outflow!E82)</f>
        <v>1469.7549999999999</v>
      </c>
      <c r="R82" s="172" t="e">
        <v>#N/A</v>
      </c>
      <c r="S82" s="167">
        <f>IF(Paris_Outflow!F82=0,#N/A,Paris_Outflow!F82)</f>
        <v>115.92035897435898</v>
      </c>
      <c r="T82" s="172" t="e">
        <v>#N/A</v>
      </c>
      <c r="U82" s="167">
        <f>IF(Paris_Outflow!G82=0,#N/A,Paris_Outflow!G82)</f>
        <v>93.815999999999988</v>
      </c>
      <c r="V82" s="249" t="e">
        <f>IF(Paris_Inflow!O82=0,#N/A,Paris_Inflow!O82)</f>
        <v>#N/A</v>
      </c>
      <c r="W82" s="249" t="e">
        <f>IF(Paris_Inflow!P82=0,#N/A,Paris_Inflow!P82)</f>
        <v>#N/A</v>
      </c>
      <c r="X82" s="249"/>
      <c r="Y82" s="252">
        <f>IF(Paris_Inflow!W82=0,#N/A,Paris_Inflow!W82)</f>
        <v>3386.4283249999999</v>
      </c>
      <c r="Z82" s="252">
        <f>IF(Paris_Inflow!X82=0,#N/A,Paris_Inflow!X82)</f>
        <v>3372.4757024840069</v>
      </c>
      <c r="AA82" s="252">
        <f>IF(Paris_Inflow!Y82=0,#N/A,Paris_Inflow!Y82)</f>
        <v>3355.034924339016</v>
      </c>
      <c r="AB82" s="252"/>
      <c r="AC82" s="253">
        <f>IF(Paris_Inflow!AA82=0,#N/A,(Paris_Inflow!AA82+Paris_Inflow!AE82)/2)</f>
        <v>1804.0663621981557</v>
      </c>
      <c r="AD82" s="253">
        <f>IF(Paris_Inflow!AB82=0,#N/A,(Paris_Inflow!AB82+Paris_Inflow!AF82)/2)</f>
        <v>1800.613088125448</v>
      </c>
      <c r="AE82" s="253">
        <f>IF(Paris_Inflow!AC82=0,#N/A,(Paris_Inflow!AC82+Paris_Inflow!AG82)/2)</f>
        <v>1796.2964955345624</v>
      </c>
      <c r="AG82" s="240"/>
      <c r="AH82" s="240"/>
      <c r="AI82" s="240"/>
      <c r="AJ82" s="240"/>
      <c r="AK82" s="240"/>
      <c r="AL82" s="240"/>
      <c r="AM82" s="240"/>
      <c r="AN82" s="240"/>
      <c r="AP82" s="204"/>
      <c r="AQ82" s="204"/>
      <c r="AR82" s="204"/>
      <c r="AS82" s="204"/>
      <c r="AT82" s="204"/>
      <c r="AU82" s="204"/>
      <c r="AW82" s="204"/>
      <c r="AX82" s="204"/>
      <c r="AY82" s="204"/>
    </row>
    <row r="83" spans="1:51" x14ac:dyDescent="0.25">
      <c r="A83" s="94">
        <v>2028</v>
      </c>
      <c r="B83" s="163" t="e">
        <v>#N/A</v>
      </c>
      <c r="C83" s="168">
        <f>IF(Paris_Inflow!C83=0,#N/A,Paris_Inflow!C83)</f>
        <v>238.09139999999999</v>
      </c>
      <c r="D83" s="163" t="e">
        <v>#N/A</v>
      </c>
      <c r="E83" s="168" t="e">
        <f>IF(Paris_Inflow!D83=0,#N/A,Paris_Inflow!D83)</f>
        <v>#N/A</v>
      </c>
      <c r="F83" s="163" t="e">
        <v>#N/A</v>
      </c>
      <c r="G83" s="168">
        <f>IF(Paris_Inflow!E83=0,#N/A,Paris_Inflow!E83)</f>
        <v>238.09139999999999</v>
      </c>
      <c r="H83" s="163" t="e">
        <v>#N/A</v>
      </c>
      <c r="I83" s="168">
        <f>IF(Paris_Inflow!F83=0,#N/A,Paris_Inflow!F83)</f>
        <v>11.16972</v>
      </c>
      <c r="J83" s="163" t="e">
        <v>#N/A</v>
      </c>
      <c r="K83" s="168">
        <f>IF(Paris_Inflow!G83=0,#N/A,Paris_Inflow!G83)</f>
        <v>11.16972</v>
      </c>
      <c r="L83" s="172" t="e">
        <v>#N/A</v>
      </c>
      <c r="M83" s="167">
        <f>IF(Paris_Outflow!C83=0,#N/A,Paris_Outflow!C83)</f>
        <v>238.09139999999999</v>
      </c>
      <c r="N83" s="172" t="e">
        <v>#N/A</v>
      </c>
      <c r="O83" s="167" t="e">
        <f>IF(Paris_Outflow!D83=0,#N/A,Paris_Outflow!D83)</f>
        <v>#N/A</v>
      </c>
      <c r="P83" s="172" t="e">
        <v>#N/A</v>
      </c>
      <c r="Q83" s="167">
        <f>IF(Paris_Outflow!E83=0,#N/A,Paris_Outflow!E83)</f>
        <v>238.09139999999999</v>
      </c>
      <c r="R83" s="172" t="e">
        <v>#N/A</v>
      </c>
      <c r="S83" s="167">
        <f>IF(Paris_Outflow!F83=0,#N/A,Paris_Outflow!F83)</f>
        <v>11.16972</v>
      </c>
      <c r="T83" s="172" t="e">
        <v>#N/A</v>
      </c>
      <c r="U83" s="167">
        <f>IF(Paris_Outflow!G83=0,#N/A,Paris_Outflow!G83)</f>
        <v>11.16972</v>
      </c>
      <c r="V83" s="249" t="e">
        <f>IF(Paris_Inflow!O83=0,#N/A,Paris_Inflow!O83)</f>
        <v>#N/A</v>
      </c>
      <c r="W83" s="249" t="e">
        <f>IF(Paris_Inflow!P83=0,#N/A,Paris_Inflow!P83)</f>
        <v>#N/A</v>
      </c>
      <c r="X83" s="249"/>
      <c r="Y83" s="252">
        <f>IF(Paris_Inflow!W83=0,#N/A,Paris_Inflow!W83)</f>
        <v>249.44835977999995</v>
      </c>
      <c r="Z83" s="252">
        <f>IF(Paris_Inflow!X83=0,#N/A,Paris_Inflow!X83)</f>
        <v>247.77340216638876</v>
      </c>
      <c r="AA83" s="252">
        <f>IF(Paris_Inflow!Y83=0,#N/A,Paris_Inflow!Y83)</f>
        <v>245.67970514937471</v>
      </c>
      <c r="AB83" s="252"/>
      <c r="AC83" s="253">
        <f>IF(Paris_Inflow!AA83=0,#N/A,(Paris_Inflow!AA83+Paris_Inflow!AE83)/2)</f>
        <v>132.88968547255499</v>
      </c>
      <c r="AD83" s="253">
        <f>IF(Paris_Inflow!AB83=0,#N/A,(Paris_Inflow!AB83+Paris_Inflow!AF83)/2)</f>
        <v>132.47513346318624</v>
      </c>
      <c r="AE83" s="253">
        <f>IF(Paris_Inflow!AC83=0,#N/A,(Paris_Inflow!AC83+Paris_Inflow!AG83)/2)</f>
        <v>131.95694345147524</v>
      </c>
      <c r="AG83" s="240"/>
      <c r="AH83" s="240"/>
      <c r="AI83" s="240"/>
      <c r="AJ83" s="240"/>
      <c r="AK83" s="240"/>
      <c r="AL83" s="240"/>
      <c r="AM83" s="240"/>
      <c r="AN83" s="240"/>
      <c r="AP83" s="204"/>
      <c r="AQ83" s="204"/>
      <c r="AR83" s="204"/>
      <c r="AS83" s="204"/>
      <c r="AT83" s="204"/>
      <c r="AU83" s="204"/>
      <c r="AW83" s="204"/>
      <c r="AX83" s="204"/>
      <c r="AY83" s="204"/>
    </row>
    <row r="84" spans="1:51" x14ac:dyDescent="0.25">
      <c r="A84" s="94">
        <v>2029</v>
      </c>
      <c r="B84" s="163" t="e">
        <v>#N/A</v>
      </c>
      <c r="C84" s="168" t="e">
        <f>IF(Paris_Inflow!C84=0,#N/A,Paris_Inflow!C84)</f>
        <v>#N/A</v>
      </c>
      <c r="D84" s="163" t="e">
        <v>#N/A</v>
      </c>
      <c r="E84" s="168" t="e">
        <f>IF(Paris_Inflow!D84=0,#N/A,Paris_Inflow!D84)</f>
        <v>#N/A</v>
      </c>
      <c r="F84" s="163" t="e">
        <v>#N/A</v>
      </c>
      <c r="G84" s="168" t="e">
        <f>IF(Paris_Inflow!E84=0,#N/A,Paris_Inflow!E84)</f>
        <v>#N/A</v>
      </c>
      <c r="H84" s="163" t="e">
        <v>#N/A</v>
      </c>
      <c r="I84" s="168" t="e">
        <f>IF(Paris_Inflow!F84=0,#N/A,Paris_Inflow!F84)</f>
        <v>#N/A</v>
      </c>
      <c r="J84" s="163" t="e">
        <v>#N/A</v>
      </c>
      <c r="K84" s="168" t="e">
        <f>IF(Paris_Inflow!G84=0,#N/A,Paris_Inflow!G84)</f>
        <v>#N/A</v>
      </c>
      <c r="L84" s="172" t="e">
        <v>#N/A</v>
      </c>
      <c r="M84" s="167" t="e">
        <f>IF(Paris_Outflow!C84=0,#N/A,Paris_Outflow!C84)</f>
        <v>#N/A</v>
      </c>
      <c r="N84" s="172" t="e">
        <v>#N/A</v>
      </c>
      <c r="O84" s="167" t="e">
        <f>IF(Paris_Outflow!D84=0,#N/A,Paris_Outflow!D84)</f>
        <v>#N/A</v>
      </c>
      <c r="P84" s="172" t="e">
        <v>#N/A</v>
      </c>
      <c r="Q84" s="167" t="e">
        <f>IF(Paris_Outflow!E84=0,#N/A,Paris_Outflow!E84)</f>
        <v>#N/A</v>
      </c>
      <c r="R84" s="172" t="e">
        <v>#N/A</v>
      </c>
      <c r="S84" s="167" t="e">
        <f>IF(Paris_Outflow!F84=0,#N/A,Paris_Outflow!F84)</f>
        <v>#N/A</v>
      </c>
      <c r="T84" s="172" t="e">
        <v>#N/A</v>
      </c>
      <c r="U84" s="167" t="e">
        <f>IF(Paris_Outflow!G84=0,#N/A,Paris_Outflow!G84)</f>
        <v>#N/A</v>
      </c>
      <c r="V84" s="249" t="e">
        <f>IF(Paris_Inflow!O84=0,#N/A,Paris_Inflow!O84)</f>
        <v>#N/A</v>
      </c>
      <c r="W84" s="249" t="e">
        <f>IF(Paris_Inflow!P84=0,#N/A,Paris_Inflow!P84)</f>
        <v>#N/A</v>
      </c>
      <c r="X84" s="249"/>
      <c r="Y84" s="252" t="e">
        <f>IF(Paris_Inflow!W84=0,#N/A,Paris_Inflow!W84)</f>
        <v>#N/A</v>
      </c>
      <c r="Z84" s="252" t="e">
        <f>IF(Paris_Inflow!X84=0,#N/A,Paris_Inflow!X84)</f>
        <v>#N/A</v>
      </c>
      <c r="AA84" s="252" t="e">
        <f>IF(Paris_Inflow!Y84=0,#N/A,Paris_Inflow!Y84)</f>
        <v>#N/A</v>
      </c>
      <c r="AB84" s="252"/>
      <c r="AC84" s="253" t="e">
        <f>IF(Paris_Inflow!AA84=0,#N/A,(Paris_Inflow!AA84+Paris_Inflow!AE84)/2)</f>
        <v>#N/A</v>
      </c>
      <c r="AD84" s="253" t="e">
        <f>IF(Paris_Inflow!AB84=0,#N/A,(Paris_Inflow!AB84+Paris_Inflow!AF84)/2)</f>
        <v>#N/A</v>
      </c>
      <c r="AE84" s="253" t="e">
        <f>IF(Paris_Inflow!AC84=0,#N/A,(Paris_Inflow!AC84+Paris_Inflow!AG84)/2)</f>
        <v>#N/A</v>
      </c>
      <c r="AG84" s="240"/>
      <c r="AH84" s="240"/>
      <c r="AI84" s="240"/>
      <c r="AJ84" s="240"/>
      <c r="AK84" s="240"/>
      <c r="AL84" s="240"/>
      <c r="AM84" s="240"/>
      <c r="AN84" s="240"/>
      <c r="AP84" s="204"/>
      <c r="AQ84" s="204"/>
      <c r="AR84" s="204"/>
      <c r="AS84" s="204"/>
      <c r="AT84" s="204"/>
      <c r="AU84" s="204"/>
      <c r="AW84" s="204"/>
      <c r="AX84" s="204"/>
      <c r="AY84" s="204"/>
    </row>
    <row r="85" spans="1:51" x14ac:dyDescent="0.25">
      <c r="A85" s="94">
        <v>2030</v>
      </c>
      <c r="B85" s="163" t="e">
        <v>#N/A</v>
      </c>
      <c r="C85" s="168">
        <f>IF(Paris_Inflow!C85=0,#N/A,Paris_Inflow!C85)</f>
        <v>429.67500000000001</v>
      </c>
      <c r="D85" s="163" t="e">
        <v>#N/A</v>
      </c>
      <c r="E85" s="168" t="e">
        <f>IF(Paris_Inflow!D85=0,#N/A,Paris_Inflow!D85)</f>
        <v>#N/A</v>
      </c>
      <c r="F85" s="163" t="e">
        <v>#N/A</v>
      </c>
      <c r="G85" s="168">
        <f>IF(Paris_Inflow!E85=0,#N/A,Paris_Inflow!E85)</f>
        <v>429.67500000000001</v>
      </c>
      <c r="H85" s="163" t="e">
        <v>#N/A</v>
      </c>
      <c r="I85" s="168">
        <f>IF(Paris_Inflow!F85=0,#N/A,Paris_Inflow!F85)</f>
        <v>67.356233766233771</v>
      </c>
      <c r="J85" s="163" t="e">
        <v>#N/A</v>
      </c>
      <c r="K85" s="168">
        <f>IF(Paris_Inflow!G85=0,#N/A,Paris_Inflow!G85)</f>
        <v>33.678116883116886</v>
      </c>
      <c r="L85" s="172" t="e">
        <v>#N/A</v>
      </c>
      <c r="M85" s="167">
        <f>IF(Paris_Outflow!C85=0,#N/A,Paris_Outflow!C85)</f>
        <v>998.36249999999995</v>
      </c>
      <c r="N85" s="172" t="e">
        <v>#N/A</v>
      </c>
      <c r="O85" s="167">
        <f>IF(Paris_Outflow!D85=0,#N/A,Paris_Outflow!D85)</f>
        <v>568.6875</v>
      </c>
      <c r="P85" s="172" t="e">
        <v>#N/A</v>
      </c>
      <c r="Q85" s="167">
        <f>IF(Paris_Outflow!E85=0,#N/A,Paris_Outflow!E85)</f>
        <v>429.67500000000001</v>
      </c>
      <c r="R85" s="172" t="e">
        <v>#N/A</v>
      </c>
      <c r="S85" s="167">
        <f>IF(Paris_Outflow!F85=0,#N/A,Paris_Outflow!F85)</f>
        <v>67.356233766233771</v>
      </c>
      <c r="T85" s="172" t="e">
        <v>#N/A</v>
      </c>
      <c r="U85" s="167">
        <f>IF(Paris_Outflow!G85=0,#N/A,Paris_Outflow!G85)</f>
        <v>33.678116883116886</v>
      </c>
      <c r="V85" s="249" t="e">
        <f>IF(Paris_Inflow!O85=0,#N/A,Paris_Inflow!O85)</f>
        <v>#N/A</v>
      </c>
      <c r="W85" s="249" t="e">
        <f>IF(Paris_Inflow!P85=0,#N/A,Paris_Inflow!P85)</f>
        <v>#N/A</v>
      </c>
      <c r="X85" s="249"/>
      <c r="Y85" s="252">
        <f>IF(Paris_Inflow!W85=0,#N/A,Paris_Inflow!W85)</f>
        <v>450.17049749999995</v>
      </c>
      <c r="Z85" s="252">
        <f>IF(Paris_Inflow!X85=0,#N/A,Paris_Inflow!X85)</f>
        <v>442.34785025984928</v>
      </c>
      <c r="AA85" s="252">
        <f>IF(Paris_Inflow!Y85=0,#N/A,Paris_Inflow!Y85)</f>
        <v>432.56954120966094</v>
      </c>
      <c r="AB85" s="252"/>
      <c r="AC85" s="253">
        <f>IF(Paris_Inflow!AA85=0,#N/A,(Paris_Inflow!AA85+Paris_Inflow!AE85)/2)</f>
        <v>239.82124346120889</v>
      </c>
      <c r="AD85" s="253">
        <f>IF(Paris_Inflow!AB85=0,#N/A,(Paris_Inflow!AB85+Paris_Inflow!AF85)/2)</f>
        <v>237.88513826927164</v>
      </c>
      <c r="AE85" s="253">
        <f>IF(Paris_Inflow!AC85=0,#N/A,(Paris_Inflow!AC85+Paris_Inflow!AG85)/2)</f>
        <v>235.46500677934998</v>
      </c>
      <c r="AG85" s="240"/>
      <c r="AH85" s="240"/>
      <c r="AI85" s="240"/>
      <c r="AJ85" s="240"/>
      <c r="AK85" s="240"/>
      <c r="AL85" s="240"/>
      <c r="AM85" s="240"/>
      <c r="AN85" s="240"/>
      <c r="AP85" s="204"/>
      <c r="AQ85" s="204"/>
      <c r="AR85" s="204"/>
      <c r="AS85" s="204"/>
      <c r="AT85" s="204"/>
      <c r="AU85" s="204"/>
      <c r="AW85" s="204"/>
      <c r="AX85" s="204"/>
      <c r="AY85" s="204"/>
    </row>
    <row r="86" spans="1:51" x14ac:dyDescent="0.25">
      <c r="A86" s="94">
        <v>2031</v>
      </c>
      <c r="B86" s="163" t="e">
        <v>#N/A</v>
      </c>
      <c r="C86" s="168" t="e">
        <f>IF(Paris_Inflow!C86=0,#N/A,Paris_Inflow!C86)</f>
        <v>#N/A</v>
      </c>
      <c r="D86" s="163" t="e">
        <v>#N/A</v>
      </c>
      <c r="E86" s="168" t="e">
        <f>IF(Paris_Inflow!D86=0,#N/A,Paris_Inflow!D86)</f>
        <v>#N/A</v>
      </c>
      <c r="F86" s="163" t="e">
        <v>#N/A</v>
      </c>
      <c r="G86" s="168" t="e">
        <f>IF(Paris_Inflow!E86=0,#N/A,Paris_Inflow!E86)</f>
        <v>#N/A</v>
      </c>
      <c r="H86" s="163" t="e">
        <v>#N/A</v>
      </c>
      <c r="I86" s="168" t="e">
        <f>IF(Paris_Inflow!F86=0,#N/A,Paris_Inflow!F86)</f>
        <v>#N/A</v>
      </c>
      <c r="J86" s="163" t="e">
        <v>#N/A</v>
      </c>
      <c r="K86" s="168" t="e">
        <f>IF(Paris_Inflow!G86=0,#N/A,Paris_Inflow!G86)</f>
        <v>#N/A</v>
      </c>
      <c r="L86" s="172" t="e">
        <v>#N/A</v>
      </c>
      <c r="M86" s="167" t="e">
        <f>IF(Paris_Outflow!C86=0,#N/A,Paris_Outflow!C86)</f>
        <v>#N/A</v>
      </c>
      <c r="N86" s="172" t="e">
        <v>#N/A</v>
      </c>
      <c r="O86" s="167" t="e">
        <f>IF(Paris_Outflow!D86=0,#N/A,Paris_Outflow!D86)</f>
        <v>#N/A</v>
      </c>
      <c r="P86" s="172" t="e">
        <v>#N/A</v>
      </c>
      <c r="Q86" s="167" t="e">
        <f>IF(Paris_Outflow!E86=0,#N/A,Paris_Outflow!E86)</f>
        <v>#N/A</v>
      </c>
      <c r="R86" s="172" t="e">
        <v>#N/A</v>
      </c>
      <c r="S86" s="167" t="e">
        <f>IF(Paris_Outflow!F86=0,#N/A,Paris_Outflow!F86)</f>
        <v>#N/A</v>
      </c>
      <c r="T86" s="172" t="e">
        <v>#N/A</v>
      </c>
      <c r="U86" s="167" t="e">
        <f>IF(Paris_Outflow!G86=0,#N/A,Paris_Outflow!G86)</f>
        <v>#N/A</v>
      </c>
      <c r="V86" s="249" t="e">
        <f>IF(Paris_Inflow!O86=0,#N/A,Paris_Inflow!O86)</f>
        <v>#N/A</v>
      </c>
      <c r="W86" s="249" t="e">
        <f>IF(Paris_Inflow!P86=0,#N/A,Paris_Inflow!P86)</f>
        <v>#N/A</v>
      </c>
      <c r="X86" s="249"/>
      <c r="Y86" s="252" t="e">
        <f>IF(Paris_Inflow!W86=0,#N/A,Paris_Inflow!W86)</f>
        <v>#N/A</v>
      </c>
      <c r="Z86" s="252" t="e">
        <f>IF(Paris_Inflow!X86=0,#N/A,Paris_Inflow!X86)</f>
        <v>#N/A</v>
      </c>
      <c r="AA86" s="252" t="e">
        <f>IF(Paris_Inflow!Y86=0,#N/A,Paris_Inflow!Y86)</f>
        <v>#N/A</v>
      </c>
      <c r="AB86" s="252"/>
      <c r="AC86" s="253" t="e">
        <f>IF(Paris_Inflow!AA86=0,#N/A,(Paris_Inflow!AA86+Paris_Inflow!AE86)/2)</f>
        <v>#N/A</v>
      </c>
      <c r="AD86" s="253" t="e">
        <f>IF(Paris_Inflow!AB86=0,#N/A,(Paris_Inflow!AB86+Paris_Inflow!AF86)/2)</f>
        <v>#N/A</v>
      </c>
      <c r="AE86" s="253" t="e">
        <f>IF(Paris_Inflow!AC86=0,#N/A,(Paris_Inflow!AC86+Paris_Inflow!AG86)/2)</f>
        <v>#N/A</v>
      </c>
      <c r="AG86" s="240"/>
      <c r="AH86" s="240"/>
      <c r="AI86" s="240"/>
      <c r="AJ86" s="240"/>
      <c r="AK86" s="240"/>
      <c r="AL86" s="240"/>
      <c r="AM86" s="240"/>
      <c r="AN86" s="240"/>
      <c r="AP86" s="204"/>
      <c r="AQ86" s="204"/>
      <c r="AR86" s="204"/>
      <c r="AS86" s="204"/>
      <c r="AT86" s="204"/>
      <c r="AU86" s="204"/>
      <c r="AW86" s="204"/>
      <c r="AX86" s="204"/>
      <c r="AY86" s="204"/>
    </row>
    <row r="87" spans="1:51" x14ac:dyDescent="0.25">
      <c r="A87" s="94">
        <v>2032</v>
      </c>
      <c r="B87" s="163" t="e">
        <v>#N/A</v>
      </c>
      <c r="C87" s="168">
        <f>IF(Paris_Inflow!C87=0,#N/A,Paris_Inflow!C87)</f>
        <v>411.64056000000005</v>
      </c>
      <c r="D87" s="163" t="e">
        <v>#N/A</v>
      </c>
      <c r="E87" s="168">
        <f>IF(Paris_Inflow!D87=0,#N/A,Paris_Inflow!D87)</f>
        <v>242.95320000000004</v>
      </c>
      <c r="F87" s="163" t="e">
        <v>#N/A</v>
      </c>
      <c r="G87" s="168">
        <f>IF(Paris_Inflow!E87=0,#N/A,Paris_Inflow!E87)</f>
        <v>168.68736000000001</v>
      </c>
      <c r="H87" s="163" t="e">
        <v>#N/A</v>
      </c>
      <c r="I87" s="168">
        <f>IF(Paris_Inflow!F87=0,#N/A,Paris_Inflow!F87)</f>
        <v>18.357119999999998</v>
      </c>
      <c r="J87" s="163" t="e">
        <v>#N/A</v>
      </c>
      <c r="K87" s="168">
        <f>IF(Paris_Inflow!G87=0,#N/A,Paris_Inflow!G87)</f>
        <v>9.1785599999999992</v>
      </c>
      <c r="L87" s="172" t="e">
        <v>#N/A</v>
      </c>
      <c r="M87" s="167">
        <f>IF(Paris_Outflow!C87=0,#N/A,Paris_Outflow!C87)</f>
        <v>411.64056000000005</v>
      </c>
      <c r="N87" s="172" t="e">
        <v>#N/A</v>
      </c>
      <c r="O87" s="167">
        <f>IF(Paris_Outflow!D87=0,#N/A,Paris_Outflow!D87)</f>
        <v>242.95320000000004</v>
      </c>
      <c r="P87" s="172" t="e">
        <v>#N/A</v>
      </c>
      <c r="Q87" s="167">
        <f>IF(Paris_Outflow!E87=0,#N/A,Paris_Outflow!E87)</f>
        <v>168.68736000000001</v>
      </c>
      <c r="R87" s="172" t="e">
        <v>#N/A</v>
      </c>
      <c r="S87" s="167">
        <f>IF(Paris_Outflow!F87=0,#N/A,Paris_Outflow!F87)</f>
        <v>18.357119999999998</v>
      </c>
      <c r="T87" s="172" t="e">
        <v>#N/A</v>
      </c>
      <c r="U87" s="167">
        <f>IF(Paris_Outflow!G87=0,#N/A,Paris_Outflow!G87)</f>
        <v>9.1785599999999992</v>
      </c>
      <c r="V87" s="249" t="e">
        <f>IF(Paris_Inflow!O87=0,#N/A,Paris_Inflow!O87)</f>
        <v>#N/A</v>
      </c>
      <c r="W87" s="249" t="e">
        <f>IF(Paris_Inflow!P87=0,#N/A,Paris_Inflow!P87)</f>
        <v>#N/A</v>
      </c>
      <c r="X87" s="249"/>
      <c r="Y87" s="252">
        <f>IF(Paris_Inflow!W87=0,#N/A,Paris_Inflow!W87)</f>
        <v>431.275814712</v>
      </c>
      <c r="Z87" s="252">
        <f>IF(Paris_Inflow!X87=0,#N/A,Paris_Inflow!X87)</f>
        <v>413.25331596529395</v>
      </c>
      <c r="AA87" s="252">
        <f>IF(Paris_Inflow!Y87=0,#N/A,Paris_Inflow!Y87)</f>
        <v>390.72519253191138</v>
      </c>
      <c r="AB87" s="252"/>
      <c r="AC87" s="253">
        <f>IF(Paris_Inflow!AA87=0,#N/A,(Paris_Inflow!AA87+Paris_Inflow!AE87)/2)</f>
        <v>229.7553987508428</v>
      </c>
      <c r="AD87" s="253">
        <f>IF(Paris_Inflow!AB87=0,#N/A,(Paris_Inflow!AB87+Paris_Inflow!AF87)/2)</f>
        <v>225.29483031103308</v>
      </c>
      <c r="AE87" s="253">
        <f>IF(Paris_Inflow!AC87=0,#N/A,(Paris_Inflow!AC87+Paris_Inflow!AG87)/2)</f>
        <v>219.71911976127089</v>
      </c>
      <c r="AG87" s="240"/>
      <c r="AH87" s="240"/>
      <c r="AI87" s="240"/>
      <c r="AJ87" s="240"/>
      <c r="AK87" s="240"/>
      <c r="AL87" s="240"/>
      <c r="AM87" s="240"/>
      <c r="AN87" s="240"/>
      <c r="AP87" s="204"/>
      <c r="AQ87" s="204"/>
      <c r="AR87" s="204"/>
      <c r="AS87" s="204"/>
      <c r="AT87" s="204"/>
      <c r="AU87" s="204"/>
      <c r="AW87" s="204"/>
      <c r="AX87" s="204"/>
      <c r="AY87" s="204"/>
    </row>
    <row r="88" spans="1:51" x14ac:dyDescent="0.25">
      <c r="A88" s="94">
        <v>2033</v>
      </c>
      <c r="B88" s="163" t="e">
        <v>#N/A</v>
      </c>
      <c r="C88" s="168" t="e">
        <f>IF(Paris_Inflow!C88=0,#N/A,Paris_Inflow!C88)</f>
        <v>#N/A</v>
      </c>
      <c r="D88" s="163" t="e">
        <v>#N/A</v>
      </c>
      <c r="E88" s="168" t="e">
        <f>IF(Paris_Inflow!D88=0,#N/A,Paris_Inflow!D88)</f>
        <v>#N/A</v>
      </c>
      <c r="F88" s="163" t="e">
        <v>#N/A</v>
      </c>
      <c r="G88" s="168" t="e">
        <f>IF(Paris_Inflow!E88=0,#N/A,Paris_Inflow!E88)</f>
        <v>#N/A</v>
      </c>
      <c r="H88" s="163" t="e">
        <v>#N/A</v>
      </c>
      <c r="I88" s="168" t="e">
        <f>IF(Paris_Inflow!F88=0,#N/A,Paris_Inflow!F88)</f>
        <v>#N/A</v>
      </c>
      <c r="J88" s="163" t="e">
        <v>#N/A</v>
      </c>
      <c r="K88" s="168" t="e">
        <f>IF(Paris_Inflow!G88=0,#N/A,Paris_Inflow!G88)</f>
        <v>#N/A</v>
      </c>
      <c r="L88" s="172" t="e">
        <v>#N/A</v>
      </c>
      <c r="M88" s="167" t="e">
        <f>IF(Paris_Outflow!C88=0,#N/A,Paris_Outflow!C88)</f>
        <v>#N/A</v>
      </c>
      <c r="N88" s="172" t="e">
        <v>#N/A</v>
      </c>
      <c r="O88" s="167" t="e">
        <f>IF(Paris_Outflow!D88=0,#N/A,Paris_Outflow!D88)</f>
        <v>#N/A</v>
      </c>
      <c r="P88" s="172" t="e">
        <v>#N/A</v>
      </c>
      <c r="Q88" s="167" t="e">
        <f>IF(Paris_Outflow!E88=0,#N/A,Paris_Outflow!E88)</f>
        <v>#N/A</v>
      </c>
      <c r="R88" s="172" t="e">
        <v>#N/A</v>
      </c>
      <c r="S88" s="167" t="e">
        <f>IF(Paris_Outflow!F88=0,#N/A,Paris_Outflow!F88)</f>
        <v>#N/A</v>
      </c>
      <c r="T88" s="172" t="e">
        <v>#N/A</v>
      </c>
      <c r="U88" s="167" t="e">
        <f>IF(Paris_Outflow!G88=0,#N/A,Paris_Outflow!G88)</f>
        <v>#N/A</v>
      </c>
      <c r="V88" s="249" t="e">
        <f>IF(Paris_Inflow!O88=0,#N/A,Paris_Inflow!O88)</f>
        <v>#N/A</v>
      </c>
      <c r="W88" s="249" t="e">
        <f>IF(Paris_Inflow!P88=0,#N/A,Paris_Inflow!P88)</f>
        <v>#N/A</v>
      </c>
      <c r="X88" s="249"/>
      <c r="Y88" s="252" t="e">
        <f>IF(Paris_Inflow!W88=0,#N/A,Paris_Inflow!W88)</f>
        <v>#N/A</v>
      </c>
      <c r="Z88" s="252" t="e">
        <f>IF(Paris_Inflow!X88=0,#N/A,Paris_Inflow!X88)</f>
        <v>#N/A</v>
      </c>
      <c r="AA88" s="252" t="e">
        <f>IF(Paris_Inflow!Y88=0,#N/A,Paris_Inflow!Y88)</f>
        <v>#N/A</v>
      </c>
      <c r="AB88" s="252"/>
      <c r="AC88" s="253" t="e">
        <f>IF(Paris_Inflow!AA88=0,#N/A,(Paris_Inflow!AA88+Paris_Inflow!AE88)/2)</f>
        <v>#N/A</v>
      </c>
      <c r="AD88" s="253" t="e">
        <f>IF(Paris_Inflow!AB88=0,#N/A,(Paris_Inflow!AB88+Paris_Inflow!AF88)/2)</f>
        <v>#N/A</v>
      </c>
      <c r="AE88" s="253" t="e">
        <f>IF(Paris_Inflow!AC88=0,#N/A,(Paris_Inflow!AC88+Paris_Inflow!AG88)/2)</f>
        <v>#N/A</v>
      </c>
      <c r="AG88" s="240"/>
      <c r="AH88" s="240"/>
      <c r="AI88" s="240"/>
      <c r="AJ88" s="240"/>
      <c r="AK88" s="240"/>
      <c r="AL88" s="240"/>
      <c r="AM88" s="240"/>
      <c r="AN88" s="240"/>
      <c r="AP88" s="204"/>
      <c r="AQ88" s="204"/>
      <c r="AR88" s="204"/>
      <c r="AS88" s="204"/>
      <c r="AT88" s="204"/>
      <c r="AU88" s="204"/>
      <c r="AW88" s="204"/>
      <c r="AX88" s="204"/>
      <c r="AY88" s="204"/>
    </row>
    <row r="89" spans="1:51" x14ac:dyDescent="0.25">
      <c r="A89" s="94">
        <v>2034</v>
      </c>
      <c r="B89" s="163" t="e">
        <v>#N/A</v>
      </c>
      <c r="C89" s="168">
        <f>IF(Paris_Inflow!C89=0,#N/A,Paris_Inflow!C89)</f>
        <v>163.3905</v>
      </c>
      <c r="D89" s="163" t="e">
        <v>#N/A</v>
      </c>
      <c r="E89" s="168" t="e">
        <f>IF(Paris_Inflow!D89=0,#N/A,Paris_Inflow!D89)</f>
        <v>#N/A</v>
      </c>
      <c r="F89" s="163" t="e">
        <v>#N/A</v>
      </c>
      <c r="G89" s="168">
        <f>IF(Paris_Inflow!E89=0,#N/A,Paris_Inflow!E89)</f>
        <v>163.3905</v>
      </c>
      <c r="H89" s="163" t="e">
        <v>#N/A</v>
      </c>
      <c r="I89" s="168">
        <f>IF(Paris_Inflow!F89=0,#N/A,Paris_Inflow!F89)</f>
        <v>21.475999999999999</v>
      </c>
      <c r="J89" s="163" t="e">
        <v>#N/A</v>
      </c>
      <c r="K89" s="168">
        <f>IF(Paris_Inflow!G89=0,#N/A,Paris_Inflow!G89)</f>
        <v>12.375999999999999</v>
      </c>
      <c r="L89" s="172" t="e">
        <v>#N/A</v>
      </c>
      <c r="M89" s="167">
        <f>IF(Paris_Outflow!C89=0,#N/A,Paris_Outflow!C89)</f>
        <v>176.904</v>
      </c>
      <c r="N89" s="172" t="e">
        <v>#N/A</v>
      </c>
      <c r="O89" s="167">
        <f>IF(Paris_Outflow!D89=0,#N/A,Paris_Outflow!D89)</f>
        <v>36.855000000000004</v>
      </c>
      <c r="P89" s="172" t="e">
        <v>#N/A</v>
      </c>
      <c r="Q89" s="167">
        <f>IF(Paris_Outflow!E89=0,#N/A,Paris_Outflow!E89)</f>
        <v>140.04900000000001</v>
      </c>
      <c r="R89" s="172" t="e">
        <v>#N/A</v>
      </c>
      <c r="S89" s="167">
        <f>IF(Paris_Outflow!F89=0,#N/A,Paris_Outflow!F89)</f>
        <v>21.475999999999999</v>
      </c>
      <c r="T89" s="172" t="e">
        <v>#N/A</v>
      </c>
      <c r="U89" s="167">
        <f>IF(Paris_Outflow!G89=0,#N/A,Paris_Outflow!G89)</f>
        <v>12.375999999999999</v>
      </c>
      <c r="V89" s="249" t="e">
        <f>IF(Paris_Inflow!O89=0,#N/A,Paris_Inflow!O89)</f>
        <v>#N/A</v>
      </c>
      <c r="W89" s="249" t="e">
        <f>IF(Paris_Inflow!P89=0,#N/A,Paris_Inflow!P89)</f>
        <v>#N/A</v>
      </c>
      <c r="X89" s="249"/>
      <c r="Y89" s="252">
        <f>IF(Paris_Inflow!W89=0,#N/A,Paris_Inflow!W89)</f>
        <v>171.18422684999999</v>
      </c>
      <c r="Z89" s="252">
        <f>IF(Paris_Inflow!X89=0,#N/A,Paris_Inflow!X89)</f>
        <v>156.37945277513677</v>
      </c>
      <c r="AA89" s="252">
        <f>IF(Paris_Inflow!Y89=0,#N/A,Paris_Inflow!Y89)</f>
        <v>137.87348518155775</v>
      </c>
      <c r="AB89" s="252"/>
      <c r="AC89" s="253">
        <f>IF(Paris_Inflow!AA89=0,#N/A,(Paris_Inflow!AA89+Paris_Inflow!AE89)/2)</f>
        <v>91.19570112235678</v>
      </c>
      <c r="AD89" s="253">
        <f>IF(Paris_Inflow!AB89=0,#N/A,(Paris_Inflow!AB89+Paris_Inflow!AF89)/2)</f>
        <v>87.53151953882815</v>
      </c>
      <c r="AE89" s="253">
        <f>IF(Paris_Inflow!AC89=0,#N/A,(Paris_Inflow!AC89+Paris_Inflow!AG89)/2)</f>
        <v>82.95129255941734</v>
      </c>
      <c r="AG89" s="240"/>
      <c r="AH89" s="240"/>
      <c r="AI89" s="240"/>
      <c r="AJ89" s="240"/>
      <c r="AK89" s="240"/>
      <c r="AL89" s="240"/>
      <c r="AM89" s="240"/>
      <c r="AN89" s="240"/>
      <c r="AP89" s="204"/>
      <c r="AQ89" s="204"/>
      <c r="AR89" s="204"/>
      <c r="AS89" s="204"/>
      <c r="AT89" s="204"/>
      <c r="AU89" s="204"/>
      <c r="AW89" s="204"/>
      <c r="AX89" s="204"/>
      <c r="AY89" s="204"/>
    </row>
    <row r="90" spans="1:51" x14ac:dyDescent="0.25">
      <c r="A90" s="94">
        <v>2035</v>
      </c>
      <c r="B90" s="163" t="e">
        <v>#N/A</v>
      </c>
      <c r="C90" s="168">
        <f>IF(Paris_Inflow!C90=0,#N/A,Paris_Inflow!C90)</f>
        <v>2386.8000000000002</v>
      </c>
      <c r="D90" s="163" t="e">
        <v>#N/A</v>
      </c>
      <c r="E90" s="168">
        <f>IF(Paris_Inflow!D90=0,#N/A,Paris_Inflow!D90)</f>
        <v>918</v>
      </c>
      <c r="F90" s="163" t="e">
        <v>#N/A</v>
      </c>
      <c r="G90" s="168">
        <f>IF(Paris_Inflow!E90=0,#N/A,Paris_Inflow!E90)</f>
        <v>1468.8</v>
      </c>
      <c r="H90" s="163" t="e">
        <v>#N/A</v>
      </c>
      <c r="I90" s="168">
        <f>IF(Paris_Inflow!F90=0,#N/A,Paris_Inflow!F90)</f>
        <v>97.92</v>
      </c>
      <c r="J90" s="163" t="e">
        <v>#N/A</v>
      </c>
      <c r="K90" s="168">
        <f>IF(Paris_Inflow!G90=0,#N/A,Paris_Inflow!G90)</f>
        <v>48.96</v>
      </c>
      <c r="L90" s="172" t="e">
        <v>#N/A</v>
      </c>
      <c r="M90" s="167">
        <f>IF(Paris_Outflow!C90=0,#N/A,Paris_Outflow!C90)</f>
        <v>2437.7999999999997</v>
      </c>
      <c r="N90" s="172" t="e">
        <v>#N/A</v>
      </c>
      <c r="O90" s="167">
        <f>IF(Paris_Outflow!D90=0,#N/A,Paris_Outflow!D90)</f>
        <v>968.99999999999989</v>
      </c>
      <c r="P90" s="172" t="e">
        <v>#N/A</v>
      </c>
      <c r="Q90" s="167">
        <f>IF(Paris_Outflow!E90=0,#N/A,Paris_Outflow!E90)</f>
        <v>1468.8</v>
      </c>
      <c r="R90" s="172" t="e">
        <v>#N/A</v>
      </c>
      <c r="S90" s="167">
        <f>IF(Paris_Outflow!F90=0,#N/A,Paris_Outflow!F90)</f>
        <v>97.92</v>
      </c>
      <c r="T90" s="172" t="e">
        <v>#N/A</v>
      </c>
      <c r="U90" s="167">
        <f>IF(Paris_Outflow!G90=0,#N/A,Paris_Outflow!G90)</f>
        <v>48.96</v>
      </c>
      <c r="V90" s="249" t="e">
        <f>IF(Paris_Inflow!O90=0,#N/A,Paris_Inflow!O90)</f>
        <v>#N/A</v>
      </c>
      <c r="W90" s="249" t="e">
        <f>IF(Paris_Inflow!P90=0,#N/A,Paris_Inflow!P90)</f>
        <v>#N/A</v>
      </c>
      <c r="X90" s="249"/>
      <c r="Y90" s="252">
        <f>IF(Paris_Inflow!W90=0,#N/A,Paris_Inflow!W90)</f>
        <v>2500.6503599999996</v>
      </c>
      <c r="Z90" s="252">
        <f>IF(Paris_Inflow!X90=0,#N/A,Paris_Inflow!X90)</f>
        <v>2214.2343599999999</v>
      </c>
      <c r="AA90" s="252">
        <f>IF(Paris_Inflow!Y90=0,#N/A,Paris_Inflow!Y90)</f>
        <v>1856.2143599999997</v>
      </c>
      <c r="AB90" s="252"/>
      <c r="AC90" s="253">
        <f>IF(Paris_Inflow!AA90=0,#N/A,(Paris_Inflow!AA90+Paris_Inflow!AE90)/2)</f>
        <v>1332.182100176211</v>
      </c>
      <c r="AD90" s="253">
        <f>IF(Paris_Inflow!AB90=0,#N/A,(Paris_Inflow!AB90+Paris_Inflow!AF90)/2)</f>
        <v>1261.2941401762109</v>
      </c>
      <c r="AE90" s="253">
        <f>IF(Paris_Inflow!AC90=0,#N/A,(Paris_Inflow!AC90+Paris_Inflow!AG90)/2)</f>
        <v>1172.6841901762109</v>
      </c>
      <c r="AG90" s="222">
        <f>AVERAGE(Paris_Inflow!B90:B99)</f>
        <v>33080.880499999992</v>
      </c>
      <c r="AH90" s="222">
        <f>AVERAGE(Paris_Inflow!C90:C99)</f>
        <v>1129.99612</v>
      </c>
      <c r="AI90" s="223">
        <f>AVERAGE(Paris_Outflow!B90:B99)</f>
        <v>52044.376999999993</v>
      </c>
      <c r="AJ90" s="223">
        <f>AVERAGE(Paris_Outflow!C90:C99)</f>
        <v>1075.1306300000001</v>
      </c>
      <c r="AK90" s="222">
        <f>AVERAGE(Paris_Inflow!F90:F99)</f>
        <v>68.514077466666663</v>
      </c>
      <c r="AL90" s="223">
        <f>AVERAGE(Paris_Outflow!F90:F99)</f>
        <v>60.873083333333327</v>
      </c>
      <c r="AM90" s="222">
        <f>AVERAGE(Paris_Inflow!G90:G99)</f>
        <v>41.701583733333337</v>
      </c>
      <c r="AN90" s="223">
        <f>AVERAGE(Paris_Outflow!G90:G99)</f>
        <v>40.138009999999994</v>
      </c>
      <c r="AP90" s="208">
        <f>AVERAGE(Paris_Outflow!W91:W100)</f>
        <v>-56.664155999999991</v>
      </c>
      <c r="AQ90" s="208">
        <f>AVERAGE(Paris_Outflow!X91:X100)</f>
        <v>-269.10782281530527</v>
      </c>
      <c r="AR90" s="208">
        <f>AVERAGE(Paris_Outflow!Y91:Y100)</f>
        <v>-534.66240633443681</v>
      </c>
      <c r="AS90" s="208">
        <f>AVERAGE(Paris_Outflow!Z91:Z100)</f>
        <v>-14.166038999999998</v>
      </c>
      <c r="AT90" s="208">
        <f>AVERAGE(Paris_Outflow!AA91:AA100)</f>
        <v>-67.276955703826317</v>
      </c>
      <c r="AU90" s="208">
        <f>AVERAGE(Paris_Outflow!AB91:AB100)</f>
        <v>-133.6656015836092</v>
      </c>
      <c r="AW90" s="208">
        <f>AVERAGE(Paris_Outflow!AD91:AD100)</f>
        <v>-2.6915474099999996</v>
      </c>
      <c r="AX90" s="208">
        <f>AVERAGE(Paris_Outflow!AE91:AE100)</f>
        <v>-55.271354946788065</v>
      </c>
      <c r="AY90" s="208">
        <f>AVERAGE(Paris_Outflow!AF91:AF100)</f>
        <v>-120.99611436777312</v>
      </c>
    </row>
    <row r="91" spans="1:51" x14ac:dyDescent="0.25">
      <c r="A91" s="94">
        <v>2036</v>
      </c>
      <c r="B91" s="163" t="e">
        <v>#N/A</v>
      </c>
      <c r="C91" s="168">
        <f>IF(Paris_Inflow!C91=0,#N/A,Paris_Inflow!C91)</f>
        <v>557.32319999999993</v>
      </c>
      <c r="D91" s="163" t="e">
        <v>#N/A</v>
      </c>
      <c r="E91" s="168">
        <f>IF(Paris_Inflow!D91=0,#N/A,Paris_Inflow!D91)</f>
        <v>464.43599999999998</v>
      </c>
      <c r="F91" s="163" t="e">
        <v>#N/A</v>
      </c>
      <c r="G91" s="168">
        <f>IF(Paris_Inflow!E91=0,#N/A,Paris_Inflow!E91)</f>
        <v>92.887199999999993</v>
      </c>
      <c r="H91" s="163" t="e">
        <v>#N/A</v>
      </c>
      <c r="I91" s="168">
        <f>IF(Paris_Inflow!F91=0,#N/A,Paris_Inflow!F91)</f>
        <v>36.226007999999993</v>
      </c>
      <c r="J91" s="163" t="e">
        <v>#N/A</v>
      </c>
      <c r="K91" s="168">
        <f>IF(Paris_Inflow!G91=0,#N/A,Paris_Inflow!G91)</f>
        <v>18.113003999999997</v>
      </c>
      <c r="L91" s="172" t="e">
        <v>#N/A</v>
      </c>
      <c r="M91" s="167">
        <f>IF(Paris_Outflow!C91=0,#N/A,Paris_Outflow!C91)</f>
        <v>127.7199</v>
      </c>
      <c r="N91" s="172" t="e">
        <v>#N/A</v>
      </c>
      <c r="O91" s="167">
        <f>IF(Paris_Outflow!D91=0,#N/A,Paris_Outflow!D91)</f>
        <v>34.832699999999996</v>
      </c>
      <c r="P91" s="172" t="e">
        <v>#N/A</v>
      </c>
      <c r="Q91" s="167">
        <f>IF(Paris_Outflow!E91=0,#N/A,Paris_Outflow!E91)</f>
        <v>92.887199999999993</v>
      </c>
      <c r="R91" s="172" t="e">
        <v>#N/A</v>
      </c>
      <c r="S91" s="167">
        <f>IF(Paris_Outflow!F91=0,#N/A,Paris_Outflow!F91)</f>
        <v>10.5924</v>
      </c>
      <c r="T91" s="172" t="e">
        <v>#N/A</v>
      </c>
      <c r="U91" s="167">
        <f>IF(Paris_Outflow!G91=0,#N/A,Paris_Outflow!G91)</f>
        <v>5.2961999999999998</v>
      </c>
      <c r="V91" s="249" t="e">
        <f>IF(Paris_Inflow!O91=0,#N/A,Paris_Inflow!O91)</f>
        <v>#N/A</v>
      </c>
      <c r="W91" s="249" t="e">
        <f>IF(Paris_Inflow!P91=0,#N/A,Paris_Inflow!P91)</f>
        <v>#N/A</v>
      </c>
      <c r="X91" s="249"/>
      <c r="Y91" s="252">
        <f>IF(Paris_Inflow!W91=0,#N/A,Paris_Inflow!W91)</f>
        <v>583.90751663999981</v>
      </c>
      <c r="Z91" s="252">
        <f>IF(Paris_Inflow!X91=0,#N/A,Paris_Inflow!X91)</f>
        <v>500.64887031953327</v>
      </c>
      <c r="AA91" s="252">
        <f>IF(Paris_Inflow!Y91=0,#N/A,Paris_Inflow!Y91)</f>
        <v>396.57556241895014</v>
      </c>
      <c r="AB91" s="252"/>
      <c r="AC91" s="253">
        <f>IF(Paris_Inflow!AA91=0,#N/A,(Paris_Inflow!AA91+Paris_Inflow!AE91)/2)</f>
        <v>311.06753437779719</v>
      </c>
      <c r="AD91" s="253">
        <f>IF(Paris_Inflow!AB91=0,#N/A,(Paris_Inflow!AB91+Paris_Inflow!AF91)/2)</f>
        <v>290.46101941348172</v>
      </c>
      <c r="AE91" s="253">
        <f>IF(Paris_Inflow!AC91=0,#N/A,(Paris_Inflow!AC91+Paris_Inflow!AG91)/2)</f>
        <v>264.70287570808739</v>
      </c>
      <c r="AG91" s="240"/>
      <c r="AH91" s="240"/>
      <c r="AI91" s="240"/>
      <c r="AJ91" s="240"/>
      <c r="AK91" s="240"/>
      <c r="AL91" s="240"/>
      <c r="AM91" s="240"/>
      <c r="AN91" s="240"/>
      <c r="AP91" s="204"/>
      <c r="AQ91" s="204"/>
      <c r="AR91" s="204"/>
      <c r="AS91" s="204"/>
      <c r="AT91" s="204"/>
      <c r="AU91" s="204"/>
      <c r="AW91" s="204"/>
      <c r="AX91" s="204"/>
      <c r="AY91" s="204"/>
    </row>
    <row r="92" spans="1:51" x14ac:dyDescent="0.25">
      <c r="A92" s="94">
        <v>2037</v>
      </c>
      <c r="B92" s="163" t="e">
        <v>#N/A</v>
      </c>
      <c r="C92" s="168" t="e">
        <f>IF(Paris_Inflow!C92=0,#N/A,Paris_Inflow!C92)</f>
        <v>#N/A</v>
      </c>
      <c r="D92" s="163" t="e">
        <v>#N/A</v>
      </c>
      <c r="E92" s="168" t="e">
        <f>IF(Paris_Inflow!D92=0,#N/A,Paris_Inflow!D92)</f>
        <v>#N/A</v>
      </c>
      <c r="F92" s="163" t="e">
        <v>#N/A</v>
      </c>
      <c r="G92" s="168" t="e">
        <f>IF(Paris_Inflow!E92=0,#N/A,Paris_Inflow!E92)</f>
        <v>#N/A</v>
      </c>
      <c r="H92" s="163" t="e">
        <v>#N/A</v>
      </c>
      <c r="I92" s="168" t="e">
        <f>IF(Paris_Inflow!F92=0,#N/A,Paris_Inflow!F92)</f>
        <v>#N/A</v>
      </c>
      <c r="J92" s="163" t="e">
        <v>#N/A</v>
      </c>
      <c r="K92" s="168" t="e">
        <f>IF(Paris_Inflow!G92=0,#N/A,Paris_Inflow!G92)</f>
        <v>#N/A</v>
      </c>
      <c r="L92" s="172" t="e">
        <v>#N/A</v>
      </c>
      <c r="M92" s="167" t="e">
        <f>IF(Paris_Outflow!C92=0,#N/A,Paris_Outflow!C92)</f>
        <v>#N/A</v>
      </c>
      <c r="N92" s="172" t="e">
        <v>#N/A</v>
      </c>
      <c r="O92" s="167" t="e">
        <f>IF(Paris_Outflow!D92=0,#N/A,Paris_Outflow!D92)</f>
        <v>#N/A</v>
      </c>
      <c r="P92" s="172" t="e">
        <v>#N/A</v>
      </c>
      <c r="Q92" s="167" t="e">
        <f>IF(Paris_Outflow!E92=0,#N/A,Paris_Outflow!E92)</f>
        <v>#N/A</v>
      </c>
      <c r="R92" s="172" t="e">
        <v>#N/A</v>
      </c>
      <c r="S92" s="167" t="e">
        <f>IF(Paris_Outflow!F92=0,#N/A,Paris_Outflow!F92)</f>
        <v>#N/A</v>
      </c>
      <c r="T92" s="172" t="e">
        <v>#N/A</v>
      </c>
      <c r="U92" s="167" t="e">
        <f>IF(Paris_Outflow!G92=0,#N/A,Paris_Outflow!G92)</f>
        <v>#N/A</v>
      </c>
      <c r="V92" s="249" t="e">
        <f>IF(Paris_Inflow!O92=0,#N/A,Paris_Inflow!O92)</f>
        <v>#N/A</v>
      </c>
      <c r="W92" s="249" t="e">
        <f>IF(Paris_Inflow!P92=0,#N/A,Paris_Inflow!P92)</f>
        <v>#N/A</v>
      </c>
      <c r="X92" s="249"/>
      <c r="Y92" s="252" t="e">
        <f>IF(Paris_Inflow!W92=0,#N/A,Paris_Inflow!W92)</f>
        <v>#N/A</v>
      </c>
      <c r="Z92" s="252" t="e">
        <f>IF(Paris_Inflow!X92=0,#N/A,Paris_Inflow!X92)</f>
        <v>#N/A</v>
      </c>
      <c r="AA92" s="252" t="e">
        <f>IF(Paris_Inflow!Y92=0,#N/A,Paris_Inflow!Y92)</f>
        <v>#N/A</v>
      </c>
      <c r="AB92" s="252"/>
      <c r="AC92" s="253" t="e">
        <f>IF(Paris_Inflow!AA92=0,#N/A,(Paris_Inflow!AA92+Paris_Inflow!AE92)/2)</f>
        <v>#N/A</v>
      </c>
      <c r="AD92" s="253" t="e">
        <f>IF(Paris_Inflow!AB92=0,#N/A,(Paris_Inflow!AB92+Paris_Inflow!AF92)/2)</f>
        <v>#N/A</v>
      </c>
      <c r="AE92" s="253" t="e">
        <f>IF(Paris_Inflow!AC92=0,#N/A,(Paris_Inflow!AC92+Paris_Inflow!AG92)/2)</f>
        <v>#N/A</v>
      </c>
      <c r="AG92" s="240"/>
      <c r="AH92" s="240"/>
      <c r="AI92" s="240"/>
      <c r="AJ92" s="240"/>
      <c r="AK92" s="240"/>
      <c r="AL92" s="240"/>
      <c r="AM92" s="240"/>
      <c r="AN92" s="240"/>
      <c r="AP92" s="204"/>
      <c r="AQ92" s="204"/>
      <c r="AR92" s="204"/>
      <c r="AS92" s="204"/>
      <c r="AT92" s="204"/>
      <c r="AU92" s="204"/>
      <c r="AW92" s="204"/>
      <c r="AX92" s="204"/>
      <c r="AY92" s="204"/>
    </row>
    <row r="93" spans="1:51" x14ac:dyDescent="0.25">
      <c r="A93" s="94">
        <v>2038</v>
      </c>
      <c r="B93" s="163" t="e">
        <v>#N/A</v>
      </c>
      <c r="C93" s="168">
        <f>IF(Paris_Inflow!C93=0,#N/A,Paris_Inflow!C93)</f>
        <v>990.86579999999992</v>
      </c>
      <c r="D93" s="163" t="e">
        <v>#N/A</v>
      </c>
      <c r="E93" s="168">
        <f>IF(Paris_Inflow!D93=0,#N/A,Paris_Inflow!D93)</f>
        <v>163.125</v>
      </c>
      <c r="F93" s="163" t="e">
        <v>#N/A</v>
      </c>
      <c r="G93" s="168">
        <f>IF(Paris_Inflow!E93=0,#N/A,Paris_Inflow!E93)</f>
        <v>827.74079999999992</v>
      </c>
      <c r="H93" s="163" t="e">
        <v>#N/A</v>
      </c>
      <c r="I93" s="168">
        <f>IF(Paris_Inflow!F93=0,#N/A,Paris_Inflow!F93)</f>
        <v>84.488159999999993</v>
      </c>
      <c r="J93" s="163" t="e">
        <v>#N/A</v>
      </c>
      <c r="K93" s="168">
        <f>IF(Paris_Inflow!G93=0,#N/A,Paris_Inflow!G93)</f>
        <v>53.297999999999995</v>
      </c>
      <c r="L93" s="172" t="e">
        <v>#N/A</v>
      </c>
      <c r="M93" s="167">
        <f>IF(Paris_Outflow!C93=0,#N/A,Paris_Outflow!C93)</f>
        <v>1101.9761999999998</v>
      </c>
      <c r="N93" s="172" t="e">
        <v>#N/A</v>
      </c>
      <c r="O93" s="167">
        <f>IF(Paris_Outflow!D93=0,#N/A,Paris_Outflow!D93)</f>
        <v>230.517</v>
      </c>
      <c r="P93" s="172" t="e">
        <v>#N/A</v>
      </c>
      <c r="Q93" s="167">
        <f>IF(Paris_Outflow!E93=0,#N/A,Paris_Outflow!E93)</f>
        <v>871.45920000000001</v>
      </c>
      <c r="R93" s="172" t="e">
        <v>#N/A</v>
      </c>
      <c r="S93" s="167">
        <f>IF(Paris_Outflow!F93=0,#N/A,Paris_Outflow!F93)</f>
        <v>84.488159999999993</v>
      </c>
      <c r="T93" s="172" t="e">
        <v>#N/A</v>
      </c>
      <c r="U93" s="167">
        <f>IF(Paris_Outflow!G93=0,#N/A,Paris_Outflow!G93)</f>
        <v>53.297999999999995</v>
      </c>
      <c r="V93" s="249" t="e">
        <f>IF(Paris_Inflow!O93=0,#N/A,Paris_Inflow!O93)</f>
        <v>#N/A</v>
      </c>
      <c r="W93" s="249" t="e">
        <f>IF(Paris_Inflow!P93=0,#N/A,Paris_Inflow!P93)</f>
        <v>#N/A</v>
      </c>
      <c r="X93" s="249"/>
      <c r="Y93" s="252">
        <f>IF(Paris_Inflow!W93=0,#N/A,Paris_Inflow!W93)</f>
        <v>1038.1300986599997</v>
      </c>
      <c r="Z93" s="252">
        <f>IF(Paris_Inflow!X93=0,#N/A,Paris_Inflow!X93)</f>
        <v>843.70451768083285</v>
      </c>
      <c r="AA93" s="252">
        <f>IF(Paris_Inflow!Y93=0,#N/A,Paris_Inflow!Y93)</f>
        <v>600.67254145687423</v>
      </c>
      <c r="AB93" s="252"/>
      <c r="AC93" s="253">
        <f>IF(Paris_Inflow!AA93=0,#N/A,(Paris_Inflow!AA93+Paris_Inflow!AE93)/2)</f>
        <v>553.04746205663696</v>
      </c>
      <c r="AD93" s="253">
        <f>IF(Paris_Inflow!AB93=0,#N/A,(Paris_Inflow!AB93+Paris_Inflow!AF93)/2)</f>
        <v>504.92713076429322</v>
      </c>
      <c r="AE93" s="253">
        <f>IF(Paris_Inflow!AC93=0,#N/A,(Paris_Inflow!AC93+Paris_Inflow!AG93)/2)</f>
        <v>444.77671664886344</v>
      </c>
      <c r="AG93" s="240"/>
      <c r="AH93" s="240"/>
      <c r="AI93" s="240"/>
      <c r="AJ93" s="240"/>
      <c r="AK93" s="240"/>
      <c r="AL93" s="240"/>
      <c r="AM93" s="240"/>
      <c r="AN93" s="240"/>
      <c r="AP93" s="204"/>
      <c r="AQ93" s="204"/>
      <c r="AR93" s="204"/>
      <c r="AS93" s="204"/>
      <c r="AT93" s="204"/>
      <c r="AU93" s="204"/>
      <c r="AW93" s="204"/>
      <c r="AX93" s="204"/>
      <c r="AY93" s="204"/>
    </row>
    <row r="94" spans="1:51" x14ac:dyDescent="0.25">
      <c r="A94" s="94">
        <v>2039</v>
      </c>
      <c r="B94" s="163" t="e">
        <v>#N/A</v>
      </c>
      <c r="C94" s="168">
        <f>IF(Paris_Inflow!C94=0,#N/A,Paris_Inflow!C94)</f>
        <v>745.44200000000001</v>
      </c>
      <c r="D94" s="163" t="e">
        <v>#N/A</v>
      </c>
      <c r="E94" s="168">
        <f>IF(Paris_Inflow!D94=0,#N/A,Paris_Inflow!D94)</f>
        <v>148.76999999999998</v>
      </c>
      <c r="F94" s="163" t="e">
        <v>#N/A</v>
      </c>
      <c r="G94" s="168">
        <f>IF(Paris_Inflow!E94=0,#N/A,Paris_Inflow!E94)</f>
        <v>596.67200000000003</v>
      </c>
      <c r="H94" s="163" t="e">
        <v>#N/A</v>
      </c>
      <c r="I94" s="168">
        <f>IF(Paris_Inflow!F94=0,#N/A,Paris_Inflow!F94)</f>
        <v>59.210840000000005</v>
      </c>
      <c r="J94" s="163" t="e">
        <v>#N/A</v>
      </c>
      <c r="K94" s="168">
        <f>IF(Paris_Inflow!G94=0,#N/A,Paris_Inflow!G94)</f>
        <v>36.493400000000001</v>
      </c>
      <c r="L94" s="172" t="e">
        <v>#N/A</v>
      </c>
      <c r="M94" s="167">
        <f>IF(Paris_Outflow!C94=0,#N/A,Paris_Outflow!C94)</f>
        <v>914.85200000000009</v>
      </c>
      <c r="N94" s="172" t="e">
        <v>#N/A</v>
      </c>
      <c r="O94" s="167">
        <f>IF(Paris_Outflow!D94=0,#N/A,Paris_Outflow!D94)</f>
        <v>318.18</v>
      </c>
      <c r="P94" s="172" t="e">
        <v>#N/A</v>
      </c>
      <c r="Q94" s="167">
        <f>IF(Paris_Outflow!E94=0,#N/A,Paris_Outflow!E94)</f>
        <v>596.67200000000003</v>
      </c>
      <c r="R94" s="172" t="e">
        <v>#N/A</v>
      </c>
      <c r="S94" s="167">
        <f>IF(Paris_Outflow!F94=0,#N/A,Paris_Outflow!F94)</f>
        <v>59.210840000000005</v>
      </c>
      <c r="T94" s="172" t="e">
        <v>#N/A</v>
      </c>
      <c r="U94" s="167">
        <f>IF(Paris_Outflow!G94=0,#N/A,Paris_Outflow!G94)</f>
        <v>38.107733333333329</v>
      </c>
      <c r="V94" s="249" t="e">
        <f>IF(Paris_Inflow!O94=0,#N/A,Paris_Inflow!O94)</f>
        <v>#N/A</v>
      </c>
      <c r="W94" s="249" t="e">
        <f>IF(Paris_Inflow!P94=0,#N/A,Paris_Inflow!P94)</f>
        <v>#N/A</v>
      </c>
      <c r="X94" s="249"/>
      <c r="Y94" s="252">
        <f>IF(Paris_Inflow!W94=0,#N/A,Paris_Inflow!W94)</f>
        <v>780.99958339999989</v>
      </c>
      <c r="Z94" s="252">
        <f>IF(Paris_Inflow!X94=0,#N/A,Paris_Inflow!X94)</f>
        <v>623.4196309035226</v>
      </c>
      <c r="AA94" s="252">
        <f>IF(Paris_Inflow!Y94=0,#N/A,Paris_Inflow!Y94)</f>
        <v>426.4446902829261</v>
      </c>
      <c r="AB94" s="252"/>
      <c r="AC94" s="253">
        <f>IF(Paris_Inflow!AA94=0,#N/A,(Paris_Inflow!AA94+Paris_Inflow!AE94)/2)</f>
        <v>416.06522922723099</v>
      </c>
      <c r="AD94" s="253">
        <f>IF(Paris_Inflow!AB94=0,#N/A,(Paris_Inflow!AB94+Paris_Inflow!AF94)/2)</f>
        <v>377.06419098435299</v>
      </c>
      <c r="AE94" s="253">
        <f>IF(Paris_Inflow!AC94=0,#N/A,(Paris_Inflow!AC94+Paris_Inflow!AG94)/2)</f>
        <v>328.31289318075528</v>
      </c>
      <c r="AG94" s="240"/>
      <c r="AH94" s="240"/>
      <c r="AI94" s="240"/>
      <c r="AJ94" s="240"/>
      <c r="AK94" s="240"/>
      <c r="AL94" s="240"/>
      <c r="AM94" s="240"/>
      <c r="AN94" s="240"/>
      <c r="AP94" s="204"/>
      <c r="AQ94" s="204"/>
      <c r="AR94" s="204"/>
      <c r="AS94" s="204"/>
      <c r="AT94" s="204"/>
      <c r="AU94" s="204"/>
      <c r="AW94" s="204"/>
      <c r="AX94" s="204"/>
      <c r="AY94" s="204"/>
    </row>
    <row r="95" spans="1:51" x14ac:dyDescent="0.25">
      <c r="A95" s="94">
        <v>2040</v>
      </c>
      <c r="B95" s="163" t="e">
        <v>#N/A</v>
      </c>
      <c r="C95" s="168">
        <f>IF(Paris_Inflow!C95=0,#N/A,Paris_Inflow!C95)</f>
        <v>241.5</v>
      </c>
      <c r="D95" s="163" t="e">
        <v>#N/A</v>
      </c>
      <c r="E95" s="168" t="e">
        <f>IF(Paris_Inflow!D95=0,#N/A,Paris_Inflow!D95)</f>
        <v>#N/A</v>
      </c>
      <c r="F95" s="163" t="e">
        <v>#N/A</v>
      </c>
      <c r="G95" s="168">
        <f>IF(Paris_Inflow!E95=0,#N/A,Paris_Inflow!E95)</f>
        <v>241.5</v>
      </c>
      <c r="H95" s="163" t="e">
        <v>#N/A</v>
      </c>
      <c r="I95" s="168">
        <f>IF(Paris_Inflow!F95=0,#N/A,Paris_Inflow!F95)</f>
        <v>16.28</v>
      </c>
      <c r="J95" s="163" t="e">
        <v>#N/A</v>
      </c>
      <c r="K95" s="168">
        <f>IF(Paris_Inflow!G95=0,#N/A,Paris_Inflow!G95)</f>
        <v>11.714</v>
      </c>
      <c r="L95" s="172" t="e">
        <v>#N/A</v>
      </c>
      <c r="M95" s="167">
        <f>IF(Paris_Outflow!C95=0,#N/A,Paris_Outflow!C95)</f>
        <v>143.5</v>
      </c>
      <c r="N95" s="172" t="e">
        <v>#N/A</v>
      </c>
      <c r="O95" s="167" t="e">
        <f>IF(Paris_Outflow!D95=0,#N/A,Paris_Outflow!D95)</f>
        <v>#N/A</v>
      </c>
      <c r="P95" s="172" t="e">
        <v>#N/A</v>
      </c>
      <c r="Q95" s="167">
        <f>IF(Paris_Outflow!E95=0,#N/A,Paris_Outflow!E95)</f>
        <v>143.5</v>
      </c>
      <c r="R95" s="172" t="e">
        <v>#N/A</v>
      </c>
      <c r="S95" s="167">
        <f>IF(Paris_Outflow!F95=0,#N/A,Paris_Outflow!F95)</f>
        <v>14.78</v>
      </c>
      <c r="T95" s="172" t="e">
        <v>#N/A</v>
      </c>
      <c r="U95" s="167">
        <f>IF(Paris_Outflow!G95=0,#N/A,Paris_Outflow!G95)</f>
        <v>14.78</v>
      </c>
      <c r="V95" s="249" t="e">
        <f>IF(Paris_Inflow!O95=0,#N/A,Paris_Inflow!O95)</f>
        <v>#N/A</v>
      </c>
      <c r="W95" s="249" t="e">
        <f>IF(Paris_Inflow!P95=0,#N/A,Paris_Inflow!P95)</f>
        <v>#N/A</v>
      </c>
      <c r="X95" s="249"/>
      <c r="Y95" s="252">
        <f>IF(Paris_Inflow!W95=0,#N/A,Paris_Inflow!W95)</f>
        <v>253.01954999999995</v>
      </c>
      <c r="Z95" s="252">
        <f>IF(Paris_Inflow!X95=0,#N/A,Paris_Inflow!X95)</f>
        <v>199.45629011403125</v>
      </c>
      <c r="AA95" s="252">
        <f>IF(Paris_Inflow!Y95=0,#N/A,Paris_Inflow!Y95)</f>
        <v>132.50221525657034</v>
      </c>
      <c r="AB95" s="252"/>
      <c r="AC95" s="253">
        <f>IF(Paris_Inflow!AA95=0,#N/A,(Paris_Inflow!AA95+Paris_Inflow!AE95)/2)</f>
        <v>134.79218082476743</v>
      </c>
      <c r="AD95" s="253">
        <f>IF(Paris_Inflow!AB95=0,#N/A,(Paris_Inflow!AB95+Paris_Inflow!AF95)/2)</f>
        <v>121.53527400299019</v>
      </c>
      <c r="AE95" s="253">
        <f>IF(Paris_Inflow!AC95=0,#N/A,(Paris_Inflow!AC95+Paris_Inflow!AG95)/2)</f>
        <v>104.96414047576863</v>
      </c>
      <c r="AG95" s="240"/>
      <c r="AH95" s="240"/>
      <c r="AI95" s="240"/>
      <c r="AJ95" s="240"/>
      <c r="AK95" s="240"/>
      <c r="AL95" s="240"/>
      <c r="AM95" s="240"/>
      <c r="AN95" s="240"/>
      <c r="AP95" s="204"/>
      <c r="AQ95" s="204"/>
      <c r="AR95" s="204"/>
      <c r="AS95" s="204"/>
      <c r="AT95" s="204"/>
      <c r="AU95" s="204"/>
      <c r="AW95" s="204"/>
      <c r="AX95" s="204"/>
      <c r="AY95" s="204"/>
    </row>
    <row r="96" spans="1:51" x14ac:dyDescent="0.25">
      <c r="A96" s="94">
        <v>2041</v>
      </c>
      <c r="B96" s="163" t="e">
        <v>#N/A</v>
      </c>
      <c r="C96" s="168">
        <f>IF(Paris_Inflow!C96=0,#N/A,Paris_Inflow!C96)</f>
        <v>3764.0699999999997</v>
      </c>
      <c r="D96" s="163" t="e">
        <v>#N/A</v>
      </c>
      <c r="E96" s="168">
        <f>IF(Paris_Inflow!D96=0,#N/A,Paris_Inflow!D96)</f>
        <v>1300.05</v>
      </c>
      <c r="F96" s="163" t="e">
        <v>#N/A</v>
      </c>
      <c r="G96" s="168">
        <f>IF(Paris_Inflow!E96=0,#N/A,Paris_Inflow!E96)</f>
        <v>2464.02</v>
      </c>
      <c r="H96" s="163" t="e">
        <v>#N/A</v>
      </c>
      <c r="I96" s="168">
        <f>IF(Paris_Inflow!F96=0,#N/A,Paris_Inflow!F96)</f>
        <v>214.16849999999997</v>
      </c>
      <c r="J96" s="163" t="e">
        <v>#N/A</v>
      </c>
      <c r="K96" s="168">
        <f>IF(Paris_Inflow!G96=0,#N/A,Paris_Inflow!G96)</f>
        <v>126.53549999999998</v>
      </c>
      <c r="L96" s="172" t="e">
        <v>#N/A</v>
      </c>
      <c r="M96" s="167">
        <f>IF(Paris_Outflow!C96=0,#N/A,Paris_Outflow!C96)</f>
        <v>3764.0699999999997</v>
      </c>
      <c r="N96" s="172" t="e">
        <v>#N/A</v>
      </c>
      <c r="O96" s="167">
        <f>IF(Paris_Outflow!D96=0,#N/A,Paris_Outflow!D96)</f>
        <v>1300.05</v>
      </c>
      <c r="P96" s="172" t="e">
        <v>#N/A</v>
      </c>
      <c r="Q96" s="167">
        <f>IF(Paris_Outflow!E96=0,#N/A,Paris_Outflow!E96)</f>
        <v>2464.02</v>
      </c>
      <c r="R96" s="172" t="e">
        <v>#N/A</v>
      </c>
      <c r="S96" s="167">
        <f>IF(Paris_Outflow!F96=0,#N/A,Paris_Outflow!F96)</f>
        <v>214.16849999999997</v>
      </c>
      <c r="T96" s="172" t="e">
        <v>#N/A</v>
      </c>
      <c r="U96" s="167">
        <f>IF(Paris_Outflow!G96=0,#N/A,Paris_Outflow!G96)</f>
        <v>126.53549999999998</v>
      </c>
      <c r="V96" s="249" t="e">
        <f>IF(Paris_Inflow!O96=0,#N/A,Paris_Inflow!O96)</f>
        <v>#N/A</v>
      </c>
      <c r="W96" s="249" t="e">
        <f>IF(Paris_Inflow!P96=0,#N/A,Paris_Inflow!P96)</f>
        <v>#N/A</v>
      </c>
      <c r="X96" s="249"/>
      <c r="Y96" s="252">
        <f>IF(Paris_Inflow!W96=0,#N/A,Paris_Inflow!W96)</f>
        <v>3943.6161389999993</v>
      </c>
      <c r="Z96" s="252">
        <f>IF(Paris_Inflow!X96=0,#N/A,Paris_Inflow!X96)</f>
        <v>3083.082772548355</v>
      </c>
      <c r="AA96" s="252">
        <f>IF(Paris_Inflow!Y96=0,#N/A,Paris_Inflow!Y96)</f>
        <v>2007.4160644838005</v>
      </c>
      <c r="AB96" s="252"/>
      <c r="AC96" s="253">
        <f>IF(Paris_Inflow!AA96=0,#N/A,(Paris_Inflow!AA96+Paris_Inflow!AE96)/2)</f>
        <v>2100.8993957643161</v>
      </c>
      <c r="AD96" s="253">
        <f>IF(Paris_Inflow!AB96=0,#N/A,(Paris_Inflow!AB96+Paris_Inflow!AF96)/2)</f>
        <v>1887.9173875675342</v>
      </c>
      <c r="AE96" s="253">
        <f>IF(Paris_Inflow!AC96=0,#N/A,(Paris_Inflow!AC96+Paris_Inflow!AG96)/2)</f>
        <v>1621.6898773215571</v>
      </c>
      <c r="AG96" s="240"/>
      <c r="AH96" s="240"/>
      <c r="AI96" s="240"/>
      <c r="AJ96" s="240"/>
      <c r="AK96" s="240"/>
      <c r="AL96" s="240"/>
      <c r="AM96" s="240"/>
      <c r="AN96" s="240"/>
      <c r="AP96" s="204"/>
      <c r="AQ96" s="204"/>
      <c r="AR96" s="204"/>
      <c r="AS96" s="204"/>
      <c r="AT96" s="204"/>
      <c r="AU96" s="204"/>
      <c r="AW96" s="204"/>
      <c r="AX96" s="204"/>
      <c r="AY96" s="204"/>
    </row>
    <row r="97" spans="1:51" x14ac:dyDescent="0.25">
      <c r="A97" s="94">
        <v>2042</v>
      </c>
      <c r="B97" s="163" t="e">
        <v>#N/A</v>
      </c>
      <c r="C97" s="168">
        <f>IF(Paris_Inflow!C97=0,#N/A,Paris_Inflow!C97)</f>
        <v>400.94499999999999</v>
      </c>
      <c r="D97" s="163" t="e">
        <v>#N/A</v>
      </c>
      <c r="E97" s="168" t="e">
        <f>IF(Paris_Inflow!D97=0,#N/A,Paris_Inflow!D97)</f>
        <v>#N/A</v>
      </c>
      <c r="F97" s="163" t="e">
        <v>#N/A</v>
      </c>
      <c r="G97" s="168">
        <f>IF(Paris_Inflow!E97=0,#N/A,Paris_Inflow!E97)</f>
        <v>400.94499999999999</v>
      </c>
      <c r="H97" s="163" t="e">
        <v>#N/A</v>
      </c>
      <c r="I97" s="168">
        <f>IF(Paris_Inflow!F97=0,#N/A,Paris_Inflow!F97)</f>
        <v>29.929600000000001</v>
      </c>
      <c r="J97" s="163" t="e">
        <v>#N/A</v>
      </c>
      <c r="K97" s="168">
        <f>IF(Paris_Inflow!G97=0,#N/A,Paris_Inflow!G97)</f>
        <v>29.929600000000001</v>
      </c>
      <c r="L97" s="172" t="e">
        <v>#N/A</v>
      </c>
      <c r="M97" s="167">
        <f>IF(Paris_Outflow!C97=0,#N/A,Paris_Outflow!C97)</f>
        <v>400.94499999999999</v>
      </c>
      <c r="N97" s="172" t="e">
        <v>#N/A</v>
      </c>
      <c r="O97" s="167" t="e">
        <f>IF(Paris_Outflow!D97=0,#N/A,Paris_Outflow!D97)</f>
        <v>#N/A</v>
      </c>
      <c r="P97" s="172" t="e">
        <v>#N/A</v>
      </c>
      <c r="Q97" s="167">
        <f>IF(Paris_Outflow!E97=0,#N/A,Paris_Outflow!E97)</f>
        <v>400.94499999999999</v>
      </c>
      <c r="R97" s="172" t="e">
        <v>#N/A</v>
      </c>
      <c r="S97" s="167">
        <f>IF(Paris_Outflow!F97=0,#N/A,Paris_Outflow!F97)</f>
        <v>29.929600000000001</v>
      </c>
      <c r="T97" s="172" t="e">
        <v>#N/A</v>
      </c>
      <c r="U97" s="167">
        <f>IF(Paris_Outflow!G97=0,#N/A,Paris_Outflow!G97)</f>
        <v>29.929600000000001</v>
      </c>
      <c r="V97" s="249" t="e">
        <f>IF(Paris_Inflow!O97=0,#N/A,Paris_Inflow!O97)</f>
        <v>#N/A</v>
      </c>
      <c r="W97" s="249" t="e">
        <f>IF(Paris_Inflow!P97=0,#N/A,Paris_Inflow!P97)</f>
        <v>#N/A</v>
      </c>
      <c r="X97" s="249"/>
      <c r="Y97" s="252">
        <f>IF(Paris_Inflow!W97=0,#N/A,Paris_Inflow!W97)</f>
        <v>420.07007649999991</v>
      </c>
      <c r="Z97" s="252">
        <f>IF(Paris_Inflow!X97=0,#N/A,Paris_Inflow!X97)</f>
        <v>326.6638986660646</v>
      </c>
      <c r="AA97" s="252">
        <f>IF(Paris_Inflow!Y97=0,#N/A,Paris_Inflow!Y97)</f>
        <v>209.90617637364537</v>
      </c>
      <c r="AB97" s="252"/>
      <c r="AC97" s="253">
        <f>IF(Paris_Inflow!AA97=0,#N/A,(Paris_Inflow!AA97+Paris_Inflow!AE97)/2)</f>
        <v>223.78571818131007</v>
      </c>
      <c r="AD97" s="253">
        <f>IF(Paris_Inflow!AB97=0,#N/A,(Paris_Inflow!AB97+Paris_Inflow!AF97)/2)</f>
        <v>200.66768916741108</v>
      </c>
      <c r="AE97" s="253">
        <f>IF(Paris_Inflow!AC97=0,#N/A,(Paris_Inflow!AC97+Paris_Inflow!AG97)/2)</f>
        <v>171.77015290003732</v>
      </c>
      <c r="AG97" s="240"/>
      <c r="AH97" s="240"/>
      <c r="AI97" s="240"/>
      <c r="AJ97" s="240"/>
      <c r="AK97" s="240"/>
      <c r="AL97" s="240"/>
      <c r="AM97" s="240"/>
      <c r="AN97" s="240"/>
      <c r="AP97" s="204"/>
      <c r="AQ97" s="204"/>
      <c r="AR97" s="204"/>
      <c r="AS97" s="204"/>
      <c r="AT97" s="204"/>
      <c r="AU97" s="204"/>
      <c r="AW97" s="204"/>
      <c r="AX97" s="204"/>
      <c r="AY97" s="204"/>
    </row>
    <row r="98" spans="1:51" x14ac:dyDescent="0.25">
      <c r="A98" s="94">
        <v>2043</v>
      </c>
      <c r="B98" s="163" t="e">
        <v>#N/A</v>
      </c>
      <c r="C98" s="168">
        <f>IF(Paris_Inflow!C98=0,#N/A,Paris_Inflow!C98)</f>
        <v>773.01519999999994</v>
      </c>
      <c r="D98" s="163" t="e">
        <v>#N/A</v>
      </c>
      <c r="E98" s="168">
        <f>IF(Paris_Inflow!D98=0,#N/A,Paris_Inflow!D98)</f>
        <v>158.97359999999998</v>
      </c>
      <c r="F98" s="163" t="e">
        <v>#N/A</v>
      </c>
      <c r="G98" s="168">
        <f>IF(Paris_Inflow!E98=0,#N/A,Paris_Inflow!E98)</f>
        <v>614.04160000000002</v>
      </c>
      <c r="H98" s="163" t="e">
        <v>#N/A</v>
      </c>
      <c r="I98" s="168">
        <f>IF(Paris_Inflow!F98=0,#N/A,Paris_Inflow!F98)</f>
        <v>71.603000000000009</v>
      </c>
      <c r="J98" s="163" t="e">
        <v>#N/A</v>
      </c>
      <c r="K98" s="168">
        <f>IF(Paris_Inflow!G98=0,#N/A,Paris_Inflow!G98)</f>
        <v>37.414999999999999</v>
      </c>
      <c r="L98" s="172" t="e">
        <v>#N/A</v>
      </c>
      <c r="M98" s="167">
        <f>IF(Paris_Outflow!C98=0,#N/A,Paris_Outflow!C98)</f>
        <v>678.06319999999994</v>
      </c>
      <c r="N98" s="172" t="e">
        <v>#N/A</v>
      </c>
      <c r="O98" s="167">
        <f>IF(Paris_Outflow!D98=0,#N/A,Paris_Outflow!D98)</f>
        <v>118.2456</v>
      </c>
      <c r="P98" s="172" t="e">
        <v>#N/A</v>
      </c>
      <c r="Q98" s="167">
        <f>IF(Paris_Outflow!E98=0,#N/A,Paris_Outflow!E98)</f>
        <v>559.81759999999997</v>
      </c>
      <c r="R98" s="172" t="e">
        <v>#N/A</v>
      </c>
      <c r="S98" s="167">
        <f>IF(Paris_Outflow!F98=0,#N/A,Paris_Outflow!F98)</f>
        <v>47.788000000000004</v>
      </c>
      <c r="T98" s="172" t="e">
        <v>#N/A</v>
      </c>
      <c r="U98" s="167">
        <f>IF(Paris_Outflow!G98=0,#N/A,Paris_Outflow!G98)</f>
        <v>34.619733333333336</v>
      </c>
      <c r="V98" s="249" t="e">
        <f>IF(Paris_Inflow!O98=0,#N/A,Paris_Inflow!O98)</f>
        <v>#N/A</v>
      </c>
      <c r="W98" s="249" t="e">
        <f>IF(Paris_Inflow!P98=0,#N/A,Paris_Inflow!P98)</f>
        <v>#N/A</v>
      </c>
      <c r="X98" s="249"/>
      <c r="Y98" s="252">
        <f>IF(Paris_Inflow!W98=0,#N/A,Paris_Inflow!W98)</f>
        <v>809.88802503999977</v>
      </c>
      <c r="Z98" s="252">
        <f>IF(Paris_Inflow!X98=0,#N/A,Paris_Inflow!X98)</f>
        <v>627.70124432586101</v>
      </c>
      <c r="AA98" s="252">
        <f>IF(Paris_Inflow!Y98=0,#N/A,Paris_Inflow!Y98)</f>
        <v>399.96776843318747</v>
      </c>
      <c r="AB98" s="252"/>
      <c r="AC98" s="253">
        <f>IF(Paris_Inflow!AA98=0,#N/A,(Paris_Inflow!AA98+Paris_Inflow!AE98)/2)</f>
        <v>431.45509158879401</v>
      </c>
      <c r="AD98" s="253">
        <f>IF(Paris_Inflow!AB98=0,#N/A,(Paris_Inflow!AB98+Paris_Inflow!AF98)/2)</f>
        <v>386.36386336204464</v>
      </c>
      <c r="AE98" s="253">
        <f>IF(Paris_Inflow!AC98=0,#N/A,(Paris_Inflow!AC98+Paris_Inflow!AG98)/2)</f>
        <v>329.999828078608</v>
      </c>
      <c r="AG98" s="240"/>
      <c r="AH98" s="240"/>
      <c r="AI98" s="240"/>
      <c r="AJ98" s="240"/>
      <c r="AK98" s="240"/>
      <c r="AL98" s="240"/>
      <c r="AM98" s="240"/>
      <c r="AN98" s="240"/>
      <c r="AP98" s="204"/>
      <c r="AQ98" s="204"/>
      <c r="AR98" s="204"/>
      <c r="AS98" s="204"/>
      <c r="AT98" s="204"/>
      <c r="AU98" s="204"/>
      <c r="AW98" s="204"/>
      <c r="AX98" s="204"/>
      <c r="AY98" s="204"/>
    </row>
    <row r="99" spans="1:51" x14ac:dyDescent="0.25">
      <c r="A99" s="94">
        <v>2044</v>
      </c>
      <c r="B99" s="163" t="e">
        <v>#N/A</v>
      </c>
      <c r="C99" s="168">
        <f>IF(Paris_Inflow!C99=0,#N/A,Paris_Inflow!C99)</f>
        <v>1440</v>
      </c>
      <c r="D99" s="163" t="e">
        <v>#N/A</v>
      </c>
      <c r="E99" s="168">
        <f>IF(Paris_Inflow!D99=0,#N/A,Paris_Inflow!D99)</f>
        <v>188.28</v>
      </c>
      <c r="F99" s="163" t="e">
        <v>#N/A</v>
      </c>
      <c r="G99" s="168">
        <f>IF(Paris_Inflow!E99=0,#N/A,Paris_Inflow!E99)</f>
        <v>1251.72</v>
      </c>
      <c r="H99" s="163" t="e">
        <v>#N/A</v>
      </c>
      <c r="I99" s="168">
        <f>IF(Paris_Inflow!F99=0,#N/A,Paris_Inflow!F99)</f>
        <v>75.314666666666668</v>
      </c>
      <c r="J99" s="163" t="e">
        <v>#N/A</v>
      </c>
      <c r="K99" s="168">
        <f>IF(Paris_Inflow!G99=0,#N/A,Paris_Inflow!G99)</f>
        <v>54.557333333333332</v>
      </c>
      <c r="L99" s="172" t="e">
        <v>#N/A</v>
      </c>
      <c r="M99" s="167">
        <f>IF(Paris_Outflow!C99=0,#N/A,Paris_Outflow!C99)</f>
        <v>1182.3800000000001</v>
      </c>
      <c r="N99" s="172" t="e">
        <v>#N/A</v>
      </c>
      <c r="O99" s="167">
        <f>IF(Paris_Outflow!D99=0,#N/A,Paris_Outflow!D99)</f>
        <v>19.350000000000001</v>
      </c>
      <c r="P99" s="172" t="e">
        <v>#N/A</v>
      </c>
      <c r="Q99" s="167">
        <f>IF(Paris_Outflow!E99=0,#N/A,Paris_Outflow!E99)</f>
        <v>1163.03</v>
      </c>
      <c r="R99" s="172" t="e">
        <v>#N/A</v>
      </c>
      <c r="S99" s="167">
        <f>IF(Paris_Outflow!F99=0,#N/A,Paris_Outflow!F99)</f>
        <v>49.853333333333339</v>
      </c>
      <c r="T99" s="172" t="e">
        <v>#N/A</v>
      </c>
      <c r="U99" s="167">
        <f>IF(Paris_Outflow!G99=0,#N/A,Paris_Outflow!G99)</f>
        <v>49.853333333333339</v>
      </c>
      <c r="V99" s="249" t="e">
        <f>IF(Paris_Inflow!O99=0,#N/A,Paris_Inflow!O99)</f>
        <v>#N/A</v>
      </c>
      <c r="W99" s="249" t="e">
        <f>IF(Paris_Inflow!P99=0,#N/A,Paris_Inflow!P99)</f>
        <v>#N/A</v>
      </c>
      <c r="X99" s="249"/>
      <c r="Y99" s="252">
        <f>IF(Paris_Inflow!W99=0,#N/A,Paris_Inflow!W99)</f>
        <v>1508.6879999999999</v>
      </c>
      <c r="Z99" s="252">
        <f>IF(Paris_Inflow!X99=0,#N/A,Paris_Inflow!X99)</f>
        <v>1166.8850873731328</v>
      </c>
      <c r="AA99" s="252">
        <f>IF(Paris_Inflow!Y99=0,#N/A,Paris_Inflow!Y99)</f>
        <v>739.63144658954911</v>
      </c>
      <c r="AB99" s="252"/>
      <c r="AC99" s="253">
        <f>IF(Paris_Inflow!AA99=0,#N/A,(Paris_Inflow!AA99+Paris_Inflow!AE99)/2)</f>
        <v>803.72977386196726</v>
      </c>
      <c r="AD99" s="253">
        <f>IF(Paris_Inflow!AB99=0,#N/A,(Paris_Inflow!AB99+Paris_Inflow!AF99)/2)</f>
        <v>719.1335529868179</v>
      </c>
      <c r="AE99" s="253">
        <f>IF(Paris_Inflow!AC99=0,#N/A,(Paris_Inflow!AC99+Paris_Inflow!AG99)/2)</f>
        <v>613.38827689288087</v>
      </c>
      <c r="AG99" s="240"/>
      <c r="AH99" s="240"/>
      <c r="AI99" s="240"/>
      <c r="AJ99" s="240"/>
      <c r="AK99" s="240"/>
      <c r="AL99" s="240"/>
      <c r="AM99" s="240"/>
      <c r="AN99" s="240"/>
      <c r="AP99" s="204"/>
      <c r="AQ99" s="204"/>
      <c r="AR99" s="204"/>
      <c r="AS99" s="204"/>
      <c r="AT99" s="204"/>
      <c r="AU99" s="204"/>
      <c r="AW99" s="204"/>
      <c r="AX99" s="204"/>
      <c r="AY99" s="204"/>
    </row>
    <row r="100" spans="1:51" x14ac:dyDescent="0.25">
      <c r="A100" s="94">
        <v>2045</v>
      </c>
      <c r="B100" s="163" t="e">
        <v>#N/A</v>
      </c>
      <c r="C100" s="168">
        <f>IF(Paris_Inflow!C100=0,#N/A,Paris_Inflow!C100)</f>
        <v>1271.0394000000001</v>
      </c>
      <c r="D100" s="163" t="e">
        <v>#N/A</v>
      </c>
      <c r="E100" s="168" t="e">
        <f>IF(Paris_Inflow!D100=0,#N/A,Paris_Inflow!D100)</f>
        <v>#N/A</v>
      </c>
      <c r="F100" s="163" t="e">
        <v>#N/A</v>
      </c>
      <c r="G100" s="168">
        <f>IF(Paris_Inflow!E100=0,#N/A,Paris_Inflow!E100)</f>
        <v>1271.0394000000001</v>
      </c>
      <c r="H100" s="163" t="e">
        <v>#N/A</v>
      </c>
      <c r="I100" s="168">
        <f>IF(Paris_Inflow!F100=0,#N/A,Paris_Inflow!F100)</f>
        <v>36.875280000000004</v>
      </c>
      <c r="J100" s="163" t="e">
        <v>#N/A</v>
      </c>
      <c r="K100" s="168">
        <f>IF(Paris_Inflow!G100=0,#N/A,Paris_Inflow!G100)</f>
        <v>36.875280000000004</v>
      </c>
      <c r="L100" s="172" t="e">
        <v>#N/A</v>
      </c>
      <c r="M100" s="167">
        <f>IF(Paris_Outflow!C100=0,#N/A,Paris_Outflow!C100)</f>
        <v>1130.5197000000001</v>
      </c>
      <c r="N100" s="172" t="e">
        <v>#N/A</v>
      </c>
      <c r="O100" s="167">
        <f>IF(Paris_Outflow!D100=0,#N/A,Paris_Outflow!D100)</f>
        <v>140.5197</v>
      </c>
      <c r="P100" s="172" t="e">
        <v>#N/A</v>
      </c>
      <c r="Q100" s="167">
        <f>IF(Paris_Outflow!E100=0,#N/A,Paris_Outflow!E100)</f>
        <v>990</v>
      </c>
      <c r="R100" s="172" t="e">
        <v>#N/A</v>
      </c>
      <c r="S100" s="167">
        <f>IF(Paris_Outflow!F100=0,#N/A,Paris_Outflow!F100)</f>
        <v>36.875280000000004</v>
      </c>
      <c r="T100" s="172" t="e">
        <v>#N/A</v>
      </c>
      <c r="U100" s="167">
        <f>IF(Paris_Outflow!G100=0,#N/A,Paris_Outflow!G100)</f>
        <v>17.625</v>
      </c>
      <c r="V100" s="249" t="e">
        <f>IF(Paris_Inflow!O100=0,#N/A,Paris_Inflow!O100)</f>
        <v>#N/A</v>
      </c>
      <c r="W100" s="249" t="e">
        <f>IF(Paris_Inflow!P100=0,#N/A,Paris_Inflow!P100)</f>
        <v>#N/A</v>
      </c>
      <c r="X100" s="249"/>
      <c r="Y100" s="252">
        <f>IF(Paris_Inflow!W100=0,#N/A,Paris_Inflow!W100)</f>
        <v>1331.6679793799999</v>
      </c>
      <c r="Z100" s="252">
        <f>IF(Paris_Inflow!X100=0,#N/A,Paris_Inflow!X100)</f>
        <v>1028.6601739135422</v>
      </c>
      <c r="AA100" s="252">
        <f>IF(Paris_Inflow!Y100=0,#N/A,Paris_Inflow!Y100)</f>
        <v>649.90041708046977</v>
      </c>
      <c r="AB100" s="252"/>
      <c r="AC100" s="253">
        <f>IF(Paris_Inflow!AA100=0,#N/A,(Paris_Inflow!AA100+Paris_Inflow!AE100)/2)</f>
        <v>709.42514550809074</v>
      </c>
      <c r="AD100" s="253">
        <f>IF(Paris_Inflow!AB100=0,#N/A,(Paris_Inflow!AB100+Paris_Inflow!AF100)/2)</f>
        <v>634.43071365514243</v>
      </c>
      <c r="AE100" s="253">
        <f>IF(Paris_Inflow!AC100=0,#N/A,(Paris_Inflow!AC100+Paris_Inflow!AG100)/2)</f>
        <v>540.68767383895715</v>
      </c>
      <c r="AG100" s="222">
        <f>AVERAGE(Paris_Inflow!B100:B109)</f>
        <v>30148.260999999999</v>
      </c>
      <c r="AH100" s="222">
        <f>AVERAGE(Paris_Inflow!C100:C109)</f>
        <v>1191.0548009999998</v>
      </c>
      <c r="AI100" s="223">
        <f>AVERAGE(Paris_Outflow!B100:B109)</f>
        <v>55005.717000000004</v>
      </c>
      <c r="AJ100" s="223">
        <f>AVERAGE(Paris_Outflow!C100:C109)</f>
        <v>1203.2670279999998</v>
      </c>
      <c r="AK100" s="222">
        <f>AVERAGE(Paris_Inflow!F100:F109)</f>
        <v>68.227787153439152</v>
      </c>
      <c r="AL100" s="223">
        <f>AVERAGE(Paris_Outflow!F100:F109)</f>
        <v>65.239535871387858</v>
      </c>
      <c r="AM100" s="222">
        <f>AVERAGE(Paris_Inflow!G100:G109)</f>
        <v>46.232795830687834</v>
      </c>
      <c r="AN100" s="223">
        <f>AVERAGE(Paris_Outflow!G100:G109)</f>
        <v>42.42784116402116</v>
      </c>
      <c r="AP100" s="208">
        <f>AVERAGE(Paris_Outflow!W101:W110)</f>
        <v>-68.268903479999992</v>
      </c>
      <c r="AQ100" s="208">
        <f>AVERAGE(Paris_Outflow!X101:X110)</f>
        <v>-341.13171617492469</v>
      </c>
      <c r="AR100" s="208">
        <f>AVERAGE(Paris_Outflow!Y101:Y110)</f>
        <v>-682.21023204358039</v>
      </c>
      <c r="AS100" s="208">
        <f>AVERAGE(Paris_Outflow!Z101:Z110)</f>
        <v>-17.067225869999998</v>
      </c>
      <c r="AT100" s="208">
        <f>AVERAGE(Paris_Outflow!AA101:AA110)</f>
        <v>-85.282929043731173</v>
      </c>
      <c r="AU100" s="208">
        <f>AVERAGE(Paris_Outflow!AB101:AB110)</f>
        <v>-170.5525580108951</v>
      </c>
      <c r="AW100" s="208">
        <f>AVERAGE(Paris_Outflow!AD101:AD110)</f>
        <v>-3.2427729152999993</v>
      </c>
      <c r="AX100" s="208">
        <f>AVERAGE(Paris_Outflow!AE101:AE110)</f>
        <v>-70.776319057293875</v>
      </c>
      <c r="AY100" s="208">
        <f>AVERAGE(Paris_Outflow!AF101:AF110)</f>
        <v>-155.19325173478617</v>
      </c>
    </row>
    <row r="101" spans="1:51" x14ac:dyDescent="0.25">
      <c r="A101" s="94">
        <v>2046</v>
      </c>
      <c r="B101" s="163" t="e">
        <v>#N/A</v>
      </c>
      <c r="C101" s="168">
        <f>IF(Paris_Inflow!C101=0,#N/A,Paris_Inflow!C101)</f>
        <v>430.58735999999993</v>
      </c>
      <c r="D101" s="163" t="e">
        <v>#N/A</v>
      </c>
      <c r="E101" s="168" t="e">
        <f>IF(Paris_Inflow!D101=0,#N/A,Paris_Inflow!D101)</f>
        <v>#N/A</v>
      </c>
      <c r="F101" s="163" t="e">
        <v>#N/A</v>
      </c>
      <c r="G101" s="168">
        <f>IF(Paris_Inflow!E101=0,#N/A,Paris_Inflow!E101)</f>
        <v>430.58735999999993</v>
      </c>
      <c r="H101" s="163" t="e">
        <v>#N/A</v>
      </c>
      <c r="I101" s="168">
        <f>IF(Paris_Inflow!F101=0,#N/A,Paris_Inflow!F101)</f>
        <v>45.430199999999999</v>
      </c>
      <c r="J101" s="163" t="e">
        <v>#N/A</v>
      </c>
      <c r="K101" s="168">
        <f>IF(Paris_Inflow!G101=0,#N/A,Paris_Inflow!G101)</f>
        <v>33.061800000000005</v>
      </c>
      <c r="L101" s="172" t="e">
        <v>#N/A</v>
      </c>
      <c r="M101" s="167">
        <f>IF(Paris_Outflow!C101=0,#N/A,Paris_Outflow!C101)</f>
        <v>517.49522999999999</v>
      </c>
      <c r="N101" s="172" t="e">
        <v>#N/A</v>
      </c>
      <c r="O101" s="167">
        <f>IF(Paris_Outflow!D101=0,#N/A,Paris_Outflow!D101)</f>
        <v>86.907870000000003</v>
      </c>
      <c r="P101" s="172" t="e">
        <v>#N/A</v>
      </c>
      <c r="Q101" s="167">
        <f>IF(Paris_Outflow!E101=0,#N/A,Paris_Outflow!E101)</f>
        <v>430.58735999999993</v>
      </c>
      <c r="R101" s="172" t="e">
        <v>#N/A</v>
      </c>
      <c r="S101" s="167">
        <f>IF(Paris_Outflow!F101=0,#N/A,Paris_Outflow!F101)</f>
        <v>45.430199999999999</v>
      </c>
      <c r="T101" s="172" t="e">
        <v>#N/A</v>
      </c>
      <c r="U101" s="167">
        <f>IF(Paris_Outflow!G101=0,#N/A,Paris_Outflow!G101)</f>
        <v>29.086800000000004</v>
      </c>
      <c r="V101" s="249" t="e">
        <f>IF(Paris_Inflow!O101=0,#N/A,Paris_Inflow!O101)</f>
        <v>#N/A</v>
      </c>
      <c r="W101" s="249" t="e">
        <f>IF(Paris_Inflow!P101=0,#N/A,Paris_Inflow!P101)</f>
        <v>#N/A</v>
      </c>
      <c r="X101" s="249"/>
      <c r="Y101" s="252">
        <f>IF(Paris_Inflow!W101=0,#N/A,Paris_Inflow!W101)</f>
        <v>451.12637707199985</v>
      </c>
      <c r="Z101" s="252">
        <f>IF(Paris_Inflow!X101=0,#N/A,Paris_Inflow!X101)</f>
        <v>348.20602263694173</v>
      </c>
      <c r="AA101" s="252">
        <f>IF(Paris_Inflow!Y101=0,#N/A,Paris_Inflow!Y101)</f>
        <v>219.55557959311898</v>
      </c>
      <c r="AB101" s="252"/>
      <c r="AC101" s="253">
        <f>IF(Paris_Inflow!AA101=0,#N/A,(Paris_Inflow!AA101+Paris_Inflow!AE101)/2)</f>
        <v>240.33047325043157</v>
      </c>
      <c r="AD101" s="253">
        <f>IF(Paris_Inflow!AB101=0,#N/A,(Paris_Inflow!AB101+Paris_Inflow!AF101)/2)</f>
        <v>214.85768552775471</v>
      </c>
      <c r="AE101" s="253">
        <f>IF(Paris_Inflow!AC101=0,#N/A,(Paris_Inflow!AC101+Paris_Inflow!AG101)/2)</f>
        <v>183.01670087440857</v>
      </c>
      <c r="AG101" s="240"/>
      <c r="AH101" s="240"/>
      <c r="AI101" s="240"/>
      <c r="AJ101" s="240"/>
      <c r="AK101" s="240"/>
      <c r="AL101" s="240"/>
      <c r="AM101" s="240"/>
      <c r="AN101" s="240"/>
      <c r="AP101" s="204"/>
      <c r="AQ101" s="204"/>
      <c r="AR101" s="204"/>
      <c r="AS101" s="204"/>
      <c r="AT101" s="204"/>
      <c r="AU101" s="204"/>
      <c r="AW101" s="204"/>
      <c r="AX101" s="204"/>
      <c r="AY101" s="204"/>
    </row>
    <row r="102" spans="1:51" x14ac:dyDescent="0.25">
      <c r="A102" s="94">
        <v>2047</v>
      </c>
      <c r="B102" s="163" t="e">
        <v>#N/A</v>
      </c>
      <c r="C102" s="168">
        <f>IF(Paris_Inflow!C102=0,#N/A,Paris_Inflow!C102)</f>
        <v>718.91199999999992</v>
      </c>
      <c r="D102" s="163" t="e">
        <v>#N/A</v>
      </c>
      <c r="E102" s="168">
        <f>IF(Paris_Inflow!D102=0,#N/A,Paris_Inflow!D102)</f>
        <v>79.38</v>
      </c>
      <c r="F102" s="163" t="e">
        <v>#N/A</v>
      </c>
      <c r="G102" s="168">
        <f>IF(Paris_Inflow!E102=0,#N/A,Paris_Inflow!E102)</f>
        <v>639.53199999999993</v>
      </c>
      <c r="H102" s="163" t="e">
        <v>#N/A</v>
      </c>
      <c r="I102" s="168">
        <f>IF(Paris_Inflow!F102=0,#N/A,Paris_Inflow!F102)</f>
        <v>48.974533333333341</v>
      </c>
      <c r="J102" s="163" t="e">
        <v>#N/A</v>
      </c>
      <c r="K102" s="168">
        <f>IF(Paris_Inflow!G102=0,#N/A,Paris_Inflow!G102)</f>
        <v>40.304533333333339</v>
      </c>
      <c r="L102" s="172" t="e">
        <v>#N/A</v>
      </c>
      <c r="M102" s="167">
        <f>IF(Paris_Outflow!C102=0,#N/A,Paris_Outflow!C102)</f>
        <v>672.59749999999997</v>
      </c>
      <c r="N102" s="172" t="e">
        <v>#N/A</v>
      </c>
      <c r="O102" s="167">
        <f>IF(Paris_Outflow!D102=0,#N/A,Paris_Outflow!D102)</f>
        <v>29.4375</v>
      </c>
      <c r="P102" s="172" t="e">
        <v>#N/A</v>
      </c>
      <c r="Q102" s="167">
        <f>IF(Paris_Outflow!E102=0,#N/A,Paris_Outflow!E102)</f>
        <v>643.16</v>
      </c>
      <c r="R102" s="172" t="e">
        <v>#N/A</v>
      </c>
      <c r="S102" s="167">
        <f>IF(Paris_Outflow!F102=0,#N/A,Paris_Outflow!F102)</f>
        <v>42.804020512820507</v>
      </c>
      <c r="T102" s="172" t="e">
        <v>#N/A</v>
      </c>
      <c r="U102" s="167">
        <f>IF(Paris_Outflow!G102=0,#N/A,Paris_Outflow!G102)</f>
        <v>35.557866666666669</v>
      </c>
      <c r="V102" s="249" t="e">
        <f>IF(Paris_Inflow!O102=0,#N/A,Paris_Inflow!O102)</f>
        <v>#N/A</v>
      </c>
      <c r="W102" s="249" t="e">
        <f>IF(Paris_Inflow!P102=0,#N/A,Paris_Inflow!P102)</f>
        <v>#N/A</v>
      </c>
      <c r="X102" s="249"/>
      <c r="Y102" s="252">
        <f>IF(Paris_Inflow!W102=0,#N/A,Paris_Inflow!W102)</f>
        <v>753.20410239999978</v>
      </c>
      <c r="Z102" s="252">
        <f>IF(Paris_Inflow!X102=0,#N/A,Paris_Inflow!X102)</f>
        <v>581.09184603010772</v>
      </c>
      <c r="AA102" s="252">
        <f>IF(Paris_Inflow!Y102=0,#N/A,Paris_Inflow!Y102)</f>
        <v>365.95152556774252</v>
      </c>
      <c r="AB102" s="252"/>
      <c r="AC102" s="253">
        <f>IF(Paris_Inflow!AA102=0,#N/A,(Paris_Inflow!AA102+Paris_Inflow!AE102)/2)</f>
        <v>401.25762443517681</v>
      </c>
      <c r="AD102" s="253">
        <f>IF(Paris_Inflow!AB102=0,#N/A,(Paris_Inflow!AB102+Paris_Inflow!AF102)/2)</f>
        <v>358.65984098362856</v>
      </c>
      <c r="AE102" s="253">
        <f>IF(Paris_Inflow!AC102=0,#N/A,(Paris_Inflow!AC102+Paris_Inflow!AG102)/2)</f>
        <v>305.41261166919315</v>
      </c>
      <c r="AG102" s="240"/>
      <c r="AH102" s="240"/>
      <c r="AI102" s="240"/>
      <c r="AJ102" s="240"/>
      <c r="AK102" s="240"/>
      <c r="AL102" s="240"/>
      <c r="AM102" s="240"/>
      <c r="AN102" s="240"/>
      <c r="AP102" s="204"/>
      <c r="AQ102" s="204"/>
      <c r="AR102" s="204"/>
      <c r="AS102" s="204"/>
      <c r="AT102" s="204"/>
      <c r="AU102" s="204"/>
      <c r="AW102" s="204"/>
      <c r="AX102" s="204"/>
      <c r="AY102" s="204"/>
    </row>
    <row r="103" spans="1:51" x14ac:dyDescent="0.25">
      <c r="A103" s="94">
        <v>2048</v>
      </c>
      <c r="B103" s="163" t="e">
        <v>#N/A</v>
      </c>
      <c r="C103" s="168">
        <f>IF(Paris_Inflow!C103=0,#N/A,Paris_Inflow!C103)</f>
        <v>1902.4649999999999</v>
      </c>
      <c r="D103" s="163" t="e">
        <v>#N/A</v>
      </c>
      <c r="E103" s="168">
        <f>IF(Paris_Inflow!D103=0,#N/A,Paris_Inflow!D103)</f>
        <v>135</v>
      </c>
      <c r="F103" s="163" t="e">
        <v>#N/A</v>
      </c>
      <c r="G103" s="168">
        <f>IF(Paris_Inflow!E103=0,#N/A,Paris_Inflow!E103)</f>
        <v>1767.4649999999999</v>
      </c>
      <c r="H103" s="163" t="e">
        <v>#N/A</v>
      </c>
      <c r="I103" s="168">
        <f>IF(Paris_Inflow!F103=0,#N/A,Paris_Inflow!F103)</f>
        <v>137.2839619047619</v>
      </c>
      <c r="J103" s="163" t="e">
        <v>#N/A</v>
      </c>
      <c r="K103" s="168">
        <f>IF(Paris_Inflow!G103=0,#N/A,Paris_Inflow!G103)</f>
        <v>84.560152380952388</v>
      </c>
      <c r="L103" s="172" t="e">
        <v>#N/A</v>
      </c>
      <c r="M103" s="167">
        <f>IF(Paris_Outflow!C103=0,#N/A,Paris_Outflow!C103)</f>
        <v>2118.4650000000001</v>
      </c>
      <c r="N103" s="172" t="e">
        <v>#N/A</v>
      </c>
      <c r="O103" s="167">
        <f>IF(Paris_Outflow!D103=0,#N/A,Paris_Outflow!D103)</f>
        <v>351</v>
      </c>
      <c r="P103" s="172" t="e">
        <v>#N/A</v>
      </c>
      <c r="Q103" s="167">
        <f>IF(Paris_Outflow!E103=0,#N/A,Paris_Outflow!E103)</f>
        <v>1767.4649999999999</v>
      </c>
      <c r="R103" s="172" t="e">
        <v>#N/A</v>
      </c>
      <c r="S103" s="167">
        <f>IF(Paris_Outflow!F103=0,#N/A,Paris_Outflow!F103)</f>
        <v>137.2839619047619</v>
      </c>
      <c r="T103" s="172" t="e">
        <v>#N/A</v>
      </c>
      <c r="U103" s="167">
        <f>IF(Paris_Outflow!G103=0,#N/A,Paris_Outflow!G103)</f>
        <v>84.560152380952388</v>
      </c>
      <c r="V103" s="249" t="e">
        <f>IF(Paris_Inflow!O103=0,#N/A,Paris_Inflow!O103)</f>
        <v>#N/A</v>
      </c>
      <c r="W103" s="249" t="e">
        <f>IF(Paris_Inflow!P103=0,#N/A,Paris_Inflow!P103)</f>
        <v>#N/A</v>
      </c>
      <c r="X103" s="249"/>
      <c r="Y103" s="252">
        <f>IF(Paris_Inflow!W103=0,#N/A,Paris_Inflow!W103)</f>
        <v>1993.2125804999996</v>
      </c>
      <c r="Z103" s="252">
        <f>IF(Paris_Inflow!X103=0,#N/A,Paris_Inflow!X103)</f>
        <v>1537.306407708495</v>
      </c>
      <c r="AA103" s="252">
        <f>IF(Paris_Inflow!Y103=0,#N/A,Paris_Inflow!Y103)</f>
        <v>967.423691719114</v>
      </c>
      <c r="AB103" s="252"/>
      <c r="AC103" s="253">
        <f>IF(Paris_Inflow!AA103=0,#N/A,(Paris_Inflow!AA103+Paris_Inflow!AE103)/2)</f>
        <v>1061.8526140488248</v>
      </c>
      <c r="AD103" s="253">
        <f>IF(Paris_Inflow!AB103=0,#N/A,(Paris_Inflow!AB103+Paris_Inflow!AF103)/2)</f>
        <v>949.01583628292747</v>
      </c>
      <c r="AE103" s="253">
        <f>IF(Paris_Inflow!AC103=0,#N/A,(Paris_Inflow!AC103+Paris_Inflow!AG103)/2)</f>
        <v>807.96986407555562</v>
      </c>
      <c r="AG103" s="240"/>
      <c r="AH103" s="240"/>
      <c r="AI103" s="240"/>
      <c r="AJ103" s="240"/>
      <c r="AK103" s="240"/>
      <c r="AL103" s="240"/>
      <c r="AM103" s="240"/>
      <c r="AN103" s="240"/>
      <c r="AP103" s="204"/>
      <c r="AQ103" s="204"/>
      <c r="AR103" s="204"/>
      <c r="AS103" s="204"/>
      <c r="AT103" s="204"/>
      <c r="AU103" s="204"/>
      <c r="AW103" s="204"/>
      <c r="AX103" s="204"/>
      <c r="AY103" s="204"/>
    </row>
    <row r="104" spans="1:51" x14ac:dyDescent="0.25">
      <c r="A104" s="94">
        <v>2049</v>
      </c>
      <c r="B104" s="163" t="e">
        <v>#N/A</v>
      </c>
      <c r="C104" s="168">
        <f>IF(Paris_Inflow!C104=0,#N/A,Paris_Inflow!C104)</f>
        <v>221.94</v>
      </c>
      <c r="D104" s="163" t="e">
        <v>#N/A</v>
      </c>
      <c r="E104" s="168" t="e">
        <f>IF(Paris_Inflow!D104=0,#N/A,Paris_Inflow!D104)</f>
        <v>#N/A</v>
      </c>
      <c r="F104" s="163" t="e">
        <v>#N/A</v>
      </c>
      <c r="G104" s="168">
        <f>IF(Paris_Inflow!E104=0,#N/A,Paris_Inflow!E104)</f>
        <v>221.94</v>
      </c>
      <c r="H104" s="163" t="e">
        <v>#N/A</v>
      </c>
      <c r="I104" s="168">
        <f>IF(Paris_Inflow!F104=0,#N/A,Paris_Inflow!F104)</f>
        <v>10.521600000000001</v>
      </c>
      <c r="J104" s="163" t="e">
        <v>#N/A</v>
      </c>
      <c r="K104" s="168">
        <f>IF(Paris_Inflow!G104=0,#N/A,Paris_Inflow!G104)</f>
        <v>10.521600000000001</v>
      </c>
      <c r="L104" s="172" t="e">
        <v>#N/A</v>
      </c>
      <c r="M104" s="167">
        <f>IF(Paris_Outflow!C104=0,#N/A,Paris_Outflow!C104)</f>
        <v>221.94</v>
      </c>
      <c r="N104" s="172" t="e">
        <v>#N/A</v>
      </c>
      <c r="O104" s="167" t="e">
        <f>IF(Paris_Outflow!D104=0,#N/A,Paris_Outflow!D104)</f>
        <v>#N/A</v>
      </c>
      <c r="P104" s="172" t="e">
        <v>#N/A</v>
      </c>
      <c r="Q104" s="167">
        <f>IF(Paris_Outflow!E104=0,#N/A,Paris_Outflow!E104)</f>
        <v>221.94</v>
      </c>
      <c r="R104" s="172" t="e">
        <v>#N/A</v>
      </c>
      <c r="S104" s="167">
        <f>IF(Paris_Outflow!F104=0,#N/A,Paris_Outflow!F104)</f>
        <v>10.521600000000001</v>
      </c>
      <c r="T104" s="172" t="e">
        <v>#N/A</v>
      </c>
      <c r="U104" s="167">
        <f>IF(Paris_Outflow!G104=0,#N/A,Paris_Outflow!G104)</f>
        <v>10.521600000000001</v>
      </c>
      <c r="V104" s="249" t="e">
        <f>IF(Paris_Inflow!O104=0,#N/A,Paris_Inflow!O104)</f>
        <v>#N/A</v>
      </c>
      <c r="W104" s="249" t="e">
        <f>IF(Paris_Inflow!P104=0,#N/A,Paris_Inflow!P104)</f>
        <v>#N/A</v>
      </c>
      <c r="X104" s="249"/>
      <c r="Y104" s="252">
        <f>IF(Paris_Inflow!W104=0,#N/A,Paris_Inflow!W104)</f>
        <v>232.52653799999996</v>
      </c>
      <c r="Z104" s="252">
        <f>IF(Paris_Inflow!X104=0,#N/A,Paris_Inflow!X104)</f>
        <v>179.30946568850044</v>
      </c>
      <c r="AA104" s="252">
        <f>IF(Paris_Inflow!Y104=0,#N/A,Paris_Inflow!Y104)</f>
        <v>112.78812529912602</v>
      </c>
      <c r="AB104" s="252"/>
      <c r="AC104" s="253">
        <f>IF(Paris_Inflow!AA104=0,#N/A,(Paris_Inflow!AA104+Paris_Inflow!AE104)/2)</f>
        <v>123.87485139647571</v>
      </c>
      <c r="AD104" s="253">
        <f>IF(Paris_Inflow!AB104=0,#N/A,(Paris_Inflow!AB104+Paris_Inflow!AF104)/2)</f>
        <v>110.7036259993796</v>
      </c>
      <c r="AE104" s="253">
        <f>IF(Paris_Inflow!AC104=0,#N/A,(Paris_Inflow!AC104+Paris_Inflow!AG104)/2)</f>
        <v>94.239594253009429</v>
      </c>
      <c r="AG104" s="240"/>
      <c r="AH104" s="240"/>
      <c r="AI104" s="240"/>
      <c r="AJ104" s="240"/>
      <c r="AK104" s="240"/>
      <c r="AL104" s="240"/>
      <c r="AM104" s="240"/>
      <c r="AN104" s="240"/>
      <c r="AP104" s="204"/>
      <c r="AQ104" s="204"/>
      <c r="AR104" s="204"/>
      <c r="AS104" s="204"/>
      <c r="AT104" s="204"/>
      <c r="AU104" s="204"/>
      <c r="AW104" s="204"/>
      <c r="AX104" s="204"/>
      <c r="AY104" s="204"/>
    </row>
    <row r="105" spans="1:51" x14ac:dyDescent="0.25">
      <c r="A105" s="94">
        <v>2050</v>
      </c>
      <c r="B105" s="163" t="e">
        <v>#N/A</v>
      </c>
      <c r="C105" s="168">
        <f>IF(Paris_Inflow!C105=0,#N/A,Paris_Inflow!C105)</f>
        <v>852.89715000000001</v>
      </c>
      <c r="D105" s="163" t="e">
        <v>#N/A</v>
      </c>
      <c r="E105" s="168" t="e">
        <f>IF(Paris_Inflow!D105=0,#N/A,Paris_Inflow!D105)</f>
        <v>#N/A</v>
      </c>
      <c r="F105" s="163" t="e">
        <v>#N/A</v>
      </c>
      <c r="G105" s="168">
        <f>IF(Paris_Inflow!E105=0,#N/A,Paris_Inflow!E105)</f>
        <v>852.89715000000001</v>
      </c>
      <c r="H105" s="163" t="e">
        <v>#N/A</v>
      </c>
      <c r="I105" s="168">
        <f>IF(Paris_Inflow!F105=0,#N/A,Paris_Inflow!F105)</f>
        <v>79.408000000000001</v>
      </c>
      <c r="J105" s="163" t="e">
        <v>#N/A</v>
      </c>
      <c r="K105" s="168">
        <f>IF(Paris_Inflow!G105=0,#N/A,Paris_Inflow!G105)</f>
        <v>47.404000000000003</v>
      </c>
      <c r="L105" s="172" t="e">
        <v>#N/A</v>
      </c>
      <c r="M105" s="167">
        <f>IF(Paris_Outflow!C105=0,#N/A,Paris_Outflow!C105)</f>
        <v>982.51334999999995</v>
      </c>
      <c r="N105" s="172" t="e">
        <v>#N/A</v>
      </c>
      <c r="O105" s="167">
        <f>IF(Paris_Outflow!D105=0,#N/A,Paris_Outflow!D105)</f>
        <v>129.61619999999999</v>
      </c>
      <c r="P105" s="172" t="e">
        <v>#N/A</v>
      </c>
      <c r="Q105" s="167">
        <f>IF(Paris_Outflow!E105=0,#N/A,Paris_Outflow!E105)</f>
        <v>852.89715000000001</v>
      </c>
      <c r="R105" s="172" t="e">
        <v>#N/A</v>
      </c>
      <c r="S105" s="167">
        <f>IF(Paris_Outflow!F105=0,#N/A,Paris_Outflow!F105)</f>
        <v>79.408000000000001</v>
      </c>
      <c r="T105" s="172" t="e">
        <v>#N/A</v>
      </c>
      <c r="U105" s="167">
        <f>IF(Paris_Outflow!G105=0,#N/A,Paris_Outflow!G105)</f>
        <v>47.404000000000003</v>
      </c>
      <c r="V105" s="249" t="e">
        <f>IF(Paris_Inflow!O105=0,#N/A,Paris_Inflow!O105)</f>
        <v>#N/A</v>
      </c>
      <c r="W105" s="249" t="e">
        <f>IF(Paris_Inflow!P105=0,#N/A,Paris_Inflow!P105)</f>
        <v>#N/A</v>
      </c>
      <c r="X105" s="249"/>
      <c r="Y105" s="252">
        <f>IF(Paris_Inflow!W105=0,#N/A,Paris_Inflow!W105)</f>
        <v>893.58034405499984</v>
      </c>
      <c r="Z105" s="252">
        <f>IF(Paris_Inflow!X105=0,#N/A,Paris_Inflow!X105)</f>
        <v>688.99817925276307</v>
      </c>
      <c r="AA105" s="252">
        <f>IF(Paris_Inflow!Y105=0,#N/A,Paris_Inflow!Y105)</f>
        <v>433.27047324996698</v>
      </c>
      <c r="AB105" s="252"/>
      <c r="AC105" s="253">
        <f>IF(Paris_Inflow!AA105=0,#N/A,(Paris_Inflow!AA105+Paris_Inflow!AE105)/2)</f>
        <v>476.04085659515033</v>
      </c>
      <c r="AD105" s="253">
        <f>IF(Paris_Inflow!AB105=0,#N/A,(Paris_Inflow!AB105+Paris_Inflow!AF105)/2)</f>
        <v>425.40677080659674</v>
      </c>
      <c r="AE105" s="253">
        <f>IF(Paris_Inflow!AC105=0,#N/A,(Paris_Inflow!AC105+Paris_Inflow!AG105)/2)</f>
        <v>362.11416357090468</v>
      </c>
      <c r="AG105" s="240"/>
      <c r="AH105" s="240"/>
      <c r="AI105" s="240"/>
      <c r="AJ105" s="240"/>
      <c r="AK105" s="240"/>
      <c r="AL105" s="240"/>
      <c r="AM105" s="240"/>
      <c r="AN105" s="240"/>
      <c r="AP105" s="204"/>
      <c r="AQ105" s="204"/>
      <c r="AR105" s="204"/>
      <c r="AS105" s="204"/>
      <c r="AT105" s="204"/>
      <c r="AU105" s="204"/>
      <c r="AW105" s="204"/>
      <c r="AX105" s="204"/>
      <c r="AY105" s="204"/>
    </row>
    <row r="106" spans="1:51" x14ac:dyDescent="0.25">
      <c r="A106" s="94">
        <v>2051</v>
      </c>
      <c r="B106" s="163" t="e">
        <v>#N/A</v>
      </c>
      <c r="C106" s="168">
        <f>IF(Paris_Inflow!C106=0,#N/A,Paris_Inflow!C106)</f>
        <v>1966.4999999999998</v>
      </c>
      <c r="D106" s="163" t="e">
        <v>#N/A</v>
      </c>
      <c r="E106" s="168">
        <f>IF(Paris_Inflow!D106=0,#N/A,Paris_Inflow!D106)</f>
        <v>675</v>
      </c>
      <c r="F106" s="163" t="e">
        <v>#N/A</v>
      </c>
      <c r="G106" s="168">
        <f>IF(Paris_Inflow!E106=0,#N/A,Paris_Inflow!E106)</f>
        <v>1291.4999999999998</v>
      </c>
      <c r="H106" s="163" t="e">
        <v>#N/A</v>
      </c>
      <c r="I106" s="168">
        <f>IF(Paris_Inflow!F106=0,#N/A,Paris_Inflow!F106)</f>
        <v>119.05185185185184</v>
      </c>
      <c r="J106" s="163" t="e">
        <v>#N/A</v>
      </c>
      <c r="K106" s="168">
        <f>IF(Paris_Inflow!G106=0,#N/A,Paris_Inflow!G106)</f>
        <v>59.525925925925918</v>
      </c>
      <c r="L106" s="172" t="e">
        <v>#N/A</v>
      </c>
      <c r="M106" s="167">
        <f>IF(Paris_Outflow!C106=0,#N/A,Paris_Outflow!C106)</f>
        <v>1966.4999999999998</v>
      </c>
      <c r="N106" s="172" t="e">
        <v>#N/A</v>
      </c>
      <c r="O106" s="167">
        <f>IF(Paris_Outflow!D106=0,#N/A,Paris_Outflow!D106)</f>
        <v>675</v>
      </c>
      <c r="P106" s="172" t="e">
        <v>#N/A</v>
      </c>
      <c r="Q106" s="167">
        <f>IF(Paris_Outflow!E106=0,#N/A,Paris_Outflow!E106)</f>
        <v>1291.4999999999998</v>
      </c>
      <c r="R106" s="172" t="e">
        <v>#N/A</v>
      </c>
      <c r="S106" s="167">
        <f>IF(Paris_Outflow!F106=0,#N/A,Paris_Outflow!F106)</f>
        <v>119.05185185185184</v>
      </c>
      <c r="T106" s="172" t="e">
        <v>#N/A</v>
      </c>
      <c r="U106" s="167">
        <f>IF(Paris_Outflow!G106=0,#N/A,Paris_Outflow!G106)</f>
        <v>59.525925925925918</v>
      </c>
      <c r="V106" s="249" t="e">
        <f>IF(Paris_Inflow!O106=0,#N/A,Paris_Inflow!O106)</f>
        <v>#N/A</v>
      </c>
      <c r="W106" s="249" t="e">
        <f>IF(Paris_Inflow!P106=0,#N/A,Paris_Inflow!P106)</f>
        <v>#N/A</v>
      </c>
      <c r="X106" s="249"/>
      <c r="Y106" s="252">
        <f>IF(Paris_Inflow!W106=0,#N/A,Paris_Inflow!W106)</f>
        <v>2060.3020499999993</v>
      </c>
      <c r="Z106" s="252">
        <f>IF(Paris_Inflow!X106=0,#N/A,Paris_Inflow!X106)</f>
        <v>1588.5003218475747</v>
      </c>
      <c r="AA106" s="252">
        <f>IF(Paris_Inflow!Y106=0,#N/A,Paris_Inflow!Y106)</f>
        <v>998.7481616570434</v>
      </c>
      <c r="AB106" s="252"/>
      <c r="AC106" s="253">
        <f>IF(Paris_Inflow!AA106=0,#N/A,(Paris_Inflow!AA106+Paris_Inflow!AE106)/2)</f>
        <v>1097.593472430249</v>
      </c>
      <c r="AD106" s="253">
        <f>IF(Paris_Inflow!AB106=0,#N/A,(Paris_Inflow!AB106+Paris_Inflow!AF106)/2)</f>
        <v>980.82254471252395</v>
      </c>
      <c r="AE106" s="253">
        <f>IF(Paris_Inflow!AC106=0,#N/A,(Paris_Inflow!AC106+Paris_Inflow!AG106)/2)</f>
        <v>834.8588850653673</v>
      </c>
      <c r="AG106" s="240"/>
      <c r="AH106" s="240"/>
      <c r="AI106" s="240"/>
      <c r="AJ106" s="240"/>
      <c r="AK106" s="240"/>
      <c r="AL106" s="240"/>
      <c r="AM106" s="240"/>
      <c r="AN106" s="240"/>
      <c r="AP106" s="204"/>
      <c r="AQ106" s="204"/>
      <c r="AR106" s="204"/>
      <c r="AS106" s="204"/>
      <c r="AT106" s="204"/>
      <c r="AU106" s="204"/>
      <c r="AW106" s="204"/>
      <c r="AX106" s="204"/>
      <c r="AY106" s="204"/>
    </row>
    <row r="107" spans="1:51" x14ac:dyDescent="0.25">
      <c r="A107" s="94">
        <v>2052</v>
      </c>
      <c r="B107" s="163" t="e">
        <v>#N/A</v>
      </c>
      <c r="C107" s="168">
        <f>IF(Paris_Inflow!C107=0,#N/A,Paris_Inflow!C107)</f>
        <v>755.52749999999992</v>
      </c>
      <c r="D107" s="163" t="e">
        <v>#N/A</v>
      </c>
      <c r="E107" s="168">
        <f>IF(Paris_Inflow!D107=0,#N/A,Paris_Inflow!D107)</f>
        <v>290.58749999999998</v>
      </c>
      <c r="F107" s="163" t="e">
        <v>#N/A</v>
      </c>
      <c r="G107" s="168">
        <f>IF(Paris_Inflow!E107=0,#N/A,Paris_Inflow!E107)</f>
        <v>464.94</v>
      </c>
      <c r="H107" s="163" t="e">
        <v>#N/A</v>
      </c>
      <c r="I107" s="168">
        <f>IF(Paris_Inflow!F107=0,#N/A,Paris_Inflow!F107)</f>
        <v>66.42</v>
      </c>
      <c r="J107" s="163" t="e">
        <v>#N/A</v>
      </c>
      <c r="K107" s="168">
        <f>IF(Paris_Inflow!G107=0,#N/A,Paris_Inflow!G107)</f>
        <v>33.21</v>
      </c>
      <c r="L107" s="172" t="e">
        <v>#N/A</v>
      </c>
      <c r="M107" s="167">
        <f>IF(Paris_Outflow!C107=0,#N/A,Paris_Outflow!C107)</f>
        <v>755.52749999999992</v>
      </c>
      <c r="N107" s="172" t="e">
        <v>#N/A</v>
      </c>
      <c r="O107" s="167">
        <f>IF(Paris_Outflow!D107=0,#N/A,Paris_Outflow!D107)</f>
        <v>290.58749999999998</v>
      </c>
      <c r="P107" s="172" t="e">
        <v>#N/A</v>
      </c>
      <c r="Q107" s="167">
        <f>IF(Paris_Outflow!E107=0,#N/A,Paris_Outflow!E107)</f>
        <v>464.94</v>
      </c>
      <c r="R107" s="172" t="e">
        <v>#N/A</v>
      </c>
      <c r="S107" s="167">
        <f>IF(Paris_Outflow!F107=0,#N/A,Paris_Outflow!F107)</f>
        <v>66.42</v>
      </c>
      <c r="T107" s="172" t="e">
        <v>#N/A</v>
      </c>
      <c r="U107" s="167">
        <f>IF(Paris_Outflow!G107=0,#N/A,Paris_Outflow!G107)</f>
        <v>33.21</v>
      </c>
      <c r="V107" s="249" t="e">
        <f>IF(Paris_Inflow!O107=0,#N/A,Paris_Inflow!O107)</f>
        <v>#N/A</v>
      </c>
      <c r="W107" s="249" t="e">
        <f>IF(Paris_Inflow!P107=0,#N/A,Paris_Inflow!P107)</f>
        <v>#N/A</v>
      </c>
      <c r="X107" s="249"/>
      <c r="Y107" s="252">
        <f>IF(Paris_Inflow!W107=0,#N/A,Paris_Inflow!W107)</f>
        <v>791.56616174999976</v>
      </c>
      <c r="Z107" s="252">
        <f>IF(Paris_Inflow!X107=0,#N/A,Paris_Inflow!X107)</f>
        <v>610.27644847227884</v>
      </c>
      <c r="AA107" s="252">
        <f>IF(Paris_Inflow!Y107=0,#N/A,Paris_Inflow!Y107)</f>
        <v>383.66430687512775</v>
      </c>
      <c r="AB107" s="252"/>
      <c r="AC107" s="253">
        <f>IF(Paris_Inflow!AA107=0,#N/A,(Paris_Inflow!AA107+Paris_Inflow!AE107)/2)</f>
        <v>421.69440744548433</v>
      </c>
      <c r="AD107" s="253">
        <f>IF(Paris_Inflow!AB107=0,#N/A,(Paris_Inflow!AB107+Paris_Inflow!AF107)/2)</f>
        <v>376.82520340924845</v>
      </c>
      <c r="AE107" s="253">
        <f>IF(Paris_Inflow!AC107=0,#N/A,(Paris_Inflow!AC107+Paris_Inflow!AG107)/2)</f>
        <v>320.73869836395352</v>
      </c>
      <c r="AG107" s="240"/>
      <c r="AH107" s="240"/>
      <c r="AI107" s="240"/>
      <c r="AJ107" s="240"/>
      <c r="AK107" s="240"/>
      <c r="AL107" s="240"/>
      <c r="AM107" s="240"/>
      <c r="AN107" s="240"/>
      <c r="AP107" s="204"/>
      <c r="AQ107" s="204"/>
      <c r="AR107" s="204"/>
      <c r="AS107" s="204"/>
      <c r="AT107" s="204"/>
      <c r="AU107" s="204"/>
      <c r="AW107" s="204"/>
      <c r="AX107" s="204"/>
      <c r="AY107" s="204"/>
    </row>
    <row r="108" spans="1:51" x14ac:dyDescent="0.25">
      <c r="A108" s="94">
        <v>2053</v>
      </c>
      <c r="B108" s="163" t="e">
        <v>#N/A</v>
      </c>
      <c r="C108" s="168">
        <f>IF(Paris_Inflow!C108=0,#N/A,Paris_Inflow!C108)</f>
        <v>1058.4000000000001</v>
      </c>
      <c r="D108" s="163" t="e">
        <v>#N/A</v>
      </c>
      <c r="E108" s="168" t="e">
        <f>IF(Paris_Inflow!D108=0,#N/A,Paris_Inflow!D108)</f>
        <v>#N/A</v>
      </c>
      <c r="F108" s="163" t="e">
        <v>#N/A</v>
      </c>
      <c r="G108" s="168">
        <f>IF(Paris_Inflow!E108=0,#N/A,Paris_Inflow!E108)</f>
        <v>1058.4000000000001</v>
      </c>
      <c r="H108" s="163" t="e">
        <v>#N/A</v>
      </c>
      <c r="I108" s="168">
        <f>IF(Paris_Inflow!F108=0,#N/A,Paris_Inflow!F108)</f>
        <v>22.819555555555553</v>
      </c>
      <c r="J108" s="163" t="e">
        <v>#N/A</v>
      </c>
      <c r="K108" s="168">
        <f>IF(Paris_Inflow!G108=0,#N/A,Paris_Inflow!G108)</f>
        <v>34.229333333333329</v>
      </c>
      <c r="L108" s="172" t="e">
        <v>#N/A</v>
      </c>
      <c r="M108" s="167">
        <f>IF(Paris_Outflow!C108=0,#N/A,Paris_Outflow!C108)</f>
        <v>1289.6000000000001</v>
      </c>
      <c r="N108" s="172" t="e">
        <v>#N/A</v>
      </c>
      <c r="O108" s="167">
        <f>IF(Paris_Outflow!D108=0,#N/A,Paris_Outflow!D108)</f>
        <v>231.20000000000002</v>
      </c>
      <c r="P108" s="172" t="e">
        <v>#N/A</v>
      </c>
      <c r="Q108" s="167" t="e">
        <f>IF(Paris_Outflow!E108=0,#N/A,Paris_Outflow!E108)</f>
        <v>#N/A</v>
      </c>
      <c r="R108" s="172" t="e">
        <v>#N/A</v>
      </c>
      <c r="S108" s="167">
        <f>IF(Paris_Outflow!F108=0,#N/A,Paris_Outflow!F108)</f>
        <v>22.819555555555553</v>
      </c>
      <c r="T108" s="172" t="e">
        <v>#N/A</v>
      </c>
      <c r="U108" s="167">
        <f>IF(Paris_Outflow!G108=0,#N/A,Paris_Outflow!G108)</f>
        <v>34.229333333333329</v>
      </c>
      <c r="V108" s="249" t="e">
        <f>IF(Paris_Inflow!O108=0,#N/A,Paris_Inflow!O108)</f>
        <v>#N/A</v>
      </c>
      <c r="W108" s="249" t="e">
        <f>IF(Paris_Inflow!P108=0,#N/A,Paris_Inflow!P108)</f>
        <v>#N/A</v>
      </c>
      <c r="X108" s="249"/>
      <c r="Y108" s="252">
        <f>IF(Paris_Inflow!W108=0,#N/A,Paris_Inflow!W108)</f>
        <v>1108.8856799999999</v>
      </c>
      <c r="Z108" s="252">
        <f>IF(Paris_Inflow!X108=0,#N/A,Paris_Inflow!X108)</f>
        <v>854.90102419661378</v>
      </c>
      <c r="AA108" s="252">
        <f>IF(Paris_Inflow!Y108=0,#N/A,Paris_Inflow!Y108)</f>
        <v>537.42020444238085</v>
      </c>
      <c r="AB108" s="252"/>
      <c r="AC108" s="253">
        <f>IF(Paris_Inflow!AA108=0,#N/A,(Paris_Inflow!AA108+Paris_Inflow!AE108)/2)</f>
        <v>590.74138378854605</v>
      </c>
      <c r="AD108" s="253">
        <f>IF(Paris_Inflow!AB108=0,#N/A,(Paris_Inflow!AB108+Paris_Inflow!AF108)/2)</f>
        <v>527.880181477208</v>
      </c>
      <c r="AE108" s="253">
        <f>IF(Paris_Inflow!AC108=0,#N/A,(Paris_Inflow!AC108+Paris_Inflow!AG108)/2)</f>
        <v>449.30367858803538</v>
      </c>
      <c r="AG108" s="240"/>
      <c r="AH108" s="240"/>
      <c r="AI108" s="240"/>
      <c r="AJ108" s="240"/>
      <c r="AK108" s="240"/>
      <c r="AL108" s="240"/>
      <c r="AM108" s="240"/>
      <c r="AN108" s="240"/>
      <c r="AP108" s="204"/>
      <c r="AQ108" s="204"/>
      <c r="AR108" s="204"/>
      <c r="AS108" s="204"/>
      <c r="AT108" s="204"/>
      <c r="AU108" s="204"/>
      <c r="AW108" s="204"/>
      <c r="AX108" s="204"/>
      <c r="AY108" s="204"/>
    </row>
    <row r="109" spans="1:51" x14ac:dyDescent="0.25">
      <c r="A109" s="94">
        <v>2054</v>
      </c>
      <c r="B109" s="163" t="e">
        <v>#N/A</v>
      </c>
      <c r="C109" s="168">
        <f>IF(Paris_Inflow!C109=0,#N/A,Paris_Inflow!C109)</f>
        <v>2732.2795999999998</v>
      </c>
      <c r="D109" s="163" t="e">
        <v>#N/A</v>
      </c>
      <c r="E109" s="168">
        <f>IF(Paris_Inflow!D109=0,#N/A,Paris_Inflow!D109)</f>
        <v>901.15679999999998</v>
      </c>
      <c r="F109" s="163" t="e">
        <v>#N/A</v>
      </c>
      <c r="G109" s="168">
        <f>IF(Paris_Inflow!E109=0,#N/A,Paris_Inflow!E109)</f>
        <v>1831.1227999999999</v>
      </c>
      <c r="H109" s="163" t="e">
        <v>#N/A</v>
      </c>
      <c r="I109" s="168">
        <f>IF(Paris_Inflow!F109=0,#N/A,Paris_Inflow!F109)</f>
        <v>115.4928888888889</v>
      </c>
      <c r="J109" s="163" t="e">
        <v>#N/A</v>
      </c>
      <c r="K109" s="168">
        <f>IF(Paris_Inflow!G109=0,#N/A,Paris_Inflow!G109)</f>
        <v>82.635333333333335</v>
      </c>
      <c r="L109" s="172" t="e">
        <v>#N/A</v>
      </c>
      <c r="M109" s="167">
        <f>IF(Paris_Outflow!C109=0,#N/A,Paris_Outflow!C109)</f>
        <v>2377.5119999999997</v>
      </c>
      <c r="N109" s="172" t="e">
        <v>#N/A</v>
      </c>
      <c r="O109" s="167">
        <f>IF(Paris_Outflow!D109=0,#N/A,Paris_Outflow!D109)</f>
        <v>848.81600000000003</v>
      </c>
      <c r="P109" s="172" t="e">
        <v>#N/A</v>
      </c>
      <c r="Q109" s="167">
        <f>IF(Paris_Outflow!E109=0,#N/A,Paris_Outflow!E109)</f>
        <v>1528.6959999999999</v>
      </c>
      <c r="R109" s="172" t="e">
        <v>#N/A</v>
      </c>
      <c r="S109" s="167">
        <f>IF(Paris_Outflow!F109=0,#N/A,Paris_Outflow!F109)</f>
        <v>91.780888888888882</v>
      </c>
      <c r="T109" s="172" t="e">
        <v>#N/A</v>
      </c>
      <c r="U109" s="167">
        <f>IF(Paris_Outflow!G109=0,#N/A,Paris_Outflow!G109)</f>
        <v>72.557733333333331</v>
      </c>
      <c r="V109" s="249" t="e">
        <f>IF(Paris_Inflow!O109=0,#N/A,Paris_Inflow!O109)</f>
        <v>#N/A</v>
      </c>
      <c r="W109" s="249" t="e">
        <f>IF(Paris_Inflow!P109=0,#N/A,Paris_Inflow!P109)</f>
        <v>#N/A</v>
      </c>
      <c r="X109" s="249"/>
      <c r="Y109" s="252">
        <f>IF(Paris_Inflow!W109=0,#N/A,Paris_Inflow!W109)</f>
        <v>2862.6093369199994</v>
      </c>
      <c r="Z109" s="252">
        <f>IF(Paris_Inflow!X109=0,#N/A,Paris_Inflow!X109)</f>
        <v>2206.9113131169352</v>
      </c>
      <c r="AA109" s="252">
        <f>IF(Paris_Inflow!Y109=0,#N/A,Paris_Inflow!Y109)</f>
        <v>1387.2887833631044</v>
      </c>
      <c r="AB109" s="252"/>
      <c r="AC109" s="253">
        <f>IF(Paris_Inflow!AA109=0,#N/A,(Paris_Inflow!AA109+Paris_Inflow!AE109)/2)</f>
        <v>1525.0100451636572</v>
      </c>
      <c r="AD109" s="253">
        <f>IF(Paris_Inflow!AB109=0,#N/A,(Paris_Inflow!AB109+Paris_Inflow!AF109)/2)</f>
        <v>1362.7247842723991</v>
      </c>
      <c r="AE109" s="253">
        <f>IF(Paris_Inflow!AC109=0,#N/A,(Paris_Inflow!AC109+Paris_Inflow!AG109)/2)</f>
        <v>1159.8682081583258</v>
      </c>
      <c r="AG109" s="240"/>
      <c r="AH109" s="240"/>
      <c r="AI109" s="240"/>
      <c r="AJ109" s="240"/>
      <c r="AK109" s="240"/>
      <c r="AL109" s="240"/>
      <c r="AM109" s="240"/>
      <c r="AN109" s="240"/>
      <c r="AP109" s="204"/>
      <c r="AQ109" s="204"/>
      <c r="AR109" s="204"/>
      <c r="AS109" s="204"/>
      <c r="AT109" s="204"/>
      <c r="AU109" s="204"/>
      <c r="AW109" s="204"/>
      <c r="AX109" s="204"/>
      <c r="AY109" s="204"/>
    </row>
    <row r="110" spans="1:51" x14ac:dyDescent="0.25">
      <c r="A110" s="94">
        <v>2055</v>
      </c>
      <c r="B110" s="163" t="e">
        <v>#N/A</v>
      </c>
      <c r="C110" s="168">
        <f>IF(Paris_Inflow!C110=0,#N/A,Paris_Inflow!C110)</f>
        <v>380</v>
      </c>
      <c r="D110" s="163" t="e">
        <v>#N/A</v>
      </c>
      <c r="E110" s="168" t="e">
        <f>IF(Paris_Inflow!D110=0,#N/A,Paris_Inflow!D110)</f>
        <v>#N/A</v>
      </c>
      <c r="F110" s="163" t="e">
        <v>#N/A</v>
      </c>
      <c r="G110" s="168">
        <f>IF(Paris_Inflow!E110=0,#N/A,Paris_Inflow!E110)</f>
        <v>380</v>
      </c>
      <c r="H110" s="163" t="e">
        <v>#N/A</v>
      </c>
      <c r="I110" s="168">
        <f>IF(Paris_Inflow!F110=0,#N/A,Paris_Inflow!F110)</f>
        <v>22</v>
      </c>
      <c r="J110" s="163" t="e">
        <v>#N/A</v>
      </c>
      <c r="K110" s="168">
        <f>IF(Paris_Inflow!G110=0,#N/A,Paris_Inflow!G110)</f>
        <v>22</v>
      </c>
      <c r="L110" s="172" t="e">
        <v>#N/A</v>
      </c>
      <c r="M110" s="167">
        <f>IF(Paris_Outflow!C110=0,#N/A,Paris_Outflow!C110)</f>
        <v>476</v>
      </c>
      <c r="N110" s="172" t="e">
        <v>#N/A</v>
      </c>
      <c r="O110" s="167">
        <f>IF(Paris_Outflow!D110=0,#N/A,Paris_Outflow!D110)</f>
        <v>96</v>
      </c>
      <c r="P110" s="172" t="e">
        <v>#N/A</v>
      </c>
      <c r="Q110" s="167">
        <f>IF(Paris_Outflow!E110=0,#N/A,Paris_Outflow!E110)</f>
        <v>380</v>
      </c>
      <c r="R110" s="172" t="e">
        <v>#N/A</v>
      </c>
      <c r="S110" s="167">
        <f>IF(Paris_Outflow!F110=0,#N/A,Paris_Outflow!F110)</f>
        <v>22</v>
      </c>
      <c r="T110" s="172" t="e">
        <v>#N/A</v>
      </c>
      <c r="U110" s="167">
        <f>IF(Paris_Outflow!G110=0,#N/A,Paris_Outflow!G110)</f>
        <v>22</v>
      </c>
      <c r="V110" s="249" t="e">
        <f>IF(Paris_Inflow!O110=0,#N/A,Paris_Inflow!O110)</f>
        <v>#N/A</v>
      </c>
      <c r="W110" s="249" t="e">
        <f>IF(Paris_Inflow!P110=0,#N/A,Paris_Inflow!P110)</f>
        <v>#N/A</v>
      </c>
      <c r="X110" s="249"/>
      <c r="Y110" s="252">
        <f>IF(Paris_Inflow!W110=0,#N/A,Paris_Inflow!W110)</f>
        <v>398.12599999999992</v>
      </c>
      <c r="Z110" s="252">
        <f>IF(Paris_Inflow!X110=0,#N/A,Paris_Inflow!X110)</f>
        <v>306.93014028562561</v>
      </c>
      <c r="AA110" s="252">
        <f>IF(Paris_Inflow!Y110=0,#N/A,Paris_Inflow!Y110)</f>
        <v>192.93531564265768</v>
      </c>
      <c r="AB110" s="252"/>
      <c r="AC110" s="253">
        <f>IF(Paris_Inflow!AA110=0,#N/A,(Paris_Inflow!AA110+Paris_Inflow!AE110)/2)</f>
        <v>212.0953569913525</v>
      </c>
      <c r="AD110" s="253">
        <f>IF(Paris_Inflow!AB110=0,#N/A,(Paris_Inflow!AB110+Paris_Inflow!AF110)/2)</f>
        <v>189.52438171204486</v>
      </c>
      <c r="AE110" s="253">
        <f>IF(Paris_Inflow!AC110=0,#N/A,(Paris_Inflow!AC110+Paris_Inflow!AG110)/2)</f>
        <v>161.31066261291031</v>
      </c>
      <c r="AG110" s="222">
        <f>AVERAGE(Paris_Inflow!B110:B119)</f>
        <v>40008.392749999999</v>
      </c>
      <c r="AH110" s="222">
        <f>AVERAGE(Paris_Inflow!C110:C119)</f>
        <v>1464.9301945</v>
      </c>
      <c r="AI110" s="223">
        <f>AVERAGE(Paris_Outflow!B110:B119)</f>
        <v>58331.347998000005</v>
      </c>
      <c r="AJ110" s="223">
        <f>AVERAGE(Paris_Outflow!C110:C119)</f>
        <v>1322.5386145</v>
      </c>
      <c r="AK110" s="222">
        <f>AVERAGE(Paris_Inflow!F110:F119)</f>
        <v>96.602147200000019</v>
      </c>
      <c r="AL110" s="223">
        <f>AVERAGE(Paris_Outflow!F110:F119)</f>
        <v>94.47548119999999</v>
      </c>
      <c r="AM110" s="222">
        <f>AVERAGE(Paris_Inflow!G110:G119)</f>
        <v>63.706493999999999</v>
      </c>
      <c r="AN110" s="223">
        <f>AVERAGE(Paris_Outflow!G110:G119)</f>
        <v>61.320255999999993</v>
      </c>
      <c r="AP110" s="208">
        <f>AVERAGE(Paris_Outflow!W111:W120)</f>
        <v>-88.831531155714288</v>
      </c>
      <c r="AQ110" s="208">
        <f>AVERAGE(Paris_Outflow!X111:X120)</f>
        <v>-444.15633751993334</v>
      </c>
      <c r="AR110" s="208">
        <f>AVERAGE(Paris_Outflow!Y111:Y120)</f>
        <v>-888.31234547520728</v>
      </c>
      <c r="AS110" s="208">
        <f>AVERAGE(Paris_Outflow!Z111:Z120)</f>
        <v>-22.207882788928572</v>
      </c>
      <c r="AT110" s="208">
        <f>AVERAGE(Paris_Outflow!AA111:AA120)</f>
        <v>-111.03908437998334</v>
      </c>
      <c r="AU110" s="208">
        <f>AVERAGE(Paris_Outflow!AB111:AB120)</f>
        <v>-222.07808636880182</v>
      </c>
      <c r="AW110" s="208">
        <f>AVERAGE(Paris_Outflow!AD111:AD120)</f>
        <v>-4.2194977298964291</v>
      </c>
      <c r="AX110" s="208">
        <f>AVERAGE(Paris_Outflow!AE111:AE120)</f>
        <v>-92.162387305040681</v>
      </c>
      <c r="AY110" s="208">
        <f>AVERAGE(Paris_Outflow!AF111:AF120)</f>
        <v>-202.09099927397094</v>
      </c>
    </row>
    <row r="111" spans="1:51" x14ac:dyDescent="0.25">
      <c r="A111" s="94">
        <v>2056</v>
      </c>
      <c r="B111" s="163" t="e">
        <v>#N/A</v>
      </c>
      <c r="C111" s="168">
        <f>IF(Paris_Inflow!C111=0,#N/A,Paris_Inflow!C111)</f>
        <v>466.20000000000005</v>
      </c>
      <c r="D111" s="163" t="e">
        <v>#N/A</v>
      </c>
      <c r="E111" s="168">
        <f>IF(Paris_Inflow!D111=0,#N/A,Paris_Inflow!D111)</f>
        <v>239.4</v>
      </c>
      <c r="F111" s="163" t="e">
        <v>#N/A</v>
      </c>
      <c r="G111" s="168">
        <f>IF(Paris_Inflow!E111=0,#N/A,Paris_Inflow!E111)</f>
        <v>226.8</v>
      </c>
      <c r="H111" s="163" t="e">
        <v>#N/A</v>
      </c>
      <c r="I111" s="168">
        <f>IF(Paris_Inflow!F111=0,#N/A,Paris_Inflow!F111)</f>
        <v>11.016</v>
      </c>
      <c r="J111" s="163" t="e">
        <v>#N/A</v>
      </c>
      <c r="K111" s="168">
        <f>IF(Paris_Inflow!G111=0,#N/A,Paris_Inflow!G111)</f>
        <v>6.48</v>
      </c>
      <c r="L111" s="172" t="e">
        <v>#N/A</v>
      </c>
      <c r="M111" s="167">
        <f>IF(Paris_Outflow!C111=0,#N/A,Paris_Outflow!C111)</f>
        <v>137.69999999999999</v>
      </c>
      <c r="N111" s="172" t="e">
        <v>#N/A</v>
      </c>
      <c r="O111" s="167" t="e">
        <f>IF(Paris_Outflow!D111=0,#N/A,Paris_Outflow!D111)</f>
        <v>#N/A</v>
      </c>
      <c r="P111" s="172" t="e">
        <v>#N/A</v>
      </c>
      <c r="Q111" s="167">
        <f>IF(Paris_Outflow!E111=0,#N/A,Paris_Outflow!E111)</f>
        <v>137.69999999999999</v>
      </c>
      <c r="R111" s="172" t="e">
        <v>#N/A</v>
      </c>
      <c r="S111" s="167">
        <f>IF(Paris_Outflow!F111=0,#N/A,Paris_Outflow!F111)</f>
        <v>10.44</v>
      </c>
      <c r="T111" s="172" t="e">
        <v>#N/A</v>
      </c>
      <c r="U111" s="167">
        <f>IF(Paris_Outflow!G111=0,#N/A,Paris_Outflow!G111)</f>
        <v>10.44</v>
      </c>
      <c r="V111" s="249" t="e">
        <f>IF(Paris_Inflow!O111=0,#N/A,Paris_Inflow!O111)</f>
        <v>#N/A</v>
      </c>
      <c r="W111" s="249" t="e">
        <f>IF(Paris_Inflow!P111=0,#N/A,Paris_Inflow!P111)</f>
        <v>#N/A</v>
      </c>
      <c r="X111" s="249"/>
      <c r="Y111" s="252">
        <f>IF(Paris_Inflow!W111=0,#N/A,Paris_Inflow!W111)</f>
        <v>488.43773999999996</v>
      </c>
      <c r="Z111" s="252">
        <f>IF(Paris_Inflow!X111=0,#N/A,Paris_Inflow!X111)</f>
        <v>376.55282091340746</v>
      </c>
      <c r="AA111" s="252">
        <f>IF(Paris_Inflow!Y111=0,#N/A,Paris_Inflow!Y111)</f>
        <v>236.69667205516674</v>
      </c>
      <c r="AB111" s="252"/>
      <c r="AC111" s="253">
        <f>IF(Paris_Inflow!AA111=0,#N/A,(Paris_Inflow!AA111+Paris_Inflow!AE111)/2)</f>
        <v>260.20751428781193</v>
      </c>
      <c r="AD111" s="253">
        <f>IF(Paris_Inflow!AB111=0,#N/A,(Paris_Inflow!AB111+Paris_Inflow!AF111)/2)</f>
        <v>232.51599681388029</v>
      </c>
      <c r="AE111" s="253">
        <f>IF(Paris_Inflow!AC111=0,#N/A,(Paris_Inflow!AC111+Paris_Inflow!AG111)/2)</f>
        <v>197.90159997146577</v>
      </c>
      <c r="AG111" s="240"/>
      <c r="AH111" s="240"/>
      <c r="AI111" s="240"/>
      <c r="AJ111" s="240"/>
      <c r="AK111" s="240"/>
      <c r="AL111" s="240"/>
      <c r="AM111" s="240"/>
      <c r="AN111" s="240"/>
      <c r="AP111" s="204"/>
      <c r="AQ111" s="204"/>
      <c r="AR111" s="204"/>
      <c r="AS111" s="204"/>
      <c r="AT111" s="204"/>
      <c r="AU111" s="204"/>
      <c r="AW111" s="204"/>
      <c r="AX111" s="204"/>
      <c r="AY111" s="204"/>
    </row>
    <row r="112" spans="1:51" x14ac:dyDescent="0.25">
      <c r="A112" s="94">
        <v>2057</v>
      </c>
      <c r="B112" s="163" t="e">
        <v>#N/A</v>
      </c>
      <c r="C112" s="168">
        <f>IF(Paris_Inflow!C112=0,#N/A,Paris_Inflow!C112)</f>
        <v>270.2448</v>
      </c>
      <c r="D112" s="163" t="e">
        <v>#N/A</v>
      </c>
      <c r="E112" s="168" t="e">
        <f>IF(Paris_Inflow!D112=0,#N/A,Paris_Inflow!D112)</f>
        <v>#N/A</v>
      </c>
      <c r="F112" s="163" t="e">
        <v>#N/A</v>
      </c>
      <c r="G112" s="168">
        <f>IF(Paris_Inflow!E112=0,#N/A,Paris_Inflow!E112)</f>
        <v>270.2448</v>
      </c>
      <c r="H112" s="163" t="e">
        <v>#N/A</v>
      </c>
      <c r="I112" s="168">
        <f>IF(Paris_Inflow!F112=0,#N/A,Paris_Inflow!F112)</f>
        <v>77.212800000000001</v>
      </c>
      <c r="J112" s="163" t="e">
        <v>#N/A</v>
      </c>
      <c r="K112" s="168">
        <f>IF(Paris_Inflow!G112=0,#N/A,Paris_Inflow!G112)</f>
        <v>38.606400000000001</v>
      </c>
      <c r="L112" s="172" t="e">
        <v>#N/A</v>
      </c>
      <c r="M112" s="167">
        <f>IF(Paris_Outflow!C112=0,#N/A,Paris_Outflow!C112)</f>
        <v>1015.5347999999999</v>
      </c>
      <c r="N112" s="172" t="e">
        <v>#N/A</v>
      </c>
      <c r="O112" s="167">
        <f>IF(Paris_Outflow!D112=0,#N/A,Paris_Outflow!D112)</f>
        <v>745.29</v>
      </c>
      <c r="P112" s="172" t="e">
        <v>#N/A</v>
      </c>
      <c r="Q112" s="167">
        <f>IF(Paris_Outflow!E112=0,#N/A,Paris_Outflow!E112)</f>
        <v>270.2448</v>
      </c>
      <c r="R112" s="172" t="e">
        <v>#N/A</v>
      </c>
      <c r="S112" s="167">
        <f>IF(Paris_Outflow!F112=0,#N/A,Paris_Outflow!F112)</f>
        <v>77.212800000000001</v>
      </c>
      <c r="T112" s="172" t="e">
        <v>#N/A</v>
      </c>
      <c r="U112" s="167">
        <f>IF(Paris_Outflow!G112=0,#N/A,Paris_Outflow!G112)</f>
        <v>38.606400000000001</v>
      </c>
      <c r="V112" s="249" t="e">
        <f>IF(Paris_Inflow!O112=0,#N/A,Paris_Inflow!O112)</f>
        <v>#N/A</v>
      </c>
      <c r="W112" s="249" t="e">
        <f>IF(Paris_Inflow!P112=0,#N/A,Paris_Inflow!P112)</f>
        <v>#N/A</v>
      </c>
      <c r="X112" s="249"/>
      <c r="Y112" s="252">
        <f>IF(Paris_Inflow!W112=0,#N/A,Paris_Inflow!W112)</f>
        <v>283.13547695999995</v>
      </c>
      <c r="Z112" s="252">
        <f>IF(Paris_Inflow!X112=0,#N/A,Paris_Inflow!X112)</f>
        <v>218.27780819337767</v>
      </c>
      <c r="AA112" s="252">
        <f>IF(Paris_Inflow!Y112=0,#N/A,Paris_Inflow!Y112)</f>
        <v>137.20572223509978</v>
      </c>
      <c r="AB112" s="252"/>
      <c r="AC112" s="253">
        <f>IF(Paris_Inflow!AA112=0,#N/A,(Paris_Inflow!AA112+Paris_Inflow!AE112)/2)</f>
        <v>150.83596666067541</v>
      </c>
      <c r="AD112" s="253">
        <f>IF(Paris_Inflow!AB112=0,#N/A,(Paris_Inflow!AB112+Paris_Inflow!AF112)/2)</f>
        <v>134.78369364093641</v>
      </c>
      <c r="AE112" s="253">
        <f>IF(Paris_Inflow!AC112=0,#N/A,(Paris_Inflow!AC112+Paris_Inflow!AG112)/2)</f>
        <v>114.71835236626262</v>
      </c>
      <c r="AG112" s="240"/>
      <c r="AH112" s="240"/>
      <c r="AI112" s="240"/>
      <c r="AJ112" s="240"/>
      <c r="AK112" s="240"/>
      <c r="AL112" s="240"/>
      <c r="AM112" s="240"/>
      <c r="AN112" s="240"/>
      <c r="AP112" s="204"/>
      <c r="AQ112" s="204"/>
      <c r="AR112" s="204"/>
      <c r="AS112" s="204"/>
      <c r="AT112" s="204"/>
      <c r="AU112" s="204"/>
      <c r="AW112" s="204"/>
      <c r="AX112" s="204"/>
      <c r="AY112" s="204"/>
    </row>
    <row r="113" spans="1:51" x14ac:dyDescent="0.25">
      <c r="A113" s="94">
        <v>2058</v>
      </c>
      <c r="B113" s="163" t="e">
        <v>#N/A</v>
      </c>
      <c r="C113" s="168">
        <f>IF(Paris_Inflow!C113=0,#N/A,Paris_Inflow!C113)</f>
        <v>496.31099999999998</v>
      </c>
      <c r="D113" s="163" t="e">
        <v>#N/A</v>
      </c>
      <c r="E113" s="168" t="e">
        <f>IF(Paris_Inflow!D113=0,#N/A,Paris_Inflow!D113)</f>
        <v>#N/A</v>
      </c>
      <c r="F113" s="163" t="e">
        <v>#N/A</v>
      </c>
      <c r="G113" s="168">
        <f>IF(Paris_Inflow!E113=0,#N/A,Paris_Inflow!E113)</f>
        <v>496.31099999999998</v>
      </c>
      <c r="H113" s="163" t="e">
        <v>#N/A</v>
      </c>
      <c r="I113" s="168">
        <f>IF(Paris_Inflow!F113=0,#N/A,Paris_Inflow!F113)</f>
        <v>70.259205333333341</v>
      </c>
      <c r="J113" s="163" t="e">
        <v>#N/A</v>
      </c>
      <c r="K113" s="168">
        <f>IF(Paris_Inflow!G113=0,#N/A,Paris_Inflow!G113)</f>
        <v>50.185146666666668</v>
      </c>
      <c r="L113" s="172" t="e">
        <v>#N/A</v>
      </c>
      <c r="M113" s="167">
        <f>IF(Paris_Outflow!C113=0,#N/A,Paris_Outflow!C113)</f>
        <v>665.351</v>
      </c>
      <c r="N113" s="172" t="e">
        <v>#N/A</v>
      </c>
      <c r="O113" s="167">
        <f>IF(Paris_Outflow!D113=0,#N/A,Paris_Outflow!D113)</f>
        <v>169.04</v>
      </c>
      <c r="P113" s="172" t="e">
        <v>#N/A</v>
      </c>
      <c r="Q113" s="167">
        <f>IF(Paris_Outflow!E113=0,#N/A,Paris_Outflow!E113)</f>
        <v>496.31099999999998</v>
      </c>
      <c r="R113" s="172" t="e">
        <v>#N/A</v>
      </c>
      <c r="S113" s="167">
        <f>IF(Paris_Outflow!F113=0,#N/A,Paris_Outflow!F113)</f>
        <v>70.259205333333341</v>
      </c>
      <c r="T113" s="172" t="e">
        <v>#N/A</v>
      </c>
      <c r="U113" s="167">
        <f>IF(Paris_Outflow!G113=0,#N/A,Paris_Outflow!G113)</f>
        <v>50.185146666666668</v>
      </c>
      <c r="V113" s="249" t="e">
        <f>IF(Paris_Inflow!O113=0,#N/A,Paris_Inflow!O113)</f>
        <v>#N/A</v>
      </c>
      <c r="W113" s="249" t="e">
        <f>IF(Paris_Inflow!P113=0,#N/A,Paris_Inflow!P113)</f>
        <v>#N/A</v>
      </c>
      <c r="X113" s="249"/>
      <c r="Y113" s="252">
        <f>IF(Paris_Inflow!W113=0,#N/A,Paris_Inflow!W113)</f>
        <v>519.98503469999991</v>
      </c>
      <c r="Z113" s="252">
        <f>IF(Paris_Inflow!X113=0,#N/A,Paris_Inflow!X113)</f>
        <v>400.87160133022883</v>
      </c>
      <c r="AA113" s="252">
        <f>IF(Paris_Inflow!Y113=0,#N/A,Paris_Inflow!Y113)</f>
        <v>251.97980961801494</v>
      </c>
      <c r="AB113" s="252"/>
      <c r="AC113" s="253">
        <f>IF(Paris_Inflow!AA113=0,#N/A,(Paris_Inflow!AA113+Paris_Inflow!AE113)/2)</f>
        <v>277.01383874667141</v>
      </c>
      <c r="AD113" s="253">
        <f>IF(Paris_Inflow!AB113=0,#N/A,(Paris_Inflow!AB113+Paris_Inflow!AF113)/2)</f>
        <v>247.53326398765313</v>
      </c>
      <c r="AE113" s="253">
        <f>IF(Paris_Inflow!AC113=0,#N/A,(Paris_Inflow!AC113+Paris_Inflow!AG113)/2)</f>
        <v>210.68254553888016</v>
      </c>
      <c r="AG113" s="240"/>
      <c r="AH113" s="240"/>
      <c r="AI113" s="240"/>
      <c r="AJ113" s="240"/>
      <c r="AK113" s="240"/>
      <c r="AL113" s="240"/>
      <c r="AM113" s="240"/>
      <c r="AN113" s="240"/>
      <c r="AP113" s="204"/>
      <c r="AQ113" s="204"/>
      <c r="AR113" s="204"/>
      <c r="AS113" s="204"/>
      <c r="AT113" s="204"/>
      <c r="AU113" s="204"/>
      <c r="AW113" s="204"/>
      <c r="AX113" s="204"/>
      <c r="AY113" s="204"/>
    </row>
    <row r="114" spans="1:51" x14ac:dyDescent="0.25">
      <c r="A114" s="94">
        <v>2059</v>
      </c>
      <c r="B114" s="163" t="e">
        <v>#N/A</v>
      </c>
      <c r="C114" s="168">
        <f>IF(Paris_Inflow!C114=0,#N/A,Paris_Inflow!C114)</f>
        <v>647.68000000000006</v>
      </c>
      <c r="D114" s="163" t="e">
        <v>#N/A</v>
      </c>
      <c r="E114" s="168" t="e">
        <f>IF(Paris_Inflow!D114=0,#N/A,Paris_Inflow!D114)</f>
        <v>#N/A</v>
      </c>
      <c r="F114" s="163" t="e">
        <v>#N/A</v>
      </c>
      <c r="G114" s="168">
        <f>IF(Paris_Inflow!E114=0,#N/A,Paris_Inflow!E114)</f>
        <v>647.68000000000006</v>
      </c>
      <c r="H114" s="163" t="e">
        <v>#N/A</v>
      </c>
      <c r="I114" s="168">
        <f>IF(Paris_Inflow!F114=0,#N/A,Paris_Inflow!F114)</f>
        <v>53.061866666666667</v>
      </c>
      <c r="J114" s="163" t="e">
        <v>#N/A</v>
      </c>
      <c r="K114" s="168">
        <f>IF(Paris_Inflow!G114=0,#N/A,Paris_Inflow!G114)</f>
        <v>37.901333333333334</v>
      </c>
      <c r="L114" s="172" t="e">
        <v>#N/A</v>
      </c>
      <c r="M114" s="167">
        <f>IF(Paris_Outflow!C114=0,#N/A,Paris_Outflow!C114)</f>
        <v>647.68000000000006</v>
      </c>
      <c r="N114" s="172" t="e">
        <v>#N/A</v>
      </c>
      <c r="O114" s="167" t="e">
        <f>IF(Paris_Outflow!D114=0,#N/A,Paris_Outflow!D114)</f>
        <v>#N/A</v>
      </c>
      <c r="P114" s="172" t="e">
        <v>#N/A</v>
      </c>
      <c r="Q114" s="167">
        <f>IF(Paris_Outflow!E114=0,#N/A,Paris_Outflow!E114)</f>
        <v>647.68000000000006</v>
      </c>
      <c r="R114" s="172" t="e">
        <v>#N/A</v>
      </c>
      <c r="S114" s="167">
        <f>IF(Paris_Outflow!F114=0,#N/A,Paris_Outflow!F114)</f>
        <v>53.061866666666667</v>
      </c>
      <c r="T114" s="172" t="e">
        <v>#N/A</v>
      </c>
      <c r="U114" s="167">
        <f>IF(Paris_Outflow!G114=0,#N/A,Paris_Outflow!G114)</f>
        <v>37.901333333333334</v>
      </c>
      <c r="V114" s="249" t="e">
        <f>IF(Paris_Inflow!O114=0,#N/A,Paris_Inflow!O114)</f>
        <v>#N/A</v>
      </c>
      <c r="W114" s="249" t="e">
        <f>IF(Paris_Inflow!P114=0,#N/A,Paris_Inflow!P114)</f>
        <v>#N/A</v>
      </c>
      <c r="X114" s="249"/>
      <c r="Y114" s="252">
        <f>IF(Paris_Inflow!W114=0,#N/A,Paris_Inflow!W114)</f>
        <v>678.57433600000002</v>
      </c>
      <c r="Z114" s="252">
        <f>IF(Paris_Inflow!X114=0,#N/A,Paris_Inflow!X114)</f>
        <v>523.13209107016155</v>
      </c>
      <c r="AA114" s="252">
        <f>IF(Paris_Inflow!Y114=0,#N/A,Paris_Inflow!Y114)</f>
        <v>328.82928490786344</v>
      </c>
      <c r="AB114" s="252"/>
      <c r="AC114" s="253">
        <f>IF(Paris_Inflow!AA114=0,#N/A,(Paris_Inflow!AA114+Paris_Inflow!AE114)/2)</f>
        <v>361.49979162147156</v>
      </c>
      <c r="AD114" s="253">
        <f>IF(Paris_Inflow!AB114=0,#N/A,(Paris_Inflow!AB114+Paris_Inflow!AF114)/2)</f>
        <v>323.0278360013366</v>
      </c>
      <c r="AE114" s="253">
        <f>IF(Paris_Inflow!AC114=0,#N/A,(Paris_Inflow!AC114+Paris_Inflow!AG114)/2)</f>
        <v>274.93789147616781</v>
      </c>
      <c r="AG114" s="240"/>
      <c r="AH114" s="240"/>
      <c r="AI114" s="240"/>
      <c r="AJ114" s="240"/>
      <c r="AK114" s="240"/>
      <c r="AL114" s="240"/>
      <c r="AM114" s="240"/>
      <c r="AN114" s="240"/>
      <c r="AP114" s="204"/>
      <c r="AQ114" s="204"/>
      <c r="AR114" s="204"/>
      <c r="AS114" s="204"/>
      <c r="AT114" s="204"/>
      <c r="AU114" s="204"/>
      <c r="AW114" s="204"/>
      <c r="AX114" s="204"/>
      <c r="AY114" s="204"/>
    </row>
    <row r="115" spans="1:51" x14ac:dyDescent="0.25">
      <c r="A115" s="94">
        <v>2060</v>
      </c>
      <c r="B115" s="163" t="e">
        <v>#N/A</v>
      </c>
      <c r="C115" s="168">
        <f>IF(Paris_Inflow!C115=0,#N/A,Paris_Inflow!C115)</f>
        <v>4157.1321699999999</v>
      </c>
      <c r="D115" s="163" t="e">
        <v>#N/A</v>
      </c>
      <c r="E115" s="168">
        <f>IF(Paris_Inflow!D115=0,#N/A,Paris_Inflow!D115)</f>
        <v>1279.75</v>
      </c>
      <c r="F115" s="163" t="e">
        <v>#N/A</v>
      </c>
      <c r="G115" s="168">
        <f>IF(Paris_Inflow!E115=0,#N/A,Paris_Inflow!E115)</f>
        <v>2877.3821699999999</v>
      </c>
      <c r="H115" s="163" t="e">
        <v>#N/A</v>
      </c>
      <c r="I115" s="168">
        <f>IF(Paris_Inflow!F115=0,#N/A,Paris_Inflow!F115)</f>
        <v>298.24272000000002</v>
      </c>
      <c r="J115" s="163" t="e">
        <v>#N/A</v>
      </c>
      <c r="K115" s="168">
        <f>IF(Paris_Inflow!G115=0,#N/A,Paris_Inflow!G115)</f>
        <v>149.12136000000001</v>
      </c>
      <c r="L115" s="172" t="e">
        <v>#N/A</v>
      </c>
      <c r="M115" s="167">
        <f>IF(Paris_Outflow!C115=0,#N/A,Paris_Outflow!C115)</f>
        <v>4223.6318700000002</v>
      </c>
      <c r="N115" s="172" t="e">
        <v>#N/A</v>
      </c>
      <c r="O115" s="167">
        <f>IF(Paris_Outflow!D115=0,#N/A,Paris_Outflow!D115)</f>
        <v>1346.2497000000001</v>
      </c>
      <c r="P115" s="172" t="e">
        <v>#N/A</v>
      </c>
      <c r="Q115" s="167">
        <f>IF(Paris_Outflow!E115=0,#N/A,Paris_Outflow!E115)</f>
        <v>2877.3821699999999</v>
      </c>
      <c r="R115" s="172" t="e">
        <v>#N/A</v>
      </c>
      <c r="S115" s="167">
        <f>IF(Paris_Outflow!F115=0,#N/A,Paris_Outflow!F115)</f>
        <v>298.24272000000002</v>
      </c>
      <c r="T115" s="172" t="e">
        <v>#N/A</v>
      </c>
      <c r="U115" s="167">
        <f>IF(Paris_Outflow!G115=0,#N/A,Paris_Outflow!G115)</f>
        <v>149.12136000000001</v>
      </c>
      <c r="V115" s="249" t="e">
        <f>IF(Paris_Inflow!O115=0,#N/A,Paris_Inflow!O115)</f>
        <v>#N/A</v>
      </c>
      <c r="W115" s="249" t="e">
        <f>IF(Paris_Inflow!P115=0,#N/A,Paris_Inflow!P115)</f>
        <v>#N/A</v>
      </c>
      <c r="X115" s="249"/>
      <c r="Y115" s="252">
        <f>IF(Paris_Inflow!W115=0,#N/A,Paris_Inflow!W115)</f>
        <v>4355.4273745089995</v>
      </c>
      <c r="Z115" s="252">
        <f>IF(Paris_Inflow!X115=0,#N/A,Paris_Inflow!X115)</f>
        <v>3357.7193718206922</v>
      </c>
      <c r="AA115" s="252">
        <f>IF(Paris_Inflow!Y115=0,#N/A,Paris_Inflow!Y115)</f>
        <v>2110.5843684603092</v>
      </c>
      <c r="AB115" s="252"/>
      <c r="AC115" s="253">
        <f>IF(Paris_Inflow!AA115=0,#N/A,(Paris_Inflow!AA115+Paris_Inflow!AE115)/2)</f>
        <v>2320.285346464173</v>
      </c>
      <c r="AD115" s="253">
        <f>IF(Paris_Inflow!AB115=0,#N/A,(Paris_Inflow!AB115+Paris_Inflow!AF115)/2)</f>
        <v>2073.3526157988172</v>
      </c>
      <c r="AE115" s="253">
        <f>IF(Paris_Inflow!AC115=0,#N/A,(Paris_Inflow!AC115+Paris_Inflow!AG115)/2)</f>
        <v>1764.6867024671226</v>
      </c>
      <c r="AG115" s="240"/>
      <c r="AH115" s="240"/>
      <c r="AI115" s="240"/>
      <c r="AJ115" s="240"/>
      <c r="AK115" s="240"/>
      <c r="AL115" s="240"/>
      <c r="AM115" s="240"/>
      <c r="AN115" s="240"/>
      <c r="AP115" s="204"/>
      <c r="AQ115" s="204"/>
      <c r="AR115" s="204"/>
      <c r="AS115" s="204"/>
      <c r="AT115" s="204"/>
      <c r="AU115" s="204"/>
      <c r="AW115" s="204"/>
      <c r="AX115" s="204"/>
      <c r="AY115" s="204"/>
    </row>
    <row r="116" spans="1:51" x14ac:dyDescent="0.25">
      <c r="A116" s="94">
        <v>2061</v>
      </c>
      <c r="B116" s="163" t="e">
        <v>#N/A</v>
      </c>
      <c r="C116" s="168">
        <f>IF(Paris_Inflow!C116=0,#N/A,Paris_Inflow!C116)</f>
        <v>2599.2415999999998</v>
      </c>
      <c r="D116" s="163" t="e">
        <v>#N/A</v>
      </c>
      <c r="E116" s="168">
        <f>IF(Paris_Inflow!D116=0,#N/A,Paris_Inflow!D116)</f>
        <v>818.39530000000002</v>
      </c>
      <c r="F116" s="163" t="e">
        <v>#N/A</v>
      </c>
      <c r="G116" s="168">
        <f>IF(Paris_Inflow!E116=0,#N/A,Paris_Inflow!E116)</f>
        <v>1780.8462999999997</v>
      </c>
      <c r="H116" s="163" t="e">
        <v>#N/A</v>
      </c>
      <c r="I116" s="168">
        <f>IF(Paris_Inflow!F116=0,#N/A,Paris_Inflow!F116)</f>
        <v>89.518946666666679</v>
      </c>
      <c r="J116" s="163" t="e">
        <v>#N/A</v>
      </c>
      <c r="K116" s="168">
        <f>IF(Paris_Inflow!G116=0,#N/A,Paris_Inflow!G116)</f>
        <v>71.738333333333344</v>
      </c>
      <c r="L116" s="172" t="e">
        <v>#N/A</v>
      </c>
      <c r="M116" s="167">
        <f>IF(Paris_Outflow!C116=0,#N/A,Paris_Outflow!C116)</f>
        <v>1142.1170999999999</v>
      </c>
      <c r="N116" s="172" t="e">
        <v>#N/A</v>
      </c>
      <c r="O116" s="167">
        <f>IF(Paris_Outflow!D116=0,#N/A,Paris_Outflow!D116)</f>
        <v>84</v>
      </c>
      <c r="P116" s="172" t="e">
        <v>#N/A</v>
      </c>
      <c r="Q116" s="167">
        <f>IF(Paris_Outflow!E116=0,#N/A,Paris_Outflow!E116)</f>
        <v>1058.1170999999999</v>
      </c>
      <c r="R116" s="172" t="e">
        <v>#N/A</v>
      </c>
      <c r="S116" s="167">
        <f>IF(Paris_Outflow!F116=0,#N/A,Paris_Outflow!F116)</f>
        <v>67.284586666666669</v>
      </c>
      <c r="T116" s="172" t="e">
        <v>#N/A</v>
      </c>
      <c r="U116" s="167">
        <f>IF(Paris_Outflow!G116=0,#N/A,Paris_Outflow!G116)</f>
        <v>57.247253333333333</v>
      </c>
      <c r="V116" s="249" t="e">
        <f>IF(Paris_Inflow!O116=0,#N/A,Paris_Inflow!O116)</f>
        <v>#N/A</v>
      </c>
      <c r="W116" s="249" t="e">
        <f>IF(Paris_Inflow!P116=0,#N/A,Paris_Inflow!P116)</f>
        <v>#N/A</v>
      </c>
      <c r="X116" s="249"/>
      <c r="Y116" s="252">
        <f>IF(Paris_Inflow!W116=0,#N/A,Paris_Inflow!W116)</f>
        <v>2723.2254243199995</v>
      </c>
      <c r="Z116" s="252">
        <f>IF(Paris_Inflow!X116=0,#N/A,Paris_Inflow!X116)</f>
        <v>2099.4088503509465</v>
      </c>
      <c r="AA116" s="252">
        <f>IF(Paris_Inflow!Y116=0,#N/A,Paris_Inflow!Y116)</f>
        <v>1319.6381328896298</v>
      </c>
      <c r="AB116" s="252"/>
      <c r="AC116" s="253">
        <f>IF(Paris_Inflow!AA116=0,#N/A,(Paris_Inflow!AA116+Paris_Inflow!AE116)/2)</f>
        <v>1450.7554606809847</v>
      </c>
      <c r="AD116" s="253">
        <f>IF(Paris_Inflow!AB116=0,#N/A,(Paris_Inflow!AB116+Paris_Inflow!AF116)/2)</f>
        <v>1296.3608586236442</v>
      </c>
      <c r="AE116" s="253">
        <f>IF(Paris_Inflow!AC116=0,#N/A,(Paris_Inflow!AC116+Paris_Inflow!AG116)/2)</f>
        <v>1103.3676060519683</v>
      </c>
      <c r="AG116" s="240"/>
      <c r="AH116" s="240"/>
      <c r="AI116" s="240"/>
      <c r="AJ116" s="240"/>
      <c r="AK116" s="240"/>
      <c r="AL116" s="240"/>
      <c r="AM116" s="240"/>
      <c r="AN116" s="240"/>
      <c r="AP116" s="204"/>
      <c r="AQ116" s="204"/>
      <c r="AR116" s="204"/>
      <c r="AS116" s="204"/>
      <c r="AT116" s="204"/>
      <c r="AU116" s="204"/>
      <c r="AW116" s="204"/>
      <c r="AX116" s="204"/>
      <c r="AY116" s="204"/>
    </row>
    <row r="117" spans="1:51" x14ac:dyDescent="0.25">
      <c r="A117" s="94">
        <v>2062</v>
      </c>
      <c r="B117" s="163" t="e">
        <v>#N/A</v>
      </c>
      <c r="C117" s="168">
        <f>IF(Paris_Inflow!C117=0,#N/A,Paris_Inflow!C117)</f>
        <v>2630.2280000000001</v>
      </c>
      <c r="D117" s="163" t="e">
        <v>#N/A</v>
      </c>
      <c r="E117" s="168">
        <f>IF(Paris_Inflow!D117=0,#N/A,Paris_Inflow!D117)</f>
        <v>409.5</v>
      </c>
      <c r="F117" s="163" t="e">
        <v>#N/A</v>
      </c>
      <c r="G117" s="168">
        <f>IF(Paris_Inflow!E117=0,#N/A,Paris_Inflow!E117)</f>
        <v>2220.7280000000001</v>
      </c>
      <c r="H117" s="163" t="e">
        <v>#N/A</v>
      </c>
      <c r="I117" s="168">
        <f>IF(Paris_Inflow!F117=0,#N/A,Paris_Inflow!F117)</f>
        <v>134.1198</v>
      </c>
      <c r="J117" s="163" t="e">
        <v>#N/A</v>
      </c>
      <c r="K117" s="168">
        <f>IF(Paris_Inflow!G117=0,#N/A,Paris_Inflow!G117)</f>
        <v>113.6773</v>
      </c>
      <c r="L117" s="172" t="e">
        <v>#N/A</v>
      </c>
      <c r="M117" s="167">
        <f>IF(Paris_Outflow!C117=0,#N/A,Paris_Outflow!C117)</f>
        <v>2190.125</v>
      </c>
      <c r="N117" s="172" t="e">
        <v>#N/A</v>
      </c>
      <c r="O117" s="167">
        <f>IF(Paris_Outflow!D117=0,#N/A,Paris_Outflow!D117)</f>
        <v>457.69499999999999</v>
      </c>
      <c r="P117" s="172" t="e">
        <v>#N/A</v>
      </c>
      <c r="Q117" s="167">
        <f>IF(Paris_Outflow!E117=0,#N/A,Paris_Outflow!E117)</f>
        <v>1732.4299999999998</v>
      </c>
      <c r="R117" s="172" t="e">
        <v>#N/A</v>
      </c>
      <c r="S117" s="167">
        <f>IF(Paris_Outflow!F117=0,#N/A,Paris_Outflow!F117)</f>
        <v>133.27499999999998</v>
      </c>
      <c r="T117" s="172" t="e">
        <v>#N/A</v>
      </c>
      <c r="U117" s="167">
        <f>IF(Paris_Outflow!G117=0,#N/A,Paris_Outflow!G117)</f>
        <v>97.957499999999982</v>
      </c>
      <c r="V117" s="249" t="e">
        <f>IF(Paris_Inflow!O117=0,#N/A,Paris_Inflow!O117)</f>
        <v>#N/A</v>
      </c>
      <c r="W117" s="249" t="e">
        <f>IF(Paris_Inflow!P117=0,#N/A,Paris_Inflow!P117)</f>
        <v>#N/A</v>
      </c>
      <c r="X117" s="249"/>
      <c r="Y117" s="252">
        <f>IF(Paris_Inflow!W117=0,#N/A,Paris_Inflow!W117)</f>
        <v>2755.6898755999996</v>
      </c>
      <c r="Z117" s="252">
        <f>IF(Paris_Inflow!X117=0,#N/A,Paris_Inflow!X117)</f>
        <v>2124.4360210232076</v>
      </c>
      <c r="AA117" s="252">
        <f>IF(Paris_Inflow!Y117=0,#N/A,Paris_Inflow!Y117)</f>
        <v>1335.3687028022175</v>
      </c>
      <c r="AB117" s="252"/>
      <c r="AC117" s="253">
        <f>IF(Paris_Inflow!AA117=0,#N/A,(Paris_Inflow!AA117+Paris_Inflow!AE117)/2)</f>
        <v>1468.0503858648713</v>
      </c>
      <c r="AD117" s="253">
        <f>IF(Paris_Inflow!AB117=0,#N/A,(Paris_Inflow!AB117+Paris_Inflow!AF117)/2)</f>
        <v>1311.8150568571155</v>
      </c>
      <c r="AE117" s="253">
        <f>IF(Paris_Inflow!AC117=0,#N/A,(Paris_Inflow!AC117+Paris_Inflow!AG117)/2)</f>
        <v>1116.5208955974203</v>
      </c>
      <c r="AG117" s="240"/>
      <c r="AH117" s="240"/>
      <c r="AI117" s="240"/>
      <c r="AJ117" s="240"/>
      <c r="AK117" s="240"/>
      <c r="AL117" s="240"/>
      <c r="AM117" s="240"/>
      <c r="AN117" s="240"/>
      <c r="AP117" s="204"/>
      <c r="AQ117" s="204"/>
      <c r="AR117" s="204"/>
      <c r="AS117" s="204"/>
      <c r="AT117" s="204"/>
      <c r="AU117" s="204"/>
      <c r="AW117" s="204"/>
      <c r="AX117" s="204"/>
      <c r="AY117" s="204"/>
    </row>
    <row r="118" spans="1:51" x14ac:dyDescent="0.25">
      <c r="A118" s="94">
        <v>2063</v>
      </c>
      <c r="B118" s="163" t="e">
        <v>#N/A</v>
      </c>
      <c r="C118" s="168">
        <f>IF(Paris_Inflow!C118=0,#N/A,Paris_Inflow!C118)</f>
        <v>663.16800000000001</v>
      </c>
      <c r="D118" s="163" t="e">
        <v>#N/A</v>
      </c>
      <c r="E118" s="168" t="e">
        <f>IF(Paris_Inflow!D118=0,#N/A,Paris_Inflow!D118)</f>
        <v>#N/A</v>
      </c>
      <c r="F118" s="163" t="e">
        <v>#N/A</v>
      </c>
      <c r="G118" s="168">
        <f>IF(Paris_Inflow!E118=0,#N/A,Paris_Inflow!E118)</f>
        <v>663.16800000000001</v>
      </c>
      <c r="H118" s="163" t="e">
        <v>#N/A</v>
      </c>
      <c r="I118" s="168">
        <f>IF(Paris_Inflow!F118=0,#N/A,Paris_Inflow!F118)</f>
        <v>27</v>
      </c>
      <c r="J118" s="163" t="e">
        <v>#N/A</v>
      </c>
      <c r="K118" s="168">
        <f>IF(Paris_Inflow!G118=0,#N/A,Paris_Inflow!G118)</f>
        <v>27</v>
      </c>
      <c r="L118" s="172" t="e">
        <v>#N/A</v>
      </c>
      <c r="M118" s="167">
        <f>IF(Paris_Outflow!C118=0,#N/A,Paris_Outflow!C118)</f>
        <v>388.15</v>
      </c>
      <c r="N118" s="172" t="e">
        <v>#N/A</v>
      </c>
      <c r="O118" s="167" t="e">
        <f>IF(Paris_Outflow!D118=0,#N/A,Paris_Outflow!D118)</f>
        <v>#N/A</v>
      </c>
      <c r="P118" s="172" t="e">
        <v>#N/A</v>
      </c>
      <c r="Q118" s="167">
        <f>IF(Paris_Outflow!E118=0,#N/A,Paris_Outflow!E118)</f>
        <v>388.15</v>
      </c>
      <c r="R118" s="172" t="e">
        <v>#N/A</v>
      </c>
      <c r="S118" s="167">
        <f>IF(Paris_Outflow!F118=0,#N/A,Paris_Outflow!F118)</f>
        <v>29.388500000000001</v>
      </c>
      <c r="T118" s="172" t="e">
        <v>#N/A</v>
      </c>
      <c r="U118" s="167">
        <f>IF(Paris_Outflow!G118=0,#N/A,Paris_Outflow!G118)</f>
        <v>29.388500000000001</v>
      </c>
      <c r="V118" s="249" t="e">
        <f>IF(Paris_Inflow!O118=0,#N/A,Paris_Inflow!O118)</f>
        <v>#N/A</v>
      </c>
      <c r="W118" s="249" t="e">
        <f>IF(Paris_Inflow!P118=0,#N/A,Paris_Inflow!P118)</f>
        <v>#N/A</v>
      </c>
      <c r="X118" s="249"/>
      <c r="Y118" s="252">
        <f>IF(Paris_Inflow!W118=0,#N/A,Paris_Inflow!W118)</f>
        <v>694.80111359999989</v>
      </c>
      <c r="Z118" s="252">
        <f>IF(Paris_Inflow!X118=0,#N/A,Paris_Inflow!X118)</f>
        <v>535.64092594626698</v>
      </c>
      <c r="AA118" s="252">
        <f>IF(Paris_Inflow!Y118=0,#N/A,Paris_Inflow!Y118)</f>
        <v>336.69069137910066</v>
      </c>
      <c r="AB118" s="252"/>
      <c r="AC118" s="253">
        <f>IF(Paris_Inflow!AA118=0,#N/A,(Paris_Inflow!AA118+Paris_Inflow!AE118)/2)</f>
        <v>370.14435185589798</v>
      </c>
      <c r="AD118" s="253">
        <f>IF(Paris_Inflow!AB118=0,#N/A,(Paris_Inflow!AB118+Paris_Inflow!AF118)/2)</f>
        <v>330.75220541159911</v>
      </c>
      <c r="AE118" s="253">
        <f>IF(Paris_Inflow!AC118=0,#N/A,(Paris_Inflow!AC118+Paris_Inflow!AG118)/2)</f>
        <v>281.51202235622543</v>
      </c>
      <c r="AG118" s="240"/>
      <c r="AH118" s="240"/>
      <c r="AI118" s="240"/>
      <c r="AJ118" s="240"/>
      <c r="AK118" s="240"/>
      <c r="AL118" s="240"/>
      <c r="AM118" s="240"/>
      <c r="AN118" s="240"/>
      <c r="AP118" s="204"/>
      <c r="AQ118" s="204"/>
      <c r="AR118" s="204"/>
      <c r="AS118" s="204"/>
      <c r="AT118" s="204"/>
      <c r="AU118" s="204"/>
      <c r="AW118" s="204"/>
      <c r="AX118" s="204"/>
      <c r="AY118" s="204"/>
    </row>
    <row r="119" spans="1:51" x14ac:dyDescent="0.25">
      <c r="A119" s="94">
        <v>2064</v>
      </c>
      <c r="B119" s="163" t="e">
        <v>#N/A</v>
      </c>
      <c r="C119" s="168">
        <f>IF(Paris_Inflow!C119=0,#N/A,Paris_Inflow!C119)</f>
        <v>2339.0963750000001</v>
      </c>
      <c r="D119" s="163" t="e">
        <v>#N/A</v>
      </c>
      <c r="E119" s="168">
        <f>IF(Paris_Inflow!D119=0,#N/A,Paris_Inflow!D119)</f>
        <v>870.32</v>
      </c>
      <c r="F119" s="163" t="e">
        <v>#N/A</v>
      </c>
      <c r="G119" s="168">
        <f>IF(Paris_Inflow!E119=0,#N/A,Paris_Inflow!E119)</f>
        <v>1468.7763749999999</v>
      </c>
      <c r="H119" s="163" t="e">
        <v>#N/A</v>
      </c>
      <c r="I119" s="168">
        <f>IF(Paris_Inflow!F119=0,#N/A,Paris_Inflow!F119)</f>
        <v>183.59013333333331</v>
      </c>
      <c r="J119" s="163" t="e">
        <v>#N/A</v>
      </c>
      <c r="K119" s="168">
        <f>IF(Paris_Inflow!G119=0,#N/A,Paris_Inflow!G119)</f>
        <v>120.35506666666666</v>
      </c>
      <c r="L119" s="172" t="e">
        <v>#N/A</v>
      </c>
      <c r="M119" s="167">
        <f>IF(Paris_Outflow!C119=0,#N/A,Paris_Outflow!C119)</f>
        <v>2339.0963750000001</v>
      </c>
      <c r="N119" s="172" t="e">
        <v>#N/A</v>
      </c>
      <c r="O119" s="167">
        <f>IF(Paris_Outflow!D119=0,#N/A,Paris_Outflow!D119)</f>
        <v>870.32</v>
      </c>
      <c r="P119" s="172" t="e">
        <v>#N/A</v>
      </c>
      <c r="Q119" s="167">
        <f>IF(Paris_Outflow!E119=0,#N/A,Paris_Outflow!E119)</f>
        <v>1468.7763749999999</v>
      </c>
      <c r="R119" s="172" t="e">
        <v>#N/A</v>
      </c>
      <c r="S119" s="167">
        <f>IF(Paris_Outflow!F119=0,#N/A,Paris_Outflow!F119)</f>
        <v>183.59013333333331</v>
      </c>
      <c r="T119" s="172" t="e">
        <v>#N/A</v>
      </c>
      <c r="U119" s="167">
        <f>IF(Paris_Outflow!G119=0,#N/A,Paris_Outflow!G119)</f>
        <v>120.35506666666666</v>
      </c>
      <c r="V119" s="249" t="e">
        <f>IF(Paris_Inflow!O119=0,#N/A,Paris_Inflow!O119)</f>
        <v>#N/A</v>
      </c>
      <c r="W119" s="249" t="e">
        <f>IF(Paris_Inflow!P119=0,#N/A,Paris_Inflow!P119)</f>
        <v>#N/A</v>
      </c>
      <c r="X119" s="249"/>
      <c r="Y119" s="252">
        <f>IF(Paris_Inflow!W119=0,#N/A,Paris_Inflow!W119)</f>
        <v>2450.6712720874998</v>
      </c>
      <c r="Z119" s="252">
        <f>IF(Paris_Inflow!X119=0,#N/A,Paris_Inflow!X119)</f>
        <v>1889.2884252196263</v>
      </c>
      <c r="AA119" s="252">
        <f>IF(Paris_Inflow!Y119=0,#N/A,Paris_Inflow!Y119)</f>
        <v>1187.5598666347846</v>
      </c>
      <c r="AB119" s="252"/>
      <c r="AC119" s="253">
        <f>IF(Paris_Inflow!AA119=0,#N/A,(Paris_Inflow!AA119+Paris_Inflow!AE119)/2)</f>
        <v>1305.5565281389568</v>
      </c>
      <c r="AD119" s="253">
        <f>IF(Paris_Inflow!AB119=0,#N/A,(Paris_Inflow!AB119+Paris_Inflow!AF119)/2)</f>
        <v>1166.6142735391581</v>
      </c>
      <c r="AE119" s="253">
        <f>IF(Paris_Inflow!AC119=0,#N/A,(Paris_Inflow!AC119+Paris_Inflow!AG119)/2)</f>
        <v>992.93645528940988</v>
      </c>
      <c r="AG119" s="240"/>
      <c r="AH119" s="240"/>
      <c r="AI119" s="240"/>
      <c r="AJ119" s="240"/>
      <c r="AK119" s="240"/>
      <c r="AL119" s="240"/>
      <c r="AM119" s="240"/>
      <c r="AN119" s="240"/>
      <c r="AP119" s="204"/>
      <c r="AQ119" s="204"/>
      <c r="AR119" s="204"/>
      <c r="AS119" s="204"/>
      <c r="AT119" s="204"/>
      <c r="AU119" s="204"/>
      <c r="AW119" s="204"/>
      <c r="AX119" s="204"/>
      <c r="AY119" s="204"/>
    </row>
    <row r="120" spans="1:51" x14ac:dyDescent="0.25">
      <c r="A120" s="94">
        <v>2065</v>
      </c>
      <c r="B120" s="163" t="e">
        <v>#N/A</v>
      </c>
      <c r="C120" s="168">
        <f>IF(Paris_Inflow!C120=0,#N/A,Paris_Inflow!C120)</f>
        <v>2055.8690476190473</v>
      </c>
      <c r="D120" s="163" t="e">
        <v>#N/A</v>
      </c>
      <c r="E120" s="168">
        <f>IF(Paris_Inflow!D120=0,#N/A,Paris_Inflow!D120)</f>
        <v>490.83333333333326</v>
      </c>
      <c r="F120" s="163" t="e">
        <v>#N/A</v>
      </c>
      <c r="G120" s="168">
        <f>IF(Paris_Inflow!E120=0,#N/A,Paris_Inflow!E120)</f>
        <v>1565.035714285714</v>
      </c>
      <c r="H120" s="163" t="e">
        <v>#N/A</v>
      </c>
      <c r="I120" s="168">
        <f>IF(Paris_Inflow!F120=0,#N/A,Paris_Inflow!F120)</f>
        <v>146.84285714285713</v>
      </c>
      <c r="J120" s="163" t="e">
        <v>#N/A</v>
      </c>
      <c r="K120" s="168">
        <f>IF(Paris_Inflow!G120=0,#N/A,Paris_Inflow!G120)</f>
        <v>73.421428571428564</v>
      </c>
      <c r="L120" s="172" t="e">
        <v>#N/A</v>
      </c>
      <c r="M120" s="167">
        <f>IF(Paris_Outflow!C120=0,#N/A,Paris_Outflow!C120)</f>
        <v>2055.8690476190473</v>
      </c>
      <c r="N120" s="172" t="e">
        <v>#N/A</v>
      </c>
      <c r="O120" s="167">
        <f>IF(Paris_Outflow!D120=0,#N/A,Paris_Outflow!D120)</f>
        <v>490.83333333333326</v>
      </c>
      <c r="P120" s="172" t="e">
        <v>#N/A</v>
      </c>
      <c r="Q120" s="167">
        <f>IF(Paris_Outflow!E120=0,#N/A,Paris_Outflow!E120)</f>
        <v>1565.035714285714</v>
      </c>
      <c r="R120" s="172" t="e">
        <v>#N/A</v>
      </c>
      <c r="S120" s="167">
        <f>IF(Paris_Outflow!F120=0,#N/A,Paris_Outflow!F120)</f>
        <v>146.84285714285713</v>
      </c>
      <c r="T120" s="172" t="e">
        <v>#N/A</v>
      </c>
      <c r="U120" s="167">
        <f>IF(Paris_Outflow!G120=0,#N/A,Paris_Outflow!G120)</f>
        <v>73.421428571428564</v>
      </c>
      <c r="V120" s="249" t="e">
        <f>IF(Paris_Inflow!O120=0,#N/A,Paris_Inflow!O120)</f>
        <v>#N/A</v>
      </c>
      <c r="W120" s="249" t="e">
        <f>IF(Paris_Inflow!P120=0,#N/A,Paris_Inflow!P120)</f>
        <v>#N/A</v>
      </c>
      <c r="X120" s="249"/>
      <c r="Y120" s="252">
        <f>IF(Paris_Inflow!W120=0,#N/A,Paris_Inflow!W120)</f>
        <v>2153.9340011904756</v>
      </c>
      <c r="Z120" s="252">
        <f>IF(Paris_Inflow!X120=0,#N/A,Paris_Inflow!X120)</f>
        <v>1660.525580696685</v>
      </c>
      <c r="AA120" s="252">
        <f>IF(Paris_Inflow!Y120=0,#N/A,Paris_Inflow!Y120)</f>
        <v>1043.7650550794469</v>
      </c>
      <c r="AB120" s="252"/>
      <c r="AC120" s="253">
        <f>IF(Paris_Inflow!AA120=0,#N/A,(Paris_Inflow!AA120+Paris_Inflow!AE120)/2)</f>
        <v>1147.4744199532465</v>
      </c>
      <c r="AD120" s="253">
        <f>IF(Paris_Inflow!AB120=0,#N/A,(Paris_Inflow!AB120+Paris_Inflow!AF120)/2)</f>
        <v>1025.3558358810333</v>
      </c>
      <c r="AE120" s="253">
        <f>IF(Paris_Inflow!AC120=0,#N/A,(Paris_Inflow!AC120+Paris_Inflow!AG120)/2)</f>
        <v>872.70760579076705</v>
      </c>
      <c r="AG120" s="222">
        <f>AVERAGE(Paris_Inflow!B120:B129)</f>
        <v>9068.6507936507933</v>
      </c>
      <c r="AH120" s="222">
        <f>AVERAGE(Paris_Inflow!C120:C129)</f>
        <v>342.64484126984121</v>
      </c>
      <c r="AI120" s="223">
        <f>AVERAGE(Paris_Outflow!B120:B129)</f>
        <v>14865.079365079364</v>
      </c>
      <c r="AJ120" s="223">
        <f>AVERAGE(Paris_Outflow!C120:C129)</f>
        <v>342.64484126984121</v>
      </c>
      <c r="AK120" s="222">
        <f>AVERAGE(Paris_Inflow!F120:F129)</f>
        <v>24.473809523809521</v>
      </c>
      <c r="AL120" s="223">
        <f>AVERAGE(Paris_Outflow!F120:F129)</f>
        <v>24.473809523809521</v>
      </c>
      <c r="AM120" s="222">
        <f>AVERAGE(Paris_Inflow!G120:G129)</f>
        <v>12.236904761904761</v>
      </c>
      <c r="AN120" s="223">
        <f>AVERAGE(Paris_Outflow!G120:G129)</f>
        <v>12.236904761904761</v>
      </c>
      <c r="AP120" s="208">
        <f>AVERAGE(Paris_Outflow!W121:W130)</f>
        <v>0</v>
      </c>
      <c r="AQ120" s="208">
        <f>AVERAGE(Paris_Outflow!X121:X130)</f>
        <v>0</v>
      </c>
      <c r="AR120" s="208">
        <f>AVERAGE(Paris_Outflow!Y121:Y130)</f>
        <v>0</v>
      </c>
      <c r="AS120" s="208">
        <f>AVERAGE(Paris_Outflow!Z121:Z130)</f>
        <v>0</v>
      </c>
      <c r="AT120" s="208">
        <f>AVERAGE(Paris_Outflow!AA121:AA130)</f>
        <v>0</v>
      </c>
      <c r="AU120" s="208">
        <f>AVERAGE(Paris_Outflow!AB121:AB130)</f>
        <v>0</v>
      </c>
      <c r="AW120" s="208">
        <f>AVERAGE(Paris_Outflow!AD121:AD130)</f>
        <v>0</v>
      </c>
      <c r="AX120" s="208">
        <f>AVERAGE(Paris_Outflow!AE121:AE130)</f>
        <v>0</v>
      </c>
      <c r="AY120" s="208">
        <f>AVERAGE(Paris_Outflow!AF121:AF130)</f>
        <v>0</v>
      </c>
    </row>
    <row r="121" spans="1:51" x14ac:dyDescent="0.25">
      <c r="A121" s="94">
        <v>2066</v>
      </c>
      <c r="B121" s="163" t="e">
        <v>#N/A</v>
      </c>
      <c r="C121" s="168" t="e">
        <f>IF(Paris_Inflow!C121=0,#N/A,Paris_Inflow!C121)</f>
        <v>#N/A</v>
      </c>
      <c r="D121" s="163" t="e">
        <v>#N/A</v>
      </c>
      <c r="E121" s="168" t="e">
        <f>IF(Paris_Inflow!D121=0,#N/A,Paris_Inflow!D121)</f>
        <v>#N/A</v>
      </c>
      <c r="F121" s="163" t="e">
        <v>#N/A</v>
      </c>
      <c r="G121" s="168" t="e">
        <f>IF(Paris_Inflow!E121=0,#N/A,Paris_Inflow!E121)</f>
        <v>#N/A</v>
      </c>
      <c r="H121" s="163" t="e">
        <v>#N/A</v>
      </c>
      <c r="I121" s="168" t="e">
        <f>IF(Paris_Inflow!F121=0,#N/A,Paris_Inflow!F121)</f>
        <v>#N/A</v>
      </c>
      <c r="J121" s="163" t="e">
        <v>#N/A</v>
      </c>
      <c r="K121" s="168" t="e">
        <f>IF(Paris_Inflow!G121=0,#N/A,Paris_Inflow!G121)</f>
        <v>#N/A</v>
      </c>
      <c r="L121" s="172" t="e">
        <v>#N/A</v>
      </c>
      <c r="M121" s="167" t="e">
        <f>IF(Paris_Outflow!C121=0,#N/A,Paris_Outflow!C121)</f>
        <v>#N/A</v>
      </c>
      <c r="N121" s="172" t="e">
        <v>#N/A</v>
      </c>
      <c r="O121" s="167" t="e">
        <f>IF(Paris_Outflow!D121=0,#N/A,Paris_Outflow!D121)</f>
        <v>#N/A</v>
      </c>
      <c r="P121" s="172" t="e">
        <v>#N/A</v>
      </c>
      <c r="Q121" s="167" t="e">
        <f>IF(Paris_Outflow!E121=0,#N/A,Paris_Outflow!E121)</f>
        <v>#N/A</v>
      </c>
      <c r="R121" s="172" t="e">
        <v>#N/A</v>
      </c>
      <c r="S121" s="167" t="e">
        <f>IF(Paris_Outflow!F121=0,#N/A,Paris_Outflow!F121)</f>
        <v>#N/A</v>
      </c>
      <c r="T121" s="172" t="e">
        <v>#N/A</v>
      </c>
      <c r="U121" s="167" t="e">
        <f>IF(Paris_Outflow!G121=0,#N/A,Paris_Outflow!G121)</f>
        <v>#N/A</v>
      </c>
      <c r="V121" s="249" t="e">
        <f>IF(Paris_Inflow!O121=0,#N/A,Paris_Inflow!O121)</f>
        <v>#N/A</v>
      </c>
      <c r="W121" s="249" t="e">
        <f>IF(Paris_Inflow!P121=0,#N/A,Paris_Inflow!P121)</f>
        <v>#N/A</v>
      </c>
      <c r="X121" s="249"/>
      <c r="Y121" s="252" t="e">
        <f>IF(Paris_Inflow!W121=0,#N/A,Paris_Inflow!W121)</f>
        <v>#N/A</v>
      </c>
      <c r="Z121" s="252" t="e">
        <f>IF(Paris_Inflow!X121=0,#N/A,Paris_Inflow!X121)</f>
        <v>#N/A</v>
      </c>
      <c r="AA121" s="252" t="e">
        <f>IF(Paris_Inflow!Y121=0,#N/A,Paris_Inflow!Y121)</f>
        <v>#N/A</v>
      </c>
      <c r="AB121" s="252"/>
      <c r="AC121" s="253" t="e">
        <f>IF(Paris_Inflow!AA121=0,#N/A,(Paris_Inflow!AA121+Paris_Inflow!AE121)/2)</f>
        <v>#N/A</v>
      </c>
      <c r="AD121" s="253" t="e">
        <f>IF(Paris_Inflow!AB121=0,#N/A,(Paris_Inflow!AB121+Paris_Inflow!AF121)/2)</f>
        <v>#N/A</v>
      </c>
      <c r="AE121" s="253" t="e">
        <f>IF(Paris_Inflow!AC121=0,#N/A,(Paris_Inflow!AC121+Paris_Inflow!AG121)/2)</f>
        <v>#N/A</v>
      </c>
      <c r="AG121" s="204"/>
      <c r="AH121" s="204"/>
      <c r="AI121" s="204"/>
      <c r="AJ121" s="204"/>
      <c r="AK121" s="204"/>
      <c r="AL121" s="204"/>
      <c r="AM121" s="204"/>
      <c r="AN121" s="204"/>
      <c r="AP121" s="204"/>
      <c r="AQ121" s="204"/>
      <c r="AR121" s="204"/>
      <c r="AS121" s="204"/>
      <c r="AT121" s="204"/>
      <c r="AU121" s="204"/>
      <c r="AW121" s="204"/>
      <c r="AX121" s="204"/>
      <c r="AY121" s="204"/>
    </row>
    <row r="122" spans="1:51" x14ac:dyDescent="0.25">
      <c r="A122" s="94">
        <v>2067</v>
      </c>
      <c r="B122" s="163" t="e">
        <v>#N/A</v>
      </c>
      <c r="C122" s="168" t="e">
        <f>IF(Paris_Inflow!C122=0,#N/A,Paris_Inflow!C122)</f>
        <v>#N/A</v>
      </c>
      <c r="D122" s="163" t="e">
        <v>#N/A</v>
      </c>
      <c r="E122" s="168" t="e">
        <f>IF(Paris_Inflow!D122=0,#N/A,Paris_Inflow!D122)</f>
        <v>#N/A</v>
      </c>
      <c r="F122" s="163" t="e">
        <v>#N/A</v>
      </c>
      <c r="G122" s="168" t="e">
        <f>IF(Paris_Inflow!E122=0,#N/A,Paris_Inflow!E122)</f>
        <v>#N/A</v>
      </c>
      <c r="H122" s="163" t="e">
        <v>#N/A</v>
      </c>
      <c r="I122" s="168" t="e">
        <f>IF(Paris_Inflow!F122=0,#N/A,Paris_Inflow!F122)</f>
        <v>#N/A</v>
      </c>
      <c r="J122" s="163" t="e">
        <v>#N/A</v>
      </c>
      <c r="K122" s="168" t="e">
        <f>IF(Paris_Inflow!G122=0,#N/A,Paris_Inflow!G122)</f>
        <v>#N/A</v>
      </c>
      <c r="L122" s="172" t="e">
        <v>#N/A</v>
      </c>
      <c r="M122" s="167" t="e">
        <f>IF(Paris_Outflow!C122=0,#N/A,Paris_Outflow!C122)</f>
        <v>#N/A</v>
      </c>
      <c r="N122" s="172" t="e">
        <v>#N/A</v>
      </c>
      <c r="O122" s="167" t="e">
        <f>IF(Paris_Outflow!D122=0,#N/A,Paris_Outflow!D122)</f>
        <v>#N/A</v>
      </c>
      <c r="P122" s="172" t="e">
        <v>#N/A</v>
      </c>
      <c r="Q122" s="167" t="e">
        <f>IF(Paris_Outflow!E122=0,#N/A,Paris_Outflow!E122)</f>
        <v>#N/A</v>
      </c>
      <c r="R122" s="172" t="e">
        <v>#N/A</v>
      </c>
      <c r="S122" s="167" t="e">
        <f>IF(Paris_Outflow!F122=0,#N/A,Paris_Outflow!F122)</f>
        <v>#N/A</v>
      </c>
      <c r="T122" s="172" t="e">
        <v>#N/A</v>
      </c>
      <c r="U122" s="167" t="e">
        <f>IF(Paris_Outflow!G122=0,#N/A,Paris_Outflow!G122)</f>
        <v>#N/A</v>
      </c>
      <c r="V122" s="249" t="e">
        <f>IF(Paris_Inflow!O122=0,#N/A,Paris_Inflow!O122)</f>
        <v>#N/A</v>
      </c>
      <c r="W122" s="249" t="e">
        <f>IF(Paris_Inflow!P122=0,#N/A,Paris_Inflow!P122)</f>
        <v>#N/A</v>
      </c>
      <c r="X122" s="249"/>
      <c r="Y122" s="252" t="e">
        <f>IF(Paris_Inflow!W122=0,#N/A,Paris_Inflow!W122)</f>
        <v>#N/A</v>
      </c>
      <c r="Z122" s="252" t="e">
        <f>IF(Paris_Inflow!X122=0,#N/A,Paris_Inflow!X122)</f>
        <v>#N/A</v>
      </c>
      <c r="AA122" s="252" t="e">
        <f>IF(Paris_Inflow!Y122=0,#N/A,Paris_Inflow!Y122)</f>
        <v>#N/A</v>
      </c>
      <c r="AB122" s="252"/>
      <c r="AC122" s="253" t="e">
        <f>IF(Paris_Inflow!AA122=0,#N/A,(Paris_Inflow!AA122+Paris_Inflow!AE122)/2)</f>
        <v>#N/A</v>
      </c>
      <c r="AD122" s="253" t="e">
        <f>IF(Paris_Inflow!AB122=0,#N/A,(Paris_Inflow!AB122+Paris_Inflow!AF122)/2)</f>
        <v>#N/A</v>
      </c>
      <c r="AE122" s="253" t="e">
        <f>IF(Paris_Inflow!AC122=0,#N/A,(Paris_Inflow!AC122+Paris_Inflow!AG122)/2)</f>
        <v>#N/A</v>
      </c>
      <c r="AG122" s="204"/>
      <c r="AH122" s="204"/>
      <c r="AI122" s="204"/>
      <c r="AJ122" s="204"/>
      <c r="AK122" s="204"/>
      <c r="AL122" s="204"/>
      <c r="AM122" s="204"/>
      <c r="AN122" s="204"/>
      <c r="AP122" s="204"/>
      <c r="AQ122" s="204"/>
      <c r="AR122" s="204"/>
      <c r="AS122" s="204"/>
      <c r="AT122" s="204"/>
      <c r="AU122" s="204"/>
      <c r="AW122" s="204"/>
      <c r="AX122" s="204"/>
      <c r="AY122" s="204"/>
    </row>
    <row r="123" spans="1:51" x14ac:dyDescent="0.25">
      <c r="A123" s="94">
        <v>2068</v>
      </c>
      <c r="B123" s="163" t="e">
        <v>#N/A</v>
      </c>
      <c r="C123" s="168" t="e">
        <f>IF(Paris_Inflow!C123=0,#N/A,Paris_Inflow!C123)</f>
        <v>#N/A</v>
      </c>
      <c r="D123" s="163" t="e">
        <v>#N/A</v>
      </c>
      <c r="E123" s="168" t="e">
        <f>IF(Paris_Inflow!D123=0,#N/A,Paris_Inflow!D123)</f>
        <v>#N/A</v>
      </c>
      <c r="F123" s="163" t="e">
        <v>#N/A</v>
      </c>
      <c r="G123" s="168" t="e">
        <f>IF(Paris_Inflow!E123=0,#N/A,Paris_Inflow!E123)</f>
        <v>#N/A</v>
      </c>
      <c r="H123" s="163" t="e">
        <v>#N/A</v>
      </c>
      <c r="I123" s="168" t="e">
        <f>IF(Paris_Inflow!F123=0,#N/A,Paris_Inflow!F123)</f>
        <v>#N/A</v>
      </c>
      <c r="J123" s="163" t="e">
        <v>#N/A</v>
      </c>
      <c r="K123" s="168" t="e">
        <f>IF(Paris_Inflow!G123=0,#N/A,Paris_Inflow!G123)</f>
        <v>#N/A</v>
      </c>
      <c r="L123" s="172" t="e">
        <v>#N/A</v>
      </c>
      <c r="M123" s="167" t="e">
        <f>IF(Paris_Outflow!C123=0,#N/A,Paris_Outflow!C123)</f>
        <v>#N/A</v>
      </c>
      <c r="N123" s="172" t="e">
        <v>#N/A</v>
      </c>
      <c r="O123" s="167" t="e">
        <f>IF(Paris_Outflow!D123=0,#N/A,Paris_Outflow!D123)</f>
        <v>#N/A</v>
      </c>
      <c r="P123" s="172" t="e">
        <v>#N/A</v>
      </c>
      <c r="Q123" s="167" t="e">
        <f>IF(Paris_Outflow!E123=0,#N/A,Paris_Outflow!E123)</f>
        <v>#N/A</v>
      </c>
      <c r="R123" s="172" t="e">
        <v>#N/A</v>
      </c>
      <c r="S123" s="167" t="e">
        <f>IF(Paris_Outflow!F123=0,#N/A,Paris_Outflow!F123)</f>
        <v>#N/A</v>
      </c>
      <c r="T123" s="172" t="e">
        <v>#N/A</v>
      </c>
      <c r="U123" s="167" t="e">
        <f>IF(Paris_Outflow!G123=0,#N/A,Paris_Outflow!G123)</f>
        <v>#N/A</v>
      </c>
      <c r="V123" s="249" t="e">
        <f>IF(Paris_Inflow!O123=0,#N/A,Paris_Inflow!O123)</f>
        <v>#N/A</v>
      </c>
      <c r="W123" s="249" t="e">
        <f>IF(Paris_Inflow!P123=0,#N/A,Paris_Inflow!P123)</f>
        <v>#N/A</v>
      </c>
      <c r="X123" s="249"/>
      <c r="Y123" s="252" t="e">
        <f>IF(Paris_Inflow!W123=0,#N/A,Paris_Inflow!W123)</f>
        <v>#N/A</v>
      </c>
      <c r="Z123" s="252" t="e">
        <f>IF(Paris_Inflow!X123=0,#N/A,Paris_Inflow!X123)</f>
        <v>#N/A</v>
      </c>
      <c r="AA123" s="252" t="e">
        <f>IF(Paris_Inflow!Y123=0,#N/A,Paris_Inflow!Y123)</f>
        <v>#N/A</v>
      </c>
      <c r="AB123" s="252"/>
      <c r="AC123" s="253" t="e">
        <f>IF(Paris_Inflow!AA123=0,#N/A,(Paris_Inflow!AA123+Paris_Inflow!AE123)/2)</f>
        <v>#N/A</v>
      </c>
      <c r="AD123" s="253" t="e">
        <f>IF(Paris_Inflow!AB123=0,#N/A,(Paris_Inflow!AB123+Paris_Inflow!AF123)/2)</f>
        <v>#N/A</v>
      </c>
      <c r="AE123" s="253" t="e">
        <f>IF(Paris_Inflow!AC123=0,#N/A,(Paris_Inflow!AC123+Paris_Inflow!AG123)/2)</f>
        <v>#N/A</v>
      </c>
      <c r="AG123" s="204"/>
      <c r="AH123" s="204"/>
      <c r="AI123" s="204"/>
      <c r="AJ123" s="204"/>
      <c r="AK123" s="204"/>
      <c r="AL123" s="204"/>
      <c r="AM123" s="204"/>
      <c r="AN123" s="204"/>
      <c r="AP123" s="204"/>
      <c r="AQ123" s="204"/>
      <c r="AR123" s="204"/>
      <c r="AS123" s="204"/>
      <c r="AT123" s="204"/>
      <c r="AU123" s="204"/>
      <c r="AW123" s="204"/>
      <c r="AX123" s="204"/>
      <c r="AY123" s="204"/>
    </row>
    <row r="124" spans="1:51" x14ac:dyDescent="0.25">
      <c r="A124" s="94">
        <v>2069</v>
      </c>
      <c r="B124" s="163" t="e">
        <v>#N/A</v>
      </c>
      <c r="C124" s="168" t="e">
        <f>IF(Paris_Inflow!C124=0,#N/A,Paris_Inflow!C124)</f>
        <v>#N/A</v>
      </c>
      <c r="D124" s="163" t="e">
        <v>#N/A</v>
      </c>
      <c r="E124" s="168" t="e">
        <f>IF(Paris_Inflow!D124=0,#N/A,Paris_Inflow!D124)</f>
        <v>#N/A</v>
      </c>
      <c r="F124" s="163" t="e">
        <v>#N/A</v>
      </c>
      <c r="G124" s="168" t="e">
        <f>IF(Paris_Inflow!E124=0,#N/A,Paris_Inflow!E124)</f>
        <v>#N/A</v>
      </c>
      <c r="H124" s="163" t="e">
        <v>#N/A</v>
      </c>
      <c r="I124" s="168" t="e">
        <f>IF(Paris_Inflow!F124=0,#N/A,Paris_Inflow!F124)</f>
        <v>#N/A</v>
      </c>
      <c r="J124" s="163" t="e">
        <v>#N/A</v>
      </c>
      <c r="K124" s="168" t="e">
        <f>IF(Paris_Inflow!G124=0,#N/A,Paris_Inflow!G124)</f>
        <v>#N/A</v>
      </c>
      <c r="L124" s="172" t="e">
        <v>#N/A</v>
      </c>
      <c r="M124" s="167" t="e">
        <f>IF(Paris_Outflow!C124=0,#N/A,Paris_Outflow!C124)</f>
        <v>#N/A</v>
      </c>
      <c r="N124" s="172" t="e">
        <v>#N/A</v>
      </c>
      <c r="O124" s="167" t="e">
        <f>IF(Paris_Outflow!D124=0,#N/A,Paris_Outflow!D124)</f>
        <v>#N/A</v>
      </c>
      <c r="P124" s="172" t="e">
        <v>#N/A</v>
      </c>
      <c r="Q124" s="167" t="e">
        <f>IF(Paris_Outflow!E124=0,#N/A,Paris_Outflow!E124)</f>
        <v>#N/A</v>
      </c>
      <c r="R124" s="172" t="e">
        <v>#N/A</v>
      </c>
      <c r="S124" s="167" t="e">
        <f>IF(Paris_Outflow!F124=0,#N/A,Paris_Outflow!F124)</f>
        <v>#N/A</v>
      </c>
      <c r="T124" s="172" t="e">
        <v>#N/A</v>
      </c>
      <c r="U124" s="167" t="e">
        <f>IF(Paris_Outflow!G124=0,#N/A,Paris_Outflow!G124)</f>
        <v>#N/A</v>
      </c>
      <c r="V124" s="249" t="e">
        <f>IF(Paris_Inflow!O124=0,#N/A,Paris_Inflow!O124)</f>
        <v>#N/A</v>
      </c>
      <c r="W124" s="249" t="e">
        <f>IF(Paris_Inflow!P124=0,#N/A,Paris_Inflow!P124)</f>
        <v>#N/A</v>
      </c>
      <c r="X124" s="249"/>
      <c r="Y124" s="252" t="e">
        <f>IF(Paris_Inflow!W124=0,#N/A,Paris_Inflow!W124)</f>
        <v>#N/A</v>
      </c>
      <c r="Z124" s="252" t="e">
        <f>IF(Paris_Inflow!X124=0,#N/A,Paris_Inflow!X124)</f>
        <v>#N/A</v>
      </c>
      <c r="AA124" s="252" t="e">
        <f>IF(Paris_Inflow!Y124=0,#N/A,Paris_Inflow!Y124)</f>
        <v>#N/A</v>
      </c>
      <c r="AB124" s="252"/>
      <c r="AC124" s="253" t="e">
        <f>IF(Paris_Inflow!AA124=0,#N/A,(Paris_Inflow!AA124+Paris_Inflow!AE124)/2)</f>
        <v>#N/A</v>
      </c>
      <c r="AD124" s="253" t="e">
        <f>IF(Paris_Inflow!AB124=0,#N/A,(Paris_Inflow!AB124+Paris_Inflow!AF124)/2)</f>
        <v>#N/A</v>
      </c>
      <c r="AE124" s="253" t="e">
        <f>IF(Paris_Inflow!AC124=0,#N/A,(Paris_Inflow!AC124+Paris_Inflow!AG124)/2)</f>
        <v>#N/A</v>
      </c>
      <c r="AG124" s="204"/>
      <c r="AH124" s="204"/>
      <c r="AI124" s="204"/>
      <c r="AJ124" s="204"/>
      <c r="AK124" s="204"/>
      <c r="AL124" s="204"/>
      <c r="AM124" s="204"/>
      <c r="AN124" s="204"/>
      <c r="AP124" s="204"/>
      <c r="AQ124" s="204"/>
      <c r="AR124" s="204"/>
      <c r="AS124" s="204"/>
      <c r="AT124" s="204"/>
      <c r="AU124" s="204"/>
      <c r="AW124" s="204"/>
      <c r="AX124" s="204"/>
      <c r="AY124" s="204"/>
    </row>
    <row r="125" spans="1:51" x14ac:dyDescent="0.25">
      <c r="A125" s="94">
        <v>2070</v>
      </c>
      <c r="B125" s="163" t="e">
        <v>#N/A</v>
      </c>
      <c r="C125" s="168" t="e">
        <f>IF(Paris_Inflow!C125=0,#N/A,Paris_Inflow!C125)</f>
        <v>#N/A</v>
      </c>
      <c r="D125" s="163" t="e">
        <v>#N/A</v>
      </c>
      <c r="E125" s="168" t="e">
        <f>IF(Paris_Inflow!D125=0,#N/A,Paris_Inflow!D125)</f>
        <v>#N/A</v>
      </c>
      <c r="F125" s="163" t="e">
        <v>#N/A</v>
      </c>
      <c r="G125" s="168" t="e">
        <f>IF(Paris_Inflow!E125=0,#N/A,Paris_Inflow!E125)</f>
        <v>#N/A</v>
      </c>
      <c r="H125" s="163" t="e">
        <v>#N/A</v>
      </c>
      <c r="I125" s="168" t="e">
        <f>IF(Paris_Inflow!F125=0,#N/A,Paris_Inflow!F125)</f>
        <v>#N/A</v>
      </c>
      <c r="J125" s="163" t="e">
        <v>#N/A</v>
      </c>
      <c r="K125" s="168" t="e">
        <f>IF(Paris_Inflow!G125=0,#N/A,Paris_Inflow!G125)</f>
        <v>#N/A</v>
      </c>
      <c r="L125" s="172" t="e">
        <v>#N/A</v>
      </c>
      <c r="M125" s="167" t="e">
        <f>IF(Paris_Outflow!C125=0,#N/A,Paris_Outflow!C125)</f>
        <v>#N/A</v>
      </c>
      <c r="N125" s="172" t="e">
        <v>#N/A</v>
      </c>
      <c r="O125" s="167" t="e">
        <f>IF(Paris_Outflow!D125=0,#N/A,Paris_Outflow!D125)</f>
        <v>#N/A</v>
      </c>
      <c r="P125" s="172" t="e">
        <v>#N/A</v>
      </c>
      <c r="Q125" s="167" t="e">
        <f>IF(Paris_Outflow!E125=0,#N/A,Paris_Outflow!E125)</f>
        <v>#N/A</v>
      </c>
      <c r="R125" s="172" t="e">
        <v>#N/A</v>
      </c>
      <c r="S125" s="167" t="e">
        <f>IF(Paris_Outflow!F125=0,#N/A,Paris_Outflow!F125)</f>
        <v>#N/A</v>
      </c>
      <c r="T125" s="172" t="e">
        <v>#N/A</v>
      </c>
      <c r="U125" s="167" t="e">
        <f>IF(Paris_Outflow!G125=0,#N/A,Paris_Outflow!G125)</f>
        <v>#N/A</v>
      </c>
      <c r="V125" s="249" t="e">
        <f>IF(Paris_Inflow!O125=0,#N/A,Paris_Inflow!O125)</f>
        <v>#N/A</v>
      </c>
      <c r="W125" s="249" t="e">
        <f>IF(Paris_Inflow!P125=0,#N/A,Paris_Inflow!P125)</f>
        <v>#N/A</v>
      </c>
      <c r="X125" s="249"/>
      <c r="Y125" s="252" t="e">
        <f>IF(Paris_Inflow!W125=0,#N/A,Paris_Inflow!W125)</f>
        <v>#N/A</v>
      </c>
      <c r="Z125" s="252" t="e">
        <f>IF(Paris_Inflow!X125=0,#N/A,Paris_Inflow!X125)</f>
        <v>#N/A</v>
      </c>
      <c r="AA125" s="252" t="e">
        <f>IF(Paris_Inflow!Y125=0,#N/A,Paris_Inflow!Y125)</f>
        <v>#N/A</v>
      </c>
      <c r="AB125" s="252"/>
      <c r="AC125" s="253" t="e">
        <f>IF(Paris_Inflow!AA125=0,#N/A,(Paris_Inflow!AA125+Paris_Inflow!AE125)/2)</f>
        <v>#N/A</v>
      </c>
      <c r="AD125" s="253" t="e">
        <f>IF(Paris_Inflow!AB125=0,#N/A,(Paris_Inflow!AB125+Paris_Inflow!AF125)/2)</f>
        <v>#N/A</v>
      </c>
      <c r="AE125" s="253" t="e">
        <f>IF(Paris_Inflow!AC125=0,#N/A,(Paris_Inflow!AC125+Paris_Inflow!AG125)/2)</f>
        <v>#N/A</v>
      </c>
      <c r="AG125" s="204"/>
      <c r="AH125" s="204"/>
      <c r="AI125" s="204"/>
      <c r="AJ125" s="204"/>
      <c r="AK125" s="204"/>
      <c r="AL125" s="204"/>
      <c r="AM125" s="204"/>
      <c r="AN125" s="204"/>
      <c r="AP125" s="204"/>
      <c r="AQ125" s="204"/>
      <c r="AR125" s="204"/>
      <c r="AS125" s="204"/>
      <c r="AT125" s="204"/>
      <c r="AU125" s="204"/>
      <c r="AW125" s="204"/>
      <c r="AX125" s="204"/>
      <c r="AY125" s="204"/>
    </row>
    <row r="126" spans="1:51" x14ac:dyDescent="0.25">
      <c r="A126" s="94">
        <v>2071</v>
      </c>
      <c r="B126" s="163" t="e">
        <v>#N/A</v>
      </c>
      <c r="C126" s="168" t="e">
        <f>IF(Paris_Inflow!B126=0,#N/A,Paris_Inflow!B126)</f>
        <v>#N/A</v>
      </c>
      <c r="D126" s="163" t="e">
        <v>#N/A</v>
      </c>
      <c r="E126" s="168" t="e">
        <f>IF(Paris_Inflow!D126=0,#N/A,Paris_Inflow!D126)</f>
        <v>#N/A</v>
      </c>
      <c r="F126" s="163" t="e">
        <v>#N/A</v>
      </c>
      <c r="G126" s="168" t="e">
        <f>IF(Paris_Inflow!E126=0,#N/A,Paris_Inflow!E126)</f>
        <v>#N/A</v>
      </c>
      <c r="H126" s="163" t="e">
        <v>#N/A</v>
      </c>
      <c r="I126" s="168" t="e">
        <f>IF(Paris_Inflow!F126=0,#N/A,Paris_Inflow!F126)</f>
        <v>#N/A</v>
      </c>
      <c r="J126" s="163" t="e">
        <v>#N/A</v>
      </c>
      <c r="K126" s="168" t="e">
        <f>IF(Paris_Inflow!G126=0,#N/A,Paris_Inflow!G126)</f>
        <v>#N/A</v>
      </c>
      <c r="L126" s="172" t="e">
        <v>#N/A</v>
      </c>
      <c r="M126" s="167" t="e">
        <f>IF(Paris_Outflow!B126=0,#N/A,Paris_Outflow!B126)</f>
        <v>#N/A</v>
      </c>
      <c r="N126" s="172" t="e">
        <v>#N/A</v>
      </c>
      <c r="O126" s="167" t="e">
        <f>IF(Paris_Outflow!D126=0,#N/A,Paris_Outflow!D126)</f>
        <v>#N/A</v>
      </c>
      <c r="P126" s="172" t="e">
        <v>#N/A</v>
      </c>
      <c r="Q126" s="167" t="e">
        <f>IF(Paris_Outflow!E126=0,#N/A,Paris_Outflow!E126)</f>
        <v>#N/A</v>
      </c>
      <c r="R126" s="172" t="e">
        <v>#N/A</v>
      </c>
      <c r="S126" s="167" t="e">
        <f>IF(Paris_Outflow!F126=0,#N/A,Paris_Outflow!F126)</f>
        <v>#N/A</v>
      </c>
      <c r="T126" s="172" t="e">
        <v>#N/A</v>
      </c>
      <c r="U126" s="167" t="e">
        <f>IF(Paris_Outflow!G126=0,#N/A,Paris_Outflow!G126)</f>
        <v>#N/A</v>
      </c>
      <c r="V126" s="249" t="e">
        <f>IF(Paris_Inflow!O126=0,#N/A,Paris_Inflow!O126)</f>
        <v>#N/A</v>
      </c>
      <c r="W126" s="249" t="e">
        <f>IF(Paris_Inflow!P126=0,#N/A,Paris_Inflow!P126)</f>
        <v>#N/A</v>
      </c>
      <c r="X126" s="249"/>
      <c r="Y126" s="252" t="e">
        <f>IF(Paris_Inflow!W126=0,#N/A,Paris_Inflow!W126)</f>
        <v>#N/A</v>
      </c>
      <c r="Z126" s="252" t="e">
        <f>IF(Paris_Inflow!X126=0,#N/A,Paris_Inflow!X126)</f>
        <v>#N/A</v>
      </c>
      <c r="AA126" s="252" t="e">
        <f>IF(Paris_Inflow!Y126=0,#N/A,Paris_Inflow!Y126)</f>
        <v>#N/A</v>
      </c>
      <c r="AB126" s="252"/>
      <c r="AC126" s="253" t="e">
        <f>IF(Paris_Inflow!AA126=0,#N/A,(Paris_Inflow!AA126+Paris_Inflow!AE126)/2)</f>
        <v>#N/A</v>
      </c>
      <c r="AD126" s="253" t="e">
        <f>IF(Paris_Inflow!AB126=0,#N/A,(Paris_Inflow!AB126+Paris_Inflow!AF126)/2)</f>
        <v>#N/A</v>
      </c>
      <c r="AE126" s="253" t="e">
        <f>IF(Paris_Inflow!AC126=0,#N/A,(Paris_Inflow!AC126+Paris_Inflow!AG126)/2)</f>
        <v>#N/A</v>
      </c>
      <c r="AG126" s="204"/>
      <c r="AH126" s="204"/>
      <c r="AI126" s="204"/>
      <c r="AJ126" s="204"/>
      <c r="AK126" s="204"/>
      <c r="AL126" s="204"/>
      <c r="AM126" s="204"/>
      <c r="AN126" s="204"/>
    </row>
  </sheetData>
  <mergeCells count="14">
    <mergeCell ref="B1:K1"/>
    <mergeCell ref="B2:K2"/>
    <mergeCell ref="L1:U1"/>
    <mergeCell ref="L2:U2"/>
    <mergeCell ref="AG2:AJ2"/>
    <mergeCell ref="AG1:AN1"/>
    <mergeCell ref="AI3:AJ3"/>
    <mergeCell ref="AG3:AH3"/>
    <mergeCell ref="AP1:AU1"/>
    <mergeCell ref="AP2:AU2"/>
    <mergeCell ref="V1:AE1"/>
    <mergeCell ref="V2:AE2"/>
    <mergeCell ref="AK2:AL2"/>
    <mergeCell ref="AM2:AN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FB33-6770-493E-8FD2-11B7B5D4CD5F}">
  <dimension ref="B1:BT86"/>
  <sheetViews>
    <sheetView showGridLines="0" zoomScaleNormal="100" workbookViewId="0"/>
  </sheetViews>
  <sheetFormatPr defaultRowHeight="15" x14ac:dyDescent="0.25"/>
  <sheetData>
    <row r="1" spans="2:72" x14ac:dyDescent="0.25">
      <c r="B1" s="171" t="s">
        <v>312</v>
      </c>
      <c r="L1" t="s">
        <v>376</v>
      </c>
      <c r="N1" s="171" t="s">
        <v>312</v>
      </c>
      <c r="V1" s="171" t="s">
        <v>285</v>
      </c>
      <c r="AF1" t="s">
        <v>306</v>
      </c>
      <c r="AI1" s="171" t="s">
        <v>313</v>
      </c>
      <c r="AP1" t="s">
        <v>376</v>
      </c>
      <c r="AR1" s="171" t="s">
        <v>313</v>
      </c>
      <c r="AZ1" s="171" t="s">
        <v>319</v>
      </c>
    </row>
    <row r="2" spans="2:72" x14ac:dyDescent="0.25">
      <c r="B2" t="s">
        <v>306</v>
      </c>
      <c r="V2" t="s">
        <v>307</v>
      </c>
      <c r="BK2" s="171" t="s">
        <v>418</v>
      </c>
      <c r="BT2" s="171" t="s">
        <v>418</v>
      </c>
    </row>
    <row r="3" spans="2:72" x14ac:dyDescent="0.25">
      <c r="AZ3" t="s">
        <v>320</v>
      </c>
    </row>
    <row r="4" spans="2:72" x14ac:dyDescent="0.25">
      <c r="BL4" t="s">
        <v>266</v>
      </c>
    </row>
    <row r="14" spans="2:72" x14ac:dyDescent="0.25">
      <c r="B14" t="s">
        <v>307</v>
      </c>
      <c r="AF14" t="s">
        <v>307</v>
      </c>
    </row>
    <row r="16" spans="2:72" x14ac:dyDescent="0.25">
      <c r="L16" t="s">
        <v>310</v>
      </c>
      <c r="V16" t="s">
        <v>376</v>
      </c>
      <c r="AP16" t="s">
        <v>310</v>
      </c>
    </row>
    <row r="19" spans="2:64" x14ac:dyDescent="0.25">
      <c r="AZ19" t="s">
        <v>321</v>
      </c>
      <c r="BL19" t="s">
        <v>321</v>
      </c>
    </row>
    <row r="29" spans="2:64" x14ac:dyDescent="0.25">
      <c r="B29" t="s">
        <v>309</v>
      </c>
      <c r="AF29" t="s">
        <v>309</v>
      </c>
    </row>
    <row r="30" spans="2:64" x14ac:dyDescent="0.25">
      <c r="V30" t="s">
        <v>310</v>
      </c>
    </row>
    <row r="52" spans="2:2" x14ac:dyDescent="0.25">
      <c r="B52" t="s">
        <v>314</v>
      </c>
    </row>
    <row r="53" spans="2:2" x14ac:dyDescent="0.25">
      <c r="B53" t="s">
        <v>290</v>
      </c>
    </row>
    <row r="54" spans="2:2" x14ac:dyDescent="0.25">
      <c r="B54" t="s">
        <v>315</v>
      </c>
    </row>
    <row r="69" spans="2:3" x14ac:dyDescent="0.25">
      <c r="B69" t="s">
        <v>316</v>
      </c>
    </row>
    <row r="70" spans="2:3" x14ac:dyDescent="0.25">
      <c r="B70" t="s">
        <v>290</v>
      </c>
    </row>
    <row r="71" spans="2:3" x14ac:dyDescent="0.25">
      <c r="B71" t="s">
        <v>315</v>
      </c>
      <c r="C71" t="s">
        <v>396</v>
      </c>
    </row>
    <row r="86" spans="3:3" x14ac:dyDescent="0.25">
      <c r="C86" t="s">
        <v>318</v>
      </c>
    </row>
  </sheetData>
  <pageMargins left="0.25" right="0.25"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F405-09C3-420A-B5AE-367E69DD63CA}">
  <dimension ref="A1:BG31"/>
  <sheetViews>
    <sheetView zoomScale="85" zoomScaleNormal="85" workbookViewId="0">
      <pane xSplit="1" ySplit="3" topLeftCell="B4" activePane="bottomRight" state="frozen"/>
      <selection pane="topRight" activeCell="B1" sqref="B1"/>
      <selection pane="bottomLeft" activeCell="A4" sqref="A4"/>
      <selection pane="bottomRight" activeCell="H36" sqref="H36"/>
    </sheetView>
  </sheetViews>
  <sheetFormatPr defaultColWidth="20.140625" defaultRowHeight="15" x14ac:dyDescent="0.25"/>
  <cols>
    <col min="1" max="1" width="30" style="10" customWidth="1"/>
    <col min="2" max="2" width="13.85546875" style="11" customWidth="1"/>
    <col min="3" max="32" width="13.85546875" style="9" customWidth="1"/>
    <col min="33" max="34" width="13.85546875" style="12" customWidth="1"/>
    <col min="35" max="53" width="13.85546875" style="10" customWidth="1"/>
    <col min="54" max="54" width="3.140625" style="10" customWidth="1"/>
    <col min="55" max="56" width="13.85546875" style="50"/>
    <col min="57" max="57" width="13.85546875" style="47"/>
    <col min="58" max="58" width="3.140625" style="10" customWidth="1"/>
    <col min="59" max="16384" width="20.140625" style="10"/>
  </cols>
  <sheetData>
    <row r="1" spans="1:59" x14ac:dyDescent="0.25">
      <c r="A1" s="272" t="s">
        <v>126</v>
      </c>
      <c r="B1" s="271" t="s">
        <v>123</v>
      </c>
      <c r="C1" s="271"/>
      <c r="D1" s="271"/>
      <c r="E1" s="271"/>
      <c r="F1" s="271"/>
      <c r="G1" s="271"/>
      <c r="H1" s="66" t="s">
        <v>127</v>
      </c>
      <c r="I1" s="41"/>
      <c r="J1" s="41"/>
      <c r="K1" s="41"/>
      <c r="L1" s="41"/>
      <c r="M1" s="41"/>
      <c r="N1" s="84"/>
      <c r="O1" s="41"/>
      <c r="P1" s="41"/>
      <c r="Q1" s="41"/>
      <c r="R1" s="41"/>
      <c r="S1" s="41"/>
      <c r="T1" s="41"/>
      <c r="U1" s="41"/>
      <c r="V1" s="41"/>
      <c r="W1" s="41"/>
      <c r="X1" s="41"/>
      <c r="Y1" s="41"/>
      <c r="Z1" s="41"/>
      <c r="AA1" s="65" t="s">
        <v>140</v>
      </c>
      <c r="AB1" s="65"/>
      <c r="AC1" s="53"/>
      <c r="AD1" s="53"/>
      <c r="AE1" s="53"/>
      <c r="AF1" s="53"/>
      <c r="AG1" s="53"/>
      <c r="AH1" s="54"/>
      <c r="AI1" s="54"/>
      <c r="AJ1" s="54"/>
      <c r="AK1" s="55"/>
      <c r="AL1" s="55"/>
      <c r="AM1" s="54"/>
      <c r="AN1" s="55"/>
      <c r="AO1" s="55"/>
      <c r="AP1" s="54"/>
      <c r="AQ1" s="54"/>
      <c r="AR1" s="54"/>
      <c r="AS1" s="54"/>
      <c r="AT1" s="56"/>
      <c r="AU1" s="67" t="s">
        <v>141</v>
      </c>
      <c r="AV1" s="68"/>
      <c r="AW1" s="67"/>
      <c r="AX1" s="67"/>
      <c r="AY1" s="67"/>
      <c r="AZ1" s="67"/>
      <c r="BA1" s="69"/>
      <c r="BB1" s="95"/>
      <c r="BC1" s="177"/>
      <c r="BD1" s="177"/>
      <c r="BE1" s="177"/>
      <c r="BF1" s="95"/>
      <c r="BG1" s="85"/>
    </row>
    <row r="2" spans="1:59" ht="47.25" customHeight="1" x14ac:dyDescent="0.25">
      <c r="A2" s="272"/>
      <c r="B2" s="26" t="s">
        <v>128</v>
      </c>
      <c r="C2" s="27" t="s">
        <v>129</v>
      </c>
      <c r="D2" s="28" t="s">
        <v>130</v>
      </c>
      <c r="E2" s="28" t="s">
        <v>131</v>
      </c>
      <c r="F2" s="28" t="s">
        <v>333</v>
      </c>
      <c r="G2" s="28" t="s">
        <v>333</v>
      </c>
      <c r="H2" s="21" t="s">
        <v>134</v>
      </c>
      <c r="I2" s="21" t="s">
        <v>137</v>
      </c>
      <c r="J2" s="21" t="s">
        <v>148</v>
      </c>
      <c r="K2" s="21" t="s">
        <v>138</v>
      </c>
      <c r="L2" s="21" t="s">
        <v>139</v>
      </c>
      <c r="M2" s="21" t="s">
        <v>135</v>
      </c>
      <c r="N2" s="21" t="s">
        <v>231</v>
      </c>
      <c r="O2" s="145" t="s">
        <v>166</v>
      </c>
      <c r="P2" s="21" t="s">
        <v>147</v>
      </c>
      <c r="Q2" s="21" t="s">
        <v>149</v>
      </c>
      <c r="R2" s="145" t="s">
        <v>151</v>
      </c>
      <c r="S2" s="21" t="s">
        <v>157</v>
      </c>
      <c r="T2" s="21" t="s">
        <v>158</v>
      </c>
      <c r="U2" s="21" t="s">
        <v>159</v>
      </c>
      <c r="V2" s="145" t="s">
        <v>371</v>
      </c>
      <c r="W2" s="145" t="s">
        <v>233</v>
      </c>
      <c r="X2" s="21" t="s">
        <v>145</v>
      </c>
      <c r="Y2" s="145" t="s">
        <v>150</v>
      </c>
      <c r="Z2" s="21" t="s">
        <v>252</v>
      </c>
      <c r="AA2" s="57" t="s">
        <v>142</v>
      </c>
      <c r="AB2" s="57" t="s">
        <v>257</v>
      </c>
      <c r="AC2" s="57" t="s">
        <v>169</v>
      </c>
      <c r="AD2" s="58" t="s">
        <v>369</v>
      </c>
      <c r="AE2" s="58" t="s">
        <v>154</v>
      </c>
      <c r="AF2" s="58" t="s">
        <v>152</v>
      </c>
      <c r="AG2" s="58" t="s">
        <v>153</v>
      </c>
      <c r="AH2" s="58" t="s">
        <v>155</v>
      </c>
      <c r="AI2" s="58" t="s">
        <v>155</v>
      </c>
      <c r="AJ2" s="58" t="s">
        <v>164</v>
      </c>
      <c r="AK2" s="58" t="s">
        <v>160</v>
      </c>
      <c r="AL2" s="58" t="s">
        <v>165</v>
      </c>
      <c r="AM2" s="58" t="s">
        <v>161</v>
      </c>
      <c r="AN2" s="58" t="s">
        <v>162</v>
      </c>
      <c r="AO2" s="58" t="s">
        <v>171</v>
      </c>
      <c r="AP2" s="58" t="s">
        <v>163</v>
      </c>
      <c r="AQ2" s="58" t="s">
        <v>368</v>
      </c>
      <c r="AR2" s="58" t="s">
        <v>167</v>
      </c>
      <c r="AS2" s="58" t="s">
        <v>373</v>
      </c>
      <c r="AT2" s="58" t="s">
        <v>234</v>
      </c>
      <c r="AU2" s="70" t="s">
        <v>29</v>
      </c>
      <c r="AV2" s="70" t="s">
        <v>152</v>
      </c>
      <c r="AW2" s="70" t="s">
        <v>153</v>
      </c>
      <c r="AX2" s="70" t="s">
        <v>369</v>
      </c>
      <c r="AY2" s="70" t="s">
        <v>154</v>
      </c>
      <c r="AZ2" s="70" t="s">
        <v>374</v>
      </c>
      <c r="BA2" s="70" t="s">
        <v>239</v>
      </c>
      <c r="BB2" s="96"/>
      <c r="BC2" s="179" t="s">
        <v>340</v>
      </c>
      <c r="BD2" s="179" t="s">
        <v>343</v>
      </c>
      <c r="BE2" s="179" t="s">
        <v>341</v>
      </c>
      <c r="BF2" s="96"/>
      <c r="BG2" s="86" t="s">
        <v>240</v>
      </c>
    </row>
    <row r="3" spans="1:59" x14ac:dyDescent="0.25">
      <c r="A3" s="272"/>
      <c r="B3" s="28" t="s">
        <v>6</v>
      </c>
      <c r="C3" s="29" t="s">
        <v>6</v>
      </c>
      <c r="D3" s="30" t="s">
        <v>31</v>
      </c>
      <c r="E3" s="30" t="s">
        <v>6</v>
      </c>
      <c r="F3" s="30" t="s">
        <v>7</v>
      </c>
      <c r="G3" s="30" t="s">
        <v>7</v>
      </c>
      <c r="H3" s="35" t="s">
        <v>6</v>
      </c>
      <c r="I3" s="36" t="s">
        <v>6</v>
      </c>
      <c r="J3" s="35" t="s">
        <v>7</v>
      </c>
      <c r="K3" s="35" t="s">
        <v>31</v>
      </c>
      <c r="L3" s="35" t="s">
        <v>7</v>
      </c>
      <c r="M3" s="35" t="s">
        <v>31</v>
      </c>
      <c r="N3" s="35" t="s">
        <v>7</v>
      </c>
      <c r="O3" s="143" t="s">
        <v>8</v>
      </c>
      <c r="P3" s="35" t="s">
        <v>7</v>
      </c>
      <c r="Q3" s="35" t="s">
        <v>31</v>
      </c>
      <c r="R3" s="143" t="s">
        <v>8</v>
      </c>
      <c r="S3" s="35" t="s">
        <v>7</v>
      </c>
      <c r="T3" s="35" t="s">
        <v>31</v>
      </c>
      <c r="U3" s="35" t="s">
        <v>8</v>
      </c>
      <c r="V3" s="143" t="s">
        <v>1</v>
      </c>
      <c r="W3" s="143" t="s">
        <v>1</v>
      </c>
      <c r="X3" s="35" t="s">
        <v>7</v>
      </c>
      <c r="Y3" s="143" t="s">
        <v>8</v>
      </c>
      <c r="Z3" s="35" t="s">
        <v>31</v>
      </c>
      <c r="AA3" s="59" t="s">
        <v>6</v>
      </c>
      <c r="AB3" s="59" t="s">
        <v>6</v>
      </c>
      <c r="AC3" s="59"/>
      <c r="AD3" s="60" t="s">
        <v>7</v>
      </c>
      <c r="AE3" s="60" t="s">
        <v>8</v>
      </c>
      <c r="AF3" s="60" t="s">
        <v>8</v>
      </c>
      <c r="AG3" s="60" t="s">
        <v>8</v>
      </c>
      <c r="AH3" s="60" t="s">
        <v>1</v>
      </c>
      <c r="AI3" s="60" t="s">
        <v>1</v>
      </c>
      <c r="AJ3" s="60" t="s">
        <v>6</v>
      </c>
      <c r="AK3" s="60" t="s">
        <v>7</v>
      </c>
      <c r="AL3" s="60" t="s">
        <v>31</v>
      </c>
      <c r="AM3" s="60" t="s">
        <v>8</v>
      </c>
      <c r="AN3" s="60" t="s">
        <v>7</v>
      </c>
      <c r="AO3" s="60" t="s">
        <v>31</v>
      </c>
      <c r="AP3" s="60" t="s">
        <v>8</v>
      </c>
      <c r="AQ3" s="60" t="s">
        <v>7</v>
      </c>
      <c r="AR3" s="60" t="s">
        <v>8</v>
      </c>
      <c r="AS3" s="60" t="s">
        <v>1</v>
      </c>
      <c r="AT3" s="60" t="s">
        <v>1</v>
      </c>
      <c r="AU3" s="71" t="s">
        <v>6</v>
      </c>
      <c r="AV3" s="71" t="s">
        <v>8</v>
      </c>
      <c r="AW3" s="71" t="s">
        <v>8</v>
      </c>
      <c r="AX3" s="71" t="s">
        <v>7</v>
      </c>
      <c r="AY3" s="71" t="s">
        <v>8</v>
      </c>
      <c r="AZ3" s="71" t="s">
        <v>1</v>
      </c>
      <c r="BA3" s="71" t="s">
        <v>1</v>
      </c>
      <c r="BB3" s="97"/>
      <c r="BC3" s="178" t="s">
        <v>342</v>
      </c>
      <c r="BD3" s="178" t="s">
        <v>342</v>
      </c>
      <c r="BE3" s="178" t="s">
        <v>342</v>
      </c>
      <c r="BF3" s="97"/>
      <c r="BG3" s="87" t="s">
        <v>6</v>
      </c>
    </row>
    <row r="4" spans="1:59" x14ac:dyDescent="0.25">
      <c r="A4" s="173" t="s">
        <v>329</v>
      </c>
      <c r="B4" s="31"/>
      <c r="C4" s="33">
        <v>1961</v>
      </c>
      <c r="D4" s="33">
        <v>117</v>
      </c>
      <c r="E4" s="33">
        <v>30</v>
      </c>
      <c r="F4" s="32">
        <v>56000</v>
      </c>
      <c r="G4" s="32"/>
      <c r="H4" s="37" t="s">
        <v>146</v>
      </c>
      <c r="I4" s="36"/>
      <c r="J4" s="148">
        <f>0.9*3500</f>
        <v>3150</v>
      </c>
      <c r="K4" s="152">
        <v>6.0000000000000001E-3</v>
      </c>
      <c r="L4" s="148">
        <f>22*(40+50)*1.2</f>
        <v>2376</v>
      </c>
      <c r="M4" s="152">
        <v>0.02</v>
      </c>
      <c r="N4" s="148">
        <f t="shared" ref="N4" si="0">L4+J4</f>
        <v>5526</v>
      </c>
      <c r="O4" s="149">
        <f t="shared" ref="O4:O5" si="1">(J4*K4+L4*M4)*2.5</f>
        <v>166.05</v>
      </c>
      <c r="P4" s="148">
        <f>14000</f>
        <v>14000</v>
      </c>
      <c r="Q4" s="152">
        <v>1.6E-2</v>
      </c>
      <c r="R4" s="149">
        <f t="shared" ref="R4:R7" si="2">P4*Q4*2.5</f>
        <v>560</v>
      </c>
      <c r="S4" s="35"/>
      <c r="T4" s="35"/>
      <c r="U4" s="35"/>
      <c r="V4" s="149">
        <f>(L4/(1.9*1.2)*(1.9+1.2)*2+J4/(1.2*1.2)*(1.2+1.2)*2)/1000</f>
        <v>16.961052631578948</v>
      </c>
      <c r="W4" s="149">
        <v>0</v>
      </c>
      <c r="X4" s="148">
        <f t="shared" ref="X4:X5" si="3">N4+P4*2+S4*3</f>
        <v>33526</v>
      </c>
      <c r="Y4" s="149">
        <f t="shared" ref="Y4:Y5" si="4">O4+R4+U4</f>
        <v>726.05</v>
      </c>
      <c r="Z4" s="152">
        <f>Q4</f>
        <v>1.6E-2</v>
      </c>
      <c r="AA4" s="80"/>
      <c r="AB4" s="73" t="str">
        <f>IF(AU4=0, IF(AND((C4+AA4)&gt;0,MAX(C4,AA4)&gt;(2022-Hypotheses!$D$3)), MAX(C4,AA4)+Hypotheses!$D$3, 2027), "")</f>
        <v/>
      </c>
      <c r="AC4" s="59"/>
      <c r="AD4" s="60"/>
      <c r="AE4" s="60"/>
      <c r="AF4" s="60"/>
      <c r="AG4" s="60"/>
      <c r="AH4" s="60"/>
      <c r="AI4" s="60"/>
      <c r="AJ4" s="60"/>
      <c r="AK4" s="60"/>
      <c r="AL4" s="156"/>
      <c r="AM4" s="60"/>
      <c r="AN4" s="60"/>
      <c r="AO4" s="60"/>
      <c r="AP4" s="60"/>
      <c r="AQ4" s="60"/>
      <c r="AR4" s="60"/>
      <c r="AS4" s="60"/>
      <c r="AT4" s="60"/>
      <c r="AU4" s="74">
        <v>2001</v>
      </c>
      <c r="AV4" s="158">
        <f>O4</f>
        <v>166.05</v>
      </c>
      <c r="AW4" s="158">
        <f>R4</f>
        <v>560</v>
      </c>
      <c r="AX4" s="158">
        <f>X4</f>
        <v>33526</v>
      </c>
      <c r="AY4" s="158">
        <f>Y4</f>
        <v>726.05</v>
      </c>
      <c r="AZ4" s="158">
        <f>V4</f>
        <v>16.961052631578948</v>
      </c>
      <c r="BA4" s="158">
        <f>W4</f>
        <v>0</v>
      </c>
      <c r="BB4" s="97"/>
      <c r="BC4" s="180" t="str">
        <f t="shared" ref="BC4:BC27" si="5">IF(AA4&gt;0,AA4-C4,"")</f>
        <v/>
      </c>
      <c r="BD4" s="180" t="str">
        <f>IF(AND(AA4=0, 2022-C4&gt;0, AU4=0),2022-C4,"")</f>
        <v/>
      </c>
      <c r="BE4" s="181">
        <f t="shared" ref="BE4:BE27" si="6">IF(AU4&gt;0,AU4-C4,"")</f>
        <v>40</v>
      </c>
      <c r="BF4" s="97"/>
      <c r="BG4" s="174" t="s">
        <v>339</v>
      </c>
    </row>
    <row r="5" spans="1:59" x14ac:dyDescent="0.25">
      <c r="A5" s="173" t="s">
        <v>325</v>
      </c>
      <c r="B5" s="31"/>
      <c r="C5" s="33">
        <v>1965</v>
      </c>
      <c r="D5" s="33">
        <v>75</v>
      </c>
      <c r="E5" s="33">
        <v>19</v>
      </c>
      <c r="F5" s="32">
        <v>17000</v>
      </c>
      <c r="G5" s="32"/>
      <c r="H5" s="37" t="s">
        <v>146</v>
      </c>
      <c r="I5" s="36">
        <v>2348</v>
      </c>
      <c r="J5" s="148">
        <f>1*1.2/2*I5*0.9</f>
        <v>1267.92</v>
      </c>
      <c r="K5" s="152">
        <v>6.0000000000000001E-3</v>
      </c>
      <c r="L5" s="148"/>
      <c r="M5" s="152"/>
      <c r="N5" s="35"/>
      <c r="O5" s="149">
        <f t="shared" si="1"/>
        <v>19.018800000000002</v>
      </c>
      <c r="P5" s="148">
        <f>1.2*2.5*I5*0.9</f>
        <v>6339.6</v>
      </c>
      <c r="Q5" s="152">
        <v>1.7999999999999999E-2</v>
      </c>
      <c r="R5" s="149">
        <f t="shared" si="2"/>
        <v>285.28199999999998</v>
      </c>
      <c r="S5" s="35"/>
      <c r="T5" s="35"/>
      <c r="U5" s="35"/>
      <c r="V5" s="149">
        <f>W5+(1+1.2)*I5*0.9/1000</f>
        <v>20.286720000000003</v>
      </c>
      <c r="W5" s="149">
        <f>(1.2+2.5)*2*I5*0.9/1000</f>
        <v>15.63768</v>
      </c>
      <c r="X5" s="148">
        <f t="shared" si="3"/>
        <v>12679.2</v>
      </c>
      <c r="Y5" s="149">
        <f t="shared" si="4"/>
        <v>304.30079999999998</v>
      </c>
      <c r="Z5" s="152">
        <f t="shared" ref="Z5" si="7">M5+Q5</f>
        <v>1.7999999999999999E-2</v>
      </c>
      <c r="AA5" s="176">
        <v>2004</v>
      </c>
      <c r="AB5" s="73">
        <f>IF(AU5=0, IF(AND((C5+AA5)&gt;0,MAX(C5,AA5)&gt;(2022-Hypotheses!$D$3)), MAX(C5,AA5)+Hypotheses!$D$3, 2027), "")</f>
        <v>2044</v>
      </c>
      <c r="AC5" s="63" t="s">
        <v>170</v>
      </c>
      <c r="AD5" s="153">
        <f t="shared" ref="AD5:AE5" si="8">X5</f>
        <v>12679.2</v>
      </c>
      <c r="AE5" s="153">
        <f t="shared" si="8"/>
        <v>304.30079999999998</v>
      </c>
      <c r="AF5" s="153">
        <f t="shared" ref="AF5" si="9">O5</f>
        <v>19.018800000000002</v>
      </c>
      <c r="AG5" s="153">
        <f t="shared" ref="AG5" si="10">R5</f>
        <v>285.28199999999998</v>
      </c>
      <c r="AH5" s="153">
        <f t="shared" ref="AH5" si="11">V5</f>
        <v>20.286720000000003</v>
      </c>
      <c r="AI5" s="153">
        <f t="shared" ref="AI5" si="12">W5</f>
        <v>15.63768</v>
      </c>
      <c r="AJ5" s="72" t="s">
        <v>146</v>
      </c>
      <c r="AK5" s="155">
        <f>((60+11+48+68)*5+(56+11+48+64)*5+(53+11+48+61)*5+(53+11+48+61)*4)*1*1.2/2</f>
        <v>2032.1999999999998</v>
      </c>
      <c r="AL5" s="156">
        <v>8.0000000000000002E-3</v>
      </c>
      <c r="AM5" s="150">
        <f t="shared" ref="AM5" si="13">AK5*AL5*2.5</f>
        <v>40.643999999999998</v>
      </c>
      <c r="AN5" s="155">
        <f>((60+11+48+68)*5+(56+11+48+64)*5+(53+11+48+61)*5+(53+11+48+61)*4)*1.2*2.5</f>
        <v>10161</v>
      </c>
      <c r="AO5" s="156">
        <v>1.7999999999999999E-2</v>
      </c>
      <c r="AP5" s="150">
        <f t="shared" ref="AP5:AP6" si="14">AN5*AO5*2.5</f>
        <v>457.245</v>
      </c>
      <c r="AQ5" s="150">
        <f t="shared" ref="AQ5:AQ27" si="15">AN5+AK5</f>
        <v>12193.2</v>
      </c>
      <c r="AR5" s="150">
        <f t="shared" ref="AR5:AR6" si="16">AM5+AP5</f>
        <v>497.88900000000001</v>
      </c>
      <c r="AS5" s="150">
        <f>AT5*1.33</f>
        <v>33.334854000000007</v>
      </c>
      <c r="AT5" s="150">
        <f>((60+11+48+68)*5+(56+11+48+64)*5+(53+11+48+61)*5+(53+11+48+61)*4)*(1.2+2.5)*2/1000</f>
        <v>25.063800000000004</v>
      </c>
      <c r="AU5" s="74"/>
      <c r="AV5" s="71"/>
      <c r="AW5" s="71"/>
      <c r="AX5" s="71"/>
      <c r="AY5" s="71"/>
      <c r="AZ5" s="71"/>
      <c r="BA5" s="71"/>
      <c r="BB5" s="97"/>
      <c r="BC5" s="180">
        <f t="shared" si="5"/>
        <v>39</v>
      </c>
      <c r="BD5" s="180">
        <f>2022-AA5</f>
        <v>18</v>
      </c>
      <c r="BE5" s="181" t="str">
        <f t="shared" si="6"/>
        <v/>
      </c>
      <c r="BF5" s="97"/>
      <c r="BG5" s="174" t="s">
        <v>323</v>
      </c>
    </row>
    <row r="6" spans="1:59" x14ac:dyDescent="0.25">
      <c r="A6" s="173" t="s">
        <v>336</v>
      </c>
      <c r="B6" s="31" t="s">
        <v>124</v>
      </c>
      <c r="C6" s="33">
        <v>1972</v>
      </c>
      <c r="D6" s="33">
        <v>102</v>
      </c>
      <c r="E6" s="33">
        <v>28</v>
      </c>
      <c r="F6" s="32">
        <v>45000</v>
      </c>
      <c r="G6" s="32"/>
      <c r="H6" s="37" t="s">
        <v>146</v>
      </c>
      <c r="I6" s="36"/>
      <c r="J6" s="148"/>
      <c r="K6" s="152"/>
      <c r="L6" s="148"/>
      <c r="M6" s="152"/>
      <c r="N6" s="148"/>
      <c r="O6" s="149"/>
      <c r="P6" s="148">
        <f>40*26*1.25*2.75+(2+14+40)*26*2.5*1.5+(1+7)*2*(5*1.85)</f>
        <v>9183</v>
      </c>
      <c r="Q6" s="152">
        <v>1.7999999999999999E-2</v>
      </c>
      <c r="R6" s="149">
        <f t="shared" si="2"/>
        <v>413.23499999999996</v>
      </c>
      <c r="S6" s="148"/>
      <c r="T6" s="148"/>
      <c r="U6" s="148"/>
      <c r="V6" s="149">
        <f>W6</f>
        <v>20.187200000000001</v>
      </c>
      <c r="W6" s="149">
        <f>(40*26*(1.25+2.75)*2+(2+14+40)*26*(2.5+1.5)*2+(1+7)*2*(5+1.85)*2)/1000</f>
        <v>20.187200000000001</v>
      </c>
      <c r="X6" s="148">
        <f t="shared" ref="X6" si="17">N6+P6*2+S6*3</f>
        <v>18366</v>
      </c>
      <c r="Y6" s="149">
        <f t="shared" ref="Y6" si="18">O6+R6+U6</f>
        <v>413.23499999999996</v>
      </c>
      <c r="Z6" s="152">
        <f t="shared" ref="Z6" si="19">M6+Q6</f>
        <v>1.7999999999999999E-2</v>
      </c>
      <c r="AA6" s="80">
        <v>2025</v>
      </c>
      <c r="AB6" s="73">
        <f>IF(AU6=0, IF(AND((C6+AA6)&gt;0,MAX(C6,AA6)&gt;(2022-Hypotheses!$D$3)), MAX(C6,AA6)+Hypotheses!$D$3, 2027), "")</f>
        <v>2065</v>
      </c>
      <c r="AC6" s="63" t="s">
        <v>170</v>
      </c>
      <c r="AD6" s="153">
        <f t="shared" ref="AD6:AE6" si="20">X6</f>
        <v>18366</v>
      </c>
      <c r="AE6" s="153">
        <f t="shared" si="20"/>
        <v>413.23499999999996</v>
      </c>
      <c r="AF6" s="153">
        <f t="shared" ref="AF6" si="21">O6</f>
        <v>0</v>
      </c>
      <c r="AG6" s="153">
        <f t="shared" ref="AG6" si="22">R6</f>
        <v>413.23499999999996</v>
      </c>
      <c r="AH6" s="153">
        <f t="shared" ref="AH6" si="23">V6</f>
        <v>20.187200000000001</v>
      </c>
      <c r="AI6" s="153">
        <f t="shared" ref="AI6" si="24">W6</f>
        <v>20.187200000000001</v>
      </c>
      <c r="AJ6" s="72" t="s">
        <v>146</v>
      </c>
      <c r="AK6" s="150"/>
      <c r="AL6" s="156"/>
      <c r="AM6" s="150"/>
      <c r="AN6" s="155">
        <f>27*(50+53)*1.25*2.85+(2+14+30)*26*2.5*1.5+(1+7)*2*(5*1.85)</f>
        <v>14540.3125</v>
      </c>
      <c r="AO6" s="156">
        <v>1.7999999999999999E-2</v>
      </c>
      <c r="AP6" s="150">
        <f t="shared" si="14"/>
        <v>654.31406249999998</v>
      </c>
      <c r="AQ6" s="150">
        <f t="shared" si="15"/>
        <v>14540.3125</v>
      </c>
      <c r="AR6" s="150">
        <f t="shared" si="16"/>
        <v>654.31406249999998</v>
      </c>
      <c r="AS6" s="150">
        <f>AT6</f>
        <v>32.5914</v>
      </c>
      <c r="AT6" s="150">
        <f>(27*(50+53)*(1.25+2.85)*2+(2+14+30)*26*(2.5+1.5)*2+(1+7)*2*(5+1.85)*2)/1000</f>
        <v>32.5914</v>
      </c>
      <c r="AU6" s="74"/>
      <c r="AV6" s="159"/>
      <c r="AW6" s="159"/>
      <c r="AX6" s="159"/>
      <c r="AY6" s="159"/>
      <c r="AZ6" s="159"/>
      <c r="BA6" s="159"/>
      <c r="BB6" s="98"/>
      <c r="BC6" s="180">
        <f t="shared" si="5"/>
        <v>53</v>
      </c>
      <c r="BD6" s="180"/>
      <c r="BE6" s="181" t="str">
        <f t="shared" si="6"/>
        <v/>
      </c>
      <c r="BF6" s="98"/>
      <c r="BG6" s="175" t="s">
        <v>335</v>
      </c>
    </row>
    <row r="7" spans="1:59" x14ac:dyDescent="0.25">
      <c r="A7" s="173" t="s">
        <v>10</v>
      </c>
      <c r="B7" s="31"/>
      <c r="C7" s="33">
        <v>1972</v>
      </c>
      <c r="D7" s="33">
        <v>102</v>
      </c>
      <c r="E7" s="33">
        <v>28</v>
      </c>
      <c r="F7" s="32">
        <v>35000</v>
      </c>
      <c r="G7" s="32"/>
      <c r="H7" s="37" t="s">
        <v>146</v>
      </c>
      <c r="I7" s="36">
        <f>106*26</f>
        <v>2756</v>
      </c>
      <c r="J7" s="148">
        <f>1.35*1.125*I7</f>
        <v>4185.6750000000002</v>
      </c>
      <c r="K7" s="152">
        <v>8.0000000000000002E-3</v>
      </c>
      <c r="L7" s="148"/>
      <c r="M7" s="152"/>
      <c r="N7" s="148">
        <f t="shared" ref="N7" si="25">L7+J7</f>
        <v>4185.6750000000002</v>
      </c>
      <c r="O7" s="149">
        <f t="shared" ref="O7" si="26">(J7*K7+L7*M7)*2.5</f>
        <v>83.71350000000001</v>
      </c>
      <c r="P7" s="148">
        <f>1.5*1.8*I7</f>
        <v>7441.2000000000007</v>
      </c>
      <c r="Q7" s="152">
        <v>1.7999999999999999E-2</v>
      </c>
      <c r="R7" s="149">
        <f t="shared" si="2"/>
        <v>334.85399999999998</v>
      </c>
      <c r="S7" s="35"/>
      <c r="T7" s="35"/>
      <c r="U7" s="35"/>
      <c r="V7" s="149">
        <f>W7+(1.35+1.125)*2*I7/1000</f>
        <v>31.831800000000001</v>
      </c>
      <c r="W7" s="149">
        <f>(1.5+1.8)*2*I7/1000</f>
        <v>18.189599999999999</v>
      </c>
      <c r="X7" s="148">
        <f t="shared" ref="X7:X27" si="27">N7+P7*2+S7*3</f>
        <v>19068.075000000001</v>
      </c>
      <c r="Y7" s="149">
        <f t="shared" ref="Y7:Y27" si="28">O7+R7+U7</f>
        <v>418.5675</v>
      </c>
      <c r="Z7" s="152">
        <f t="shared" ref="Z7:Z27" si="29">M7+Q7</f>
        <v>1.7999999999999999E-2</v>
      </c>
      <c r="AA7" s="80"/>
      <c r="AB7" s="73" t="str">
        <f>IF(AU7=0, IF(AND((C7+AA7)&gt;0,MAX(C7,AA7)&gt;(2022-Hypotheses!$D$3)), MAX(C7,AA7)+Hypotheses!$D$3, 2027), "")</f>
        <v/>
      </c>
      <c r="AC7" s="59"/>
      <c r="AD7" s="60"/>
      <c r="AE7" s="60"/>
      <c r="AF7" s="60"/>
      <c r="AG7" s="60"/>
      <c r="AH7" s="60"/>
      <c r="AI7" s="60"/>
      <c r="AJ7" s="60"/>
      <c r="AK7" s="60"/>
      <c r="AL7" s="156"/>
      <c r="AM7" s="60"/>
      <c r="AN7" s="60"/>
      <c r="AO7" s="60"/>
      <c r="AP7" s="60"/>
      <c r="AQ7" s="60"/>
      <c r="AR7" s="60"/>
      <c r="AS7" s="60"/>
      <c r="AT7" s="60"/>
      <c r="AU7" s="74">
        <v>2020</v>
      </c>
      <c r="AV7" s="158">
        <f>O7</f>
        <v>83.71350000000001</v>
      </c>
      <c r="AW7" s="158">
        <f>R7</f>
        <v>334.85399999999998</v>
      </c>
      <c r="AX7" s="158">
        <f t="shared" ref="AX7:AX9" si="30">X7</f>
        <v>19068.075000000001</v>
      </c>
      <c r="AY7" s="158">
        <f>Y7</f>
        <v>418.5675</v>
      </c>
      <c r="AZ7" s="158">
        <f t="shared" ref="AZ7:BA9" si="31">V7</f>
        <v>31.831800000000001</v>
      </c>
      <c r="BA7" s="158">
        <f t="shared" si="31"/>
        <v>18.189599999999999</v>
      </c>
      <c r="BB7" s="97"/>
      <c r="BC7" s="180" t="str">
        <f t="shared" si="5"/>
        <v/>
      </c>
      <c r="BD7" s="180" t="str">
        <f t="shared" ref="BD7:BD27" si="32">IF(AND(AA7=0, 2022-C7&gt;0, AU7=0),2022-C7,"")</f>
        <v/>
      </c>
      <c r="BE7" s="181">
        <f t="shared" si="6"/>
        <v>48</v>
      </c>
      <c r="BF7" s="97"/>
      <c r="BG7" s="174" t="s">
        <v>324</v>
      </c>
    </row>
    <row r="8" spans="1:59" x14ac:dyDescent="0.25">
      <c r="A8" s="173" t="s">
        <v>11</v>
      </c>
      <c r="B8" s="31"/>
      <c r="C8" s="33">
        <v>1976</v>
      </c>
      <c r="D8" s="33">
        <v>102</v>
      </c>
      <c r="E8" s="33">
        <v>28</v>
      </c>
      <c r="F8" s="32">
        <v>35000</v>
      </c>
      <c r="G8" s="32"/>
      <c r="H8" s="37" t="s">
        <v>146</v>
      </c>
      <c r="I8" s="36">
        <f>106*26</f>
        <v>2756</v>
      </c>
      <c r="J8" s="148">
        <f>1.35*1.125*I8</f>
        <v>4185.6750000000002</v>
      </c>
      <c r="K8" s="152">
        <v>8.0000000000000002E-3</v>
      </c>
      <c r="L8" s="148"/>
      <c r="M8" s="152"/>
      <c r="N8" s="148">
        <f t="shared" ref="N8" si="33">L8+J8</f>
        <v>4185.6750000000002</v>
      </c>
      <c r="O8" s="149">
        <f t="shared" ref="O8:O9" si="34">(J8*K8+L8*M8)*2.5</f>
        <v>83.71350000000001</v>
      </c>
      <c r="P8" s="148">
        <f>1.5*1.8*I8</f>
        <v>7441.2000000000007</v>
      </c>
      <c r="Q8" s="152">
        <v>1.7999999999999999E-2</v>
      </c>
      <c r="R8" s="149">
        <f t="shared" ref="R8:R10" si="35">P8*Q8*2.5</f>
        <v>334.85399999999998</v>
      </c>
      <c r="S8" s="35"/>
      <c r="T8" s="35"/>
      <c r="U8" s="35"/>
      <c r="V8" s="149">
        <f>W8+(1.35+1.125)*2*I8/1000</f>
        <v>31.831800000000001</v>
      </c>
      <c r="W8" s="149">
        <f>(1.5+1.8)*2*I8/1000</f>
        <v>18.189599999999999</v>
      </c>
      <c r="X8" s="148">
        <f t="shared" ref="X8" si="36">N8+P8*2+S8*3</f>
        <v>19068.075000000001</v>
      </c>
      <c r="Y8" s="149">
        <f t="shared" ref="Y8" si="37">O8+R8+U8</f>
        <v>418.5675</v>
      </c>
      <c r="Z8" s="152">
        <f t="shared" ref="Z8" si="38">M8+Q8</f>
        <v>1.7999999999999999E-2</v>
      </c>
      <c r="AA8" s="80"/>
      <c r="AB8" s="73" t="str">
        <f>IF(AU8=0, IF(AND((C8+AA8)&gt;0,MAX(C8,AA8)&gt;(2022-Hypotheses!$D$3)), MAX(C8,AA8)+Hypotheses!$D$3, 2027), "")</f>
        <v/>
      </c>
      <c r="AC8" s="59"/>
      <c r="AD8" s="60"/>
      <c r="AE8" s="60"/>
      <c r="AF8" s="60"/>
      <c r="AG8" s="60"/>
      <c r="AH8" s="60"/>
      <c r="AI8" s="60"/>
      <c r="AJ8" s="60"/>
      <c r="AK8" s="60"/>
      <c r="AL8" s="156"/>
      <c r="AM8" s="60"/>
      <c r="AN8" s="60"/>
      <c r="AO8" s="60"/>
      <c r="AP8" s="60"/>
      <c r="AQ8" s="60"/>
      <c r="AR8" s="60"/>
      <c r="AS8" s="60"/>
      <c r="AT8" s="60"/>
      <c r="AU8" s="74">
        <v>2020</v>
      </c>
      <c r="AV8" s="158">
        <f>O8</f>
        <v>83.71350000000001</v>
      </c>
      <c r="AW8" s="158">
        <f>R8</f>
        <v>334.85399999999998</v>
      </c>
      <c r="AX8" s="158">
        <f t="shared" si="30"/>
        <v>19068.075000000001</v>
      </c>
      <c r="AY8" s="158">
        <f>Y8</f>
        <v>418.5675</v>
      </c>
      <c r="AZ8" s="158">
        <f t="shared" si="31"/>
        <v>31.831800000000001</v>
      </c>
      <c r="BA8" s="158">
        <f t="shared" si="31"/>
        <v>18.189599999999999</v>
      </c>
      <c r="BB8" s="97"/>
      <c r="BC8" s="180" t="str">
        <f t="shared" si="5"/>
        <v/>
      </c>
      <c r="BD8" s="180" t="str">
        <f t="shared" si="32"/>
        <v/>
      </c>
      <c r="BE8" s="181">
        <f t="shared" si="6"/>
        <v>44</v>
      </c>
      <c r="BF8" s="97"/>
      <c r="BG8" s="174" t="s">
        <v>324</v>
      </c>
    </row>
    <row r="9" spans="1:59" x14ac:dyDescent="0.25">
      <c r="A9" s="173" t="s">
        <v>18</v>
      </c>
      <c r="B9" s="31"/>
      <c r="C9" s="33">
        <v>1976</v>
      </c>
      <c r="D9" s="33"/>
      <c r="E9" s="33">
        <v>18</v>
      </c>
      <c r="F9" s="32">
        <v>24000</v>
      </c>
      <c r="G9" s="32"/>
      <c r="H9" s="37" t="s">
        <v>146</v>
      </c>
      <c r="I9" s="36">
        <f>84*E9</f>
        <v>1512</v>
      </c>
      <c r="J9" s="148">
        <f>1.35*1.125*I9</f>
        <v>2296.35</v>
      </c>
      <c r="K9" s="152">
        <v>6.0000000000000001E-3</v>
      </c>
      <c r="L9" s="148"/>
      <c r="M9" s="152"/>
      <c r="N9" s="148"/>
      <c r="O9" s="149">
        <f t="shared" si="34"/>
        <v>34.445250000000001</v>
      </c>
      <c r="P9" s="148">
        <f>1.5*1.8*I9</f>
        <v>4082.4</v>
      </c>
      <c r="Q9" s="152">
        <v>1.6E-2</v>
      </c>
      <c r="R9" s="149">
        <f t="shared" si="35"/>
        <v>163.29599999999999</v>
      </c>
      <c r="S9" s="35"/>
      <c r="T9" s="35"/>
      <c r="U9" s="35"/>
      <c r="V9" s="149">
        <f>W9+(1.35+1.125)*2*I9/1000</f>
        <v>17.4636</v>
      </c>
      <c r="W9" s="149">
        <f>2*(1.5+1.8)*I9/1000</f>
        <v>9.9791999999999987</v>
      </c>
      <c r="X9" s="148">
        <f t="shared" si="27"/>
        <v>8164.8</v>
      </c>
      <c r="Y9" s="149">
        <f t="shared" si="28"/>
        <v>197.74124999999998</v>
      </c>
      <c r="Z9" s="152">
        <f t="shared" si="29"/>
        <v>1.6E-2</v>
      </c>
      <c r="AA9" s="176"/>
      <c r="AB9" s="73"/>
      <c r="AC9" s="59"/>
      <c r="AD9" s="60"/>
      <c r="AE9" s="60"/>
      <c r="AF9" s="60"/>
      <c r="AG9" s="60"/>
      <c r="AH9" s="60"/>
      <c r="AI9" s="60"/>
      <c r="AJ9" s="60"/>
      <c r="AK9" s="60"/>
      <c r="AL9" s="156"/>
      <c r="AM9" s="60"/>
      <c r="AN9" s="60"/>
      <c r="AO9" s="60"/>
      <c r="AP9" s="60"/>
      <c r="AQ9" s="60"/>
      <c r="AR9" s="60"/>
      <c r="AS9" s="60"/>
      <c r="AT9" s="60"/>
      <c r="AU9" s="74">
        <v>2017</v>
      </c>
      <c r="AV9" s="158">
        <f>O9</f>
        <v>34.445250000000001</v>
      </c>
      <c r="AW9" s="158">
        <f>R9</f>
        <v>163.29599999999999</v>
      </c>
      <c r="AX9" s="158">
        <f t="shared" si="30"/>
        <v>8164.8</v>
      </c>
      <c r="AY9" s="158">
        <f>Y9</f>
        <v>197.74124999999998</v>
      </c>
      <c r="AZ9" s="158">
        <f t="shared" si="31"/>
        <v>17.4636</v>
      </c>
      <c r="BA9" s="158">
        <f t="shared" si="31"/>
        <v>9.9791999999999987</v>
      </c>
      <c r="BB9" s="97"/>
      <c r="BC9" s="180" t="str">
        <f t="shared" si="5"/>
        <v/>
      </c>
      <c r="BD9" s="180" t="str">
        <f t="shared" si="32"/>
        <v/>
      </c>
      <c r="BE9" s="181">
        <f t="shared" si="6"/>
        <v>41</v>
      </c>
      <c r="BF9" s="97"/>
      <c r="BG9" s="174" t="s">
        <v>337</v>
      </c>
    </row>
    <row r="10" spans="1:59" x14ac:dyDescent="0.25">
      <c r="A10" s="173" t="s">
        <v>326</v>
      </c>
      <c r="B10" s="31"/>
      <c r="C10" s="33">
        <v>1978</v>
      </c>
      <c r="D10" s="33"/>
      <c r="E10" s="33">
        <v>23</v>
      </c>
      <c r="F10" s="32">
        <v>25000</v>
      </c>
      <c r="G10" s="32"/>
      <c r="H10" s="37" t="s">
        <v>146</v>
      </c>
      <c r="I10" s="36">
        <f>70*3*E10</f>
        <v>4830</v>
      </c>
      <c r="J10" s="148"/>
      <c r="K10" s="148"/>
      <c r="L10" s="148"/>
      <c r="M10" s="152"/>
      <c r="N10" s="148"/>
      <c r="O10" s="149"/>
      <c r="P10" s="148">
        <f>2.75*1*I10</f>
        <v>13282.5</v>
      </c>
      <c r="Q10" s="152">
        <v>1.6E-2</v>
      </c>
      <c r="R10" s="149">
        <f t="shared" si="35"/>
        <v>531.30000000000007</v>
      </c>
      <c r="S10" s="35"/>
      <c r="T10" s="35"/>
      <c r="U10" s="35"/>
      <c r="V10" s="149">
        <f>W10</f>
        <v>36.225000000000001</v>
      </c>
      <c r="W10" s="149">
        <f>2*(2.75+1)*I10/1000</f>
        <v>36.225000000000001</v>
      </c>
      <c r="X10" s="148">
        <f t="shared" si="27"/>
        <v>26565</v>
      </c>
      <c r="Y10" s="149">
        <f t="shared" si="28"/>
        <v>531.30000000000007</v>
      </c>
      <c r="Z10" s="152">
        <f t="shared" si="29"/>
        <v>1.6E-2</v>
      </c>
      <c r="AA10" s="176">
        <v>2022</v>
      </c>
      <c r="AB10" s="73">
        <f>IF(AU10=0, IF(AND((C10+AA10)&gt;0,MAX(C10,AA10)&gt;(2022-Hypotheses!$D$3)), MAX(C10,AA10)+Hypotheses!$D$3, 2027), "")</f>
        <v>2062</v>
      </c>
      <c r="AC10" s="59"/>
      <c r="AD10" s="153">
        <f t="shared" ref="AD10:AE10" si="39">X10</f>
        <v>26565</v>
      </c>
      <c r="AE10" s="153">
        <f t="shared" si="39"/>
        <v>531.30000000000007</v>
      </c>
      <c r="AF10" s="153">
        <f t="shared" ref="AF10" si="40">O10</f>
        <v>0</v>
      </c>
      <c r="AG10" s="153">
        <f t="shared" ref="AG10" si="41">R10</f>
        <v>531.30000000000007</v>
      </c>
      <c r="AH10" s="153">
        <f t="shared" ref="AH10" si="42">V10</f>
        <v>36.225000000000001</v>
      </c>
      <c r="AI10" s="153">
        <f t="shared" ref="AI10" si="43">W10</f>
        <v>36.225000000000001</v>
      </c>
      <c r="AJ10" s="72" t="s">
        <v>146</v>
      </c>
      <c r="AK10" s="150"/>
      <c r="AL10" s="156"/>
      <c r="AM10" s="150"/>
      <c r="AN10" s="155">
        <f>P10</f>
        <v>13282.5</v>
      </c>
      <c r="AO10" s="156">
        <v>1.6E-2</v>
      </c>
      <c r="AP10" s="150">
        <f t="shared" ref="AP10" si="44">AN10*AO10*2.5</f>
        <v>531.30000000000007</v>
      </c>
      <c r="AQ10" s="150">
        <f t="shared" si="15"/>
        <v>13282.5</v>
      </c>
      <c r="AR10" s="150">
        <f t="shared" ref="AR10" si="45">AM10+AP10</f>
        <v>531.30000000000007</v>
      </c>
      <c r="AS10" s="150">
        <f>AT10</f>
        <v>32.5914</v>
      </c>
      <c r="AT10" s="150">
        <f>(27*(50+53)*(1.25+2.85)*2+(2+14+30)*26*(2.5+1.5)*2+(1+7)*2*(5+1.85)*2)/1000</f>
        <v>32.5914</v>
      </c>
      <c r="AU10" s="74"/>
      <c r="AV10" s="71"/>
      <c r="AW10" s="71"/>
      <c r="AX10" s="71"/>
      <c r="AY10" s="71"/>
      <c r="AZ10" s="71"/>
      <c r="BA10" s="71"/>
      <c r="BB10" s="97"/>
      <c r="BC10" s="180">
        <f t="shared" si="5"/>
        <v>44</v>
      </c>
      <c r="BD10" s="180">
        <f>2022-AA10</f>
        <v>0</v>
      </c>
      <c r="BE10" s="181" t="str">
        <f t="shared" si="6"/>
        <v/>
      </c>
      <c r="BF10" s="97"/>
      <c r="BG10" s="174" t="s">
        <v>327</v>
      </c>
    </row>
    <row r="11" spans="1:59" x14ac:dyDescent="0.25">
      <c r="A11" s="173" t="s">
        <v>12</v>
      </c>
      <c r="B11" s="31"/>
      <c r="C11" s="33">
        <v>1983</v>
      </c>
      <c r="D11" s="33">
        <v>102</v>
      </c>
      <c r="E11" s="33">
        <v>28</v>
      </c>
      <c r="F11" s="32">
        <v>35000</v>
      </c>
      <c r="G11" s="32"/>
      <c r="H11" s="37" t="s">
        <v>146</v>
      </c>
      <c r="I11" s="36">
        <f>106*26</f>
        <v>2756</v>
      </c>
      <c r="J11" s="148">
        <f>1.35*1.125*I11</f>
        <v>4185.6750000000002</v>
      </c>
      <c r="K11" s="152">
        <v>8.0000000000000002E-3</v>
      </c>
      <c r="L11" s="148"/>
      <c r="M11" s="152"/>
      <c r="N11" s="148">
        <f t="shared" ref="N11" si="46">L11+J11</f>
        <v>4185.6750000000002</v>
      </c>
      <c r="O11" s="149">
        <f t="shared" ref="O11" si="47">(J11*K11+L11*M11)*2.5</f>
        <v>83.71350000000001</v>
      </c>
      <c r="P11" s="148">
        <f>1.5*1.8*I11</f>
        <v>7441.2000000000007</v>
      </c>
      <c r="Q11" s="152">
        <v>1.7999999999999999E-2</v>
      </c>
      <c r="R11" s="149">
        <f t="shared" ref="R11:R14" si="48">P11*Q11*2.5</f>
        <v>334.85399999999998</v>
      </c>
      <c r="S11" s="35"/>
      <c r="T11" s="35"/>
      <c r="U11" s="35"/>
      <c r="V11" s="149">
        <f>W11+(1.35+1.125)*2*I11/1000</f>
        <v>31.831800000000001</v>
      </c>
      <c r="W11" s="149">
        <f>(1.5+1.8)*2*I11/1000</f>
        <v>18.189599999999999</v>
      </c>
      <c r="X11" s="148">
        <f t="shared" si="27"/>
        <v>19068.075000000001</v>
      </c>
      <c r="Y11" s="149">
        <f t="shared" si="28"/>
        <v>418.5675</v>
      </c>
      <c r="Z11" s="152">
        <f t="shared" si="29"/>
        <v>1.7999999999999999E-2</v>
      </c>
      <c r="AA11" s="80"/>
      <c r="AB11" s="73">
        <f>IF(AU11=0, IF(AND((C11+AA11)&gt;0,MAX(C11,AA11)&gt;(2022-Hypotheses!$D$3)), MAX(C11,AA11)+Hypotheses!$D$3, 2027), "")</f>
        <v>2023</v>
      </c>
      <c r="AC11" s="59"/>
      <c r="AD11" s="153">
        <f t="shared" ref="AD11:AE27" si="49">X11</f>
        <v>19068.075000000001</v>
      </c>
      <c r="AE11" s="153">
        <f t="shared" si="49"/>
        <v>418.5675</v>
      </c>
      <c r="AF11" s="153">
        <f t="shared" ref="AF11:AF27" si="50">O11</f>
        <v>83.71350000000001</v>
      </c>
      <c r="AG11" s="153">
        <f t="shared" ref="AG11:AG27" si="51">R11</f>
        <v>334.85399999999998</v>
      </c>
      <c r="AH11" s="153">
        <f t="shared" ref="AH11:AH27" si="52">V11</f>
        <v>31.831800000000001</v>
      </c>
      <c r="AI11" s="153">
        <f t="shared" ref="AI11:AI27" si="53">W11</f>
        <v>18.189599999999999</v>
      </c>
      <c r="AJ11" s="72" t="str">
        <f>H11</f>
        <v>DG</v>
      </c>
      <c r="AK11" s="150">
        <f>N11</f>
        <v>4185.6750000000002</v>
      </c>
      <c r="AL11" s="156"/>
      <c r="AM11" s="150">
        <f>O11</f>
        <v>83.71350000000001</v>
      </c>
      <c r="AN11" s="155">
        <f>P11</f>
        <v>7441.2000000000007</v>
      </c>
      <c r="AO11" s="156">
        <f>Q11</f>
        <v>1.7999999999999999E-2</v>
      </c>
      <c r="AP11" s="150">
        <f>R11</f>
        <v>334.85399999999998</v>
      </c>
      <c r="AQ11" s="150">
        <f t="shared" si="15"/>
        <v>11626.875</v>
      </c>
      <c r="AR11" s="150">
        <f t="shared" ref="AR11:AR26" si="54">Y11</f>
        <v>418.5675</v>
      </c>
      <c r="AS11" s="150">
        <f>V11</f>
        <v>31.831800000000001</v>
      </c>
      <c r="AT11" s="150">
        <f>W11</f>
        <v>18.189599999999999</v>
      </c>
      <c r="AU11" s="74"/>
      <c r="AV11" s="71"/>
      <c r="AW11" s="71"/>
      <c r="AX11" s="71"/>
      <c r="AY11" s="71"/>
      <c r="AZ11" s="71"/>
      <c r="BA11" s="71"/>
      <c r="BB11" s="97"/>
      <c r="BC11" s="180" t="str">
        <f t="shared" si="5"/>
        <v/>
      </c>
      <c r="BD11" s="180">
        <f t="shared" si="32"/>
        <v>39</v>
      </c>
      <c r="BE11" s="181" t="str">
        <f t="shared" si="6"/>
        <v/>
      </c>
      <c r="BF11" s="97"/>
      <c r="BG11" s="174" t="s">
        <v>324</v>
      </c>
    </row>
    <row r="12" spans="1:59" x14ac:dyDescent="0.25">
      <c r="A12" s="173" t="s">
        <v>27</v>
      </c>
      <c r="B12" s="31"/>
      <c r="C12" s="33">
        <v>1994</v>
      </c>
      <c r="D12" s="33"/>
      <c r="E12" s="33">
        <v>8</v>
      </c>
      <c r="F12" s="32">
        <v>30000</v>
      </c>
      <c r="G12" s="32"/>
      <c r="H12" s="37" t="s">
        <v>146</v>
      </c>
      <c r="I12" s="36">
        <f>5*78+2*105+7*98+3*7*88</f>
        <v>3134</v>
      </c>
      <c r="J12" s="148"/>
      <c r="K12" s="148"/>
      <c r="L12" s="148"/>
      <c r="M12" s="152"/>
      <c r="N12" s="148"/>
      <c r="O12" s="149"/>
      <c r="P12" s="148">
        <f>1.2*3*I12</f>
        <v>11282.4</v>
      </c>
      <c r="Q12" s="152">
        <v>1.6E-2</v>
      </c>
      <c r="R12" s="149">
        <f t="shared" si="48"/>
        <v>451.29599999999994</v>
      </c>
      <c r="S12" s="35"/>
      <c r="T12" s="35"/>
      <c r="U12" s="35"/>
      <c r="V12" s="149">
        <f>W12</f>
        <v>26.325600000000001</v>
      </c>
      <c r="W12" s="149">
        <f>(1.2+3)*I12*2/1000</f>
        <v>26.325600000000001</v>
      </c>
      <c r="X12" s="148">
        <f t="shared" si="27"/>
        <v>22564.799999999999</v>
      </c>
      <c r="Y12" s="149">
        <f t="shared" si="28"/>
        <v>451.29599999999994</v>
      </c>
      <c r="Z12" s="152">
        <f t="shared" si="29"/>
        <v>1.6E-2</v>
      </c>
      <c r="AA12" s="80"/>
      <c r="AB12" s="73">
        <f>IF(AU12=0, IF(AND((C12+AA12)&gt;0,MAX(C12,AA12)&gt;(2022-Hypotheses!$D$3)), MAX(C12,AA12)+Hypotheses!$D$3, 2027), "")</f>
        <v>2034</v>
      </c>
      <c r="AC12" s="59"/>
      <c r="AD12" s="153">
        <f t="shared" si="49"/>
        <v>22564.799999999999</v>
      </c>
      <c r="AE12" s="153">
        <f t="shared" si="49"/>
        <v>451.29599999999994</v>
      </c>
      <c r="AF12" s="153">
        <f t="shared" si="50"/>
        <v>0</v>
      </c>
      <c r="AG12" s="153">
        <f t="shared" si="51"/>
        <v>451.29599999999994</v>
      </c>
      <c r="AH12" s="153">
        <f t="shared" si="52"/>
        <v>26.325600000000001</v>
      </c>
      <c r="AI12" s="153">
        <f t="shared" si="53"/>
        <v>26.325600000000001</v>
      </c>
      <c r="AJ12" s="72" t="str">
        <f t="shared" ref="AJ12:AJ27" si="55">H12</f>
        <v>DG</v>
      </c>
      <c r="AK12" s="150">
        <f t="shared" ref="AK12:AK27" si="56">N12</f>
        <v>0</v>
      </c>
      <c r="AL12" s="156"/>
      <c r="AM12" s="150">
        <f t="shared" ref="AM12:AM27" si="57">O12</f>
        <v>0</v>
      </c>
      <c r="AN12" s="155">
        <f t="shared" ref="AN12:AN27" si="58">P12</f>
        <v>11282.4</v>
      </c>
      <c r="AO12" s="156">
        <f t="shared" ref="AO12:AO27" si="59">Q12</f>
        <v>1.6E-2</v>
      </c>
      <c r="AP12" s="150">
        <f t="shared" ref="AP12:AP27" si="60">R12</f>
        <v>451.29599999999994</v>
      </c>
      <c r="AQ12" s="150">
        <f t="shared" si="15"/>
        <v>11282.4</v>
      </c>
      <c r="AR12" s="150">
        <f t="shared" si="54"/>
        <v>451.29599999999994</v>
      </c>
      <c r="AS12" s="150">
        <f t="shared" ref="AS12:AS27" si="61">V12</f>
        <v>26.325600000000001</v>
      </c>
      <c r="AT12" s="150">
        <f t="shared" ref="AT12:AT27" si="62">W12</f>
        <v>26.325600000000001</v>
      </c>
      <c r="AU12" s="74"/>
      <c r="AV12" s="71"/>
      <c r="AW12" s="71"/>
      <c r="AX12" s="71"/>
      <c r="AY12" s="71"/>
      <c r="AZ12" s="71"/>
      <c r="BA12" s="71"/>
      <c r="BB12" s="97"/>
      <c r="BC12" s="180" t="str">
        <f t="shared" si="5"/>
        <v/>
      </c>
      <c r="BD12" s="180">
        <f t="shared" si="32"/>
        <v>28</v>
      </c>
      <c r="BE12" s="181" t="str">
        <f t="shared" si="6"/>
        <v/>
      </c>
      <c r="BF12" s="97"/>
      <c r="BG12" s="87"/>
    </row>
    <row r="13" spans="1:59" x14ac:dyDescent="0.25">
      <c r="A13" s="173" t="s">
        <v>22</v>
      </c>
      <c r="B13" s="31"/>
      <c r="C13" s="33">
        <v>1996</v>
      </c>
      <c r="D13" s="33"/>
      <c r="E13" s="33">
        <v>28</v>
      </c>
      <c r="F13" s="32">
        <v>100000</v>
      </c>
      <c r="G13" s="32"/>
      <c r="H13" s="37" t="s">
        <v>146</v>
      </c>
      <c r="I13" s="36"/>
      <c r="J13" s="148"/>
      <c r="K13" s="148"/>
      <c r="L13" s="148"/>
      <c r="M13" s="152"/>
      <c r="N13" s="148"/>
      <c r="O13" s="149"/>
      <c r="P13" s="148">
        <f>((28.7+48.88)*0.8*2+(29+48)*0.8*2)*3*0.9*(28+32)</f>
        <v>40067.136000000006</v>
      </c>
      <c r="Q13" s="152">
        <v>1.7999999999999999E-2</v>
      </c>
      <c r="R13" s="149">
        <f t="shared" si="48"/>
        <v>1803.0211200000003</v>
      </c>
      <c r="S13" s="35"/>
      <c r="T13" s="35"/>
      <c r="U13" s="35"/>
      <c r="V13" s="149">
        <f>W13</f>
        <v>106.845696</v>
      </c>
      <c r="W13" s="149">
        <f>P13/(1.5*1.5)*(1.5+1.5)*2/1000</f>
        <v>106.845696</v>
      </c>
      <c r="X13" s="148">
        <f t="shared" si="27"/>
        <v>80134.272000000012</v>
      </c>
      <c r="Y13" s="149">
        <f t="shared" si="28"/>
        <v>1803.0211200000003</v>
      </c>
      <c r="Z13" s="152">
        <f t="shared" si="29"/>
        <v>1.7999999999999999E-2</v>
      </c>
      <c r="AA13" s="80"/>
      <c r="AB13" s="73">
        <f>IF(AU13=0, IF(AND((C13+AA13)&gt;0,MAX(C13,AA13)&gt;(2022-Hypotheses!$D$3)), MAX(C13,AA13)+Hypotheses!$D$3, 2027), "")</f>
        <v>2036</v>
      </c>
      <c r="AC13" s="59"/>
      <c r="AD13" s="153">
        <f t="shared" si="49"/>
        <v>80134.272000000012</v>
      </c>
      <c r="AE13" s="153">
        <f t="shared" si="49"/>
        <v>1803.0211200000003</v>
      </c>
      <c r="AF13" s="153">
        <f t="shared" si="50"/>
        <v>0</v>
      </c>
      <c r="AG13" s="153">
        <f t="shared" si="51"/>
        <v>1803.0211200000003</v>
      </c>
      <c r="AH13" s="153">
        <f t="shared" si="52"/>
        <v>106.845696</v>
      </c>
      <c r="AI13" s="153">
        <f t="shared" si="53"/>
        <v>106.845696</v>
      </c>
      <c r="AJ13" s="72" t="str">
        <f t="shared" si="55"/>
        <v>DG</v>
      </c>
      <c r="AK13" s="150">
        <f t="shared" si="56"/>
        <v>0</v>
      </c>
      <c r="AL13" s="156"/>
      <c r="AM13" s="150">
        <f t="shared" si="57"/>
        <v>0</v>
      </c>
      <c r="AN13" s="155">
        <f t="shared" si="58"/>
        <v>40067.136000000006</v>
      </c>
      <c r="AO13" s="156">
        <f t="shared" si="59"/>
        <v>1.7999999999999999E-2</v>
      </c>
      <c r="AP13" s="150">
        <f t="shared" si="60"/>
        <v>1803.0211200000003</v>
      </c>
      <c r="AQ13" s="150">
        <f t="shared" si="15"/>
        <v>40067.136000000006</v>
      </c>
      <c r="AR13" s="150">
        <f t="shared" si="54"/>
        <v>1803.0211200000003</v>
      </c>
      <c r="AS13" s="150">
        <f t="shared" si="61"/>
        <v>106.845696</v>
      </c>
      <c r="AT13" s="150">
        <f t="shared" si="62"/>
        <v>106.845696</v>
      </c>
      <c r="AU13" s="74"/>
      <c r="AV13" s="71"/>
      <c r="AW13" s="71"/>
      <c r="AX13" s="71"/>
      <c r="AY13" s="71"/>
      <c r="AZ13" s="71"/>
      <c r="BA13" s="71"/>
      <c r="BB13" s="97"/>
      <c r="BC13" s="180" t="str">
        <f t="shared" si="5"/>
        <v/>
      </c>
      <c r="BD13" s="180">
        <f t="shared" si="32"/>
        <v>26</v>
      </c>
      <c r="BE13" s="181" t="str">
        <f t="shared" si="6"/>
        <v/>
      </c>
      <c r="BF13" s="97"/>
      <c r="BG13" s="87"/>
    </row>
    <row r="14" spans="1:59" x14ac:dyDescent="0.25">
      <c r="A14" s="173" t="s">
        <v>26</v>
      </c>
      <c r="B14" s="31"/>
      <c r="C14" s="33">
        <v>1997</v>
      </c>
      <c r="D14" s="33"/>
      <c r="E14" s="33">
        <v>13</v>
      </c>
      <c r="F14" s="32">
        <v>40000</v>
      </c>
      <c r="G14" s="32"/>
      <c r="H14" s="37" t="s">
        <v>146</v>
      </c>
      <c r="I14" s="36">
        <f>13*(41+14+30+49+30)+7*(51+25+12)</f>
        <v>2748</v>
      </c>
      <c r="J14" s="148"/>
      <c r="K14" s="148"/>
      <c r="L14" s="148"/>
      <c r="M14" s="152"/>
      <c r="N14" s="148"/>
      <c r="O14" s="149"/>
      <c r="P14" s="148">
        <f>1.2*3*I14</f>
        <v>9892.7999999999993</v>
      </c>
      <c r="Q14" s="152">
        <v>1.6E-2</v>
      </c>
      <c r="R14" s="149">
        <f t="shared" si="48"/>
        <v>395.71199999999999</v>
      </c>
      <c r="S14" s="35"/>
      <c r="T14" s="35"/>
      <c r="U14" s="35"/>
      <c r="V14" s="149">
        <f>W14</f>
        <v>26.380799999999997</v>
      </c>
      <c r="W14" s="149">
        <f>P14/(1.5*1.5)*(1.5+1.5)*2/1000</f>
        <v>26.380799999999997</v>
      </c>
      <c r="X14" s="148">
        <f t="shared" si="27"/>
        <v>19785.599999999999</v>
      </c>
      <c r="Y14" s="149">
        <f t="shared" si="28"/>
        <v>395.71199999999999</v>
      </c>
      <c r="Z14" s="152">
        <f t="shared" si="29"/>
        <v>1.6E-2</v>
      </c>
      <c r="AA14" s="80"/>
      <c r="AB14" s="73">
        <f>IF(AU14=0, IF(AND((C14+AA14)&gt;0,MAX(C14,AA14)&gt;(2022-Hypotheses!$D$3)), MAX(C14,AA14)+Hypotheses!$D$3, 2027), "")</f>
        <v>2037</v>
      </c>
      <c r="AC14" s="59"/>
      <c r="AD14" s="153">
        <f t="shared" si="49"/>
        <v>19785.599999999999</v>
      </c>
      <c r="AE14" s="153">
        <f t="shared" si="49"/>
        <v>395.71199999999999</v>
      </c>
      <c r="AF14" s="153">
        <f t="shared" si="50"/>
        <v>0</v>
      </c>
      <c r="AG14" s="153">
        <f t="shared" si="51"/>
        <v>395.71199999999999</v>
      </c>
      <c r="AH14" s="153">
        <f t="shared" si="52"/>
        <v>26.380799999999997</v>
      </c>
      <c r="AI14" s="153">
        <f t="shared" si="53"/>
        <v>26.380799999999997</v>
      </c>
      <c r="AJ14" s="72" t="str">
        <f t="shared" si="55"/>
        <v>DG</v>
      </c>
      <c r="AK14" s="150">
        <f t="shared" si="56"/>
        <v>0</v>
      </c>
      <c r="AL14" s="156"/>
      <c r="AM14" s="150">
        <f t="shared" si="57"/>
        <v>0</v>
      </c>
      <c r="AN14" s="155">
        <f t="shared" si="58"/>
        <v>9892.7999999999993</v>
      </c>
      <c r="AO14" s="156">
        <f t="shared" si="59"/>
        <v>1.6E-2</v>
      </c>
      <c r="AP14" s="150">
        <f t="shared" si="60"/>
        <v>395.71199999999999</v>
      </c>
      <c r="AQ14" s="150">
        <f t="shared" si="15"/>
        <v>9892.7999999999993</v>
      </c>
      <c r="AR14" s="150">
        <f t="shared" si="54"/>
        <v>395.71199999999999</v>
      </c>
      <c r="AS14" s="150">
        <f t="shared" si="61"/>
        <v>26.380799999999997</v>
      </c>
      <c r="AT14" s="150">
        <f t="shared" si="62"/>
        <v>26.380799999999997</v>
      </c>
      <c r="AU14" s="74"/>
      <c r="AV14" s="71"/>
      <c r="AW14" s="71"/>
      <c r="AX14" s="71"/>
      <c r="AY14" s="71"/>
      <c r="AZ14" s="71"/>
      <c r="BA14" s="71"/>
      <c r="BB14" s="97"/>
      <c r="BC14" s="180" t="str">
        <f t="shared" si="5"/>
        <v/>
      </c>
      <c r="BD14" s="180">
        <f t="shared" si="32"/>
        <v>25</v>
      </c>
      <c r="BE14" s="181" t="str">
        <f t="shared" si="6"/>
        <v/>
      </c>
      <c r="BF14" s="97"/>
      <c r="BG14" s="87"/>
    </row>
    <row r="15" spans="1:59" x14ac:dyDescent="0.25">
      <c r="A15" s="173" t="s">
        <v>25</v>
      </c>
      <c r="B15" s="31"/>
      <c r="C15" s="33">
        <v>1998</v>
      </c>
      <c r="D15" s="33"/>
      <c r="E15" s="33">
        <v>8</v>
      </c>
      <c r="F15" s="32">
        <v>45000</v>
      </c>
      <c r="G15" s="32"/>
      <c r="H15" s="37" t="s">
        <v>146</v>
      </c>
      <c r="I15" s="36">
        <f>6*4*5+17*8*3+35*5+11*5+5*9*2+13*53*2</f>
        <v>2226</v>
      </c>
      <c r="J15" s="148"/>
      <c r="K15" s="148"/>
      <c r="L15" s="148"/>
      <c r="M15" s="152"/>
      <c r="N15" s="148"/>
      <c r="O15" s="149"/>
      <c r="P15" s="148">
        <f>1.2*3*I15</f>
        <v>8013.5999999999995</v>
      </c>
      <c r="Q15" s="152">
        <v>1.6E-2</v>
      </c>
      <c r="R15" s="149">
        <f t="shared" ref="R15:R26" si="63">P15*Q15*2.5</f>
        <v>320.54399999999998</v>
      </c>
      <c r="S15" s="35"/>
      <c r="T15" s="35"/>
      <c r="U15" s="35"/>
      <c r="V15" s="149">
        <f>W15</f>
        <v>21.369599999999998</v>
      </c>
      <c r="W15" s="149">
        <f>P15/(1.5*1.5)*(1.5+1.5)*2/1000</f>
        <v>21.369599999999998</v>
      </c>
      <c r="X15" s="148">
        <f t="shared" si="27"/>
        <v>16027.199999999999</v>
      </c>
      <c r="Y15" s="149">
        <f t="shared" si="28"/>
        <v>320.54399999999998</v>
      </c>
      <c r="Z15" s="152">
        <f t="shared" si="29"/>
        <v>1.6E-2</v>
      </c>
      <c r="AA15" s="80"/>
      <c r="AB15" s="73">
        <f>IF(AU15=0, IF(AND((C15+AA15)&gt;0,MAX(C15,AA15)&gt;(2022-Hypotheses!$D$3)), MAX(C15,AA15)+Hypotheses!$D$3, 2027), "")</f>
        <v>2038</v>
      </c>
      <c r="AC15" s="59"/>
      <c r="AD15" s="153">
        <f t="shared" si="49"/>
        <v>16027.199999999999</v>
      </c>
      <c r="AE15" s="153">
        <f t="shared" si="49"/>
        <v>320.54399999999998</v>
      </c>
      <c r="AF15" s="153">
        <f t="shared" si="50"/>
        <v>0</v>
      </c>
      <c r="AG15" s="153">
        <f t="shared" si="51"/>
        <v>320.54399999999998</v>
      </c>
      <c r="AH15" s="153">
        <f t="shared" si="52"/>
        <v>21.369599999999998</v>
      </c>
      <c r="AI15" s="153">
        <f t="shared" si="53"/>
        <v>21.369599999999998</v>
      </c>
      <c r="AJ15" s="72" t="str">
        <f t="shared" si="55"/>
        <v>DG</v>
      </c>
      <c r="AK15" s="150">
        <f t="shared" si="56"/>
        <v>0</v>
      </c>
      <c r="AL15" s="156"/>
      <c r="AM15" s="150">
        <f t="shared" si="57"/>
        <v>0</v>
      </c>
      <c r="AN15" s="155">
        <f t="shared" si="58"/>
        <v>8013.5999999999995</v>
      </c>
      <c r="AO15" s="156">
        <f t="shared" si="59"/>
        <v>1.6E-2</v>
      </c>
      <c r="AP15" s="150">
        <f t="shared" si="60"/>
        <v>320.54399999999998</v>
      </c>
      <c r="AQ15" s="150">
        <f t="shared" si="15"/>
        <v>8013.5999999999995</v>
      </c>
      <c r="AR15" s="150">
        <f t="shared" si="54"/>
        <v>320.54399999999998</v>
      </c>
      <c r="AS15" s="150">
        <f t="shared" si="61"/>
        <v>21.369599999999998</v>
      </c>
      <c r="AT15" s="150">
        <f t="shared" si="62"/>
        <v>21.369599999999998</v>
      </c>
      <c r="AU15" s="74"/>
      <c r="AV15" s="71"/>
      <c r="AW15" s="71"/>
      <c r="AX15" s="71"/>
      <c r="AY15" s="71"/>
      <c r="AZ15" s="71"/>
      <c r="BA15" s="71"/>
      <c r="BB15" s="97"/>
      <c r="BC15" s="180" t="str">
        <f t="shared" si="5"/>
        <v/>
      </c>
      <c r="BD15" s="180">
        <f t="shared" si="32"/>
        <v>24</v>
      </c>
      <c r="BE15" s="181" t="str">
        <f t="shared" si="6"/>
        <v/>
      </c>
      <c r="BF15" s="97"/>
      <c r="BG15" s="87"/>
    </row>
    <row r="16" spans="1:59" x14ac:dyDescent="0.25">
      <c r="A16" s="173" t="s">
        <v>23</v>
      </c>
      <c r="B16" s="31"/>
      <c r="C16" s="33">
        <v>2000</v>
      </c>
      <c r="D16" s="33">
        <v>56</v>
      </c>
      <c r="E16" s="33">
        <v>16</v>
      </c>
      <c r="F16" s="32">
        <v>35000</v>
      </c>
      <c r="G16" s="32"/>
      <c r="H16" s="37" t="s">
        <v>146</v>
      </c>
      <c r="I16" s="36">
        <f>2*(44+8+23+12)*E16</f>
        <v>2784</v>
      </c>
      <c r="J16" s="148"/>
      <c r="K16" s="148"/>
      <c r="L16" s="148"/>
      <c r="M16" s="152"/>
      <c r="N16" s="148"/>
      <c r="O16" s="149"/>
      <c r="P16" s="148">
        <f>1.2*3*I16</f>
        <v>10022.4</v>
      </c>
      <c r="Q16" s="152">
        <v>1.6E-2</v>
      </c>
      <c r="R16" s="149">
        <f t="shared" si="63"/>
        <v>400.89599999999996</v>
      </c>
      <c r="S16" s="35"/>
      <c r="T16" s="35"/>
      <c r="U16" s="35"/>
      <c r="V16" s="149">
        <f>W16</f>
        <v>26.726399999999998</v>
      </c>
      <c r="W16" s="149">
        <f>P16/(1.5*1.5)*(1.5+1.5)*2/1000</f>
        <v>26.726399999999998</v>
      </c>
      <c r="X16" s="148">
        <f t="shared" si="27"/>
        <v>20044.8</v>
      </c>
      <c r="Y16" s="149">
        <f t="shared" si="28"/>
        <v>400.89599999999996</v>
      </c>
      <c r="Z16" s="152">
        <f t="shared" si="29"/>
        <v>1.6E-2</v>
      </c>
      <c r="AA16" s="80"/>
      <c r="AB16" s="73">
        <f>IF(AU16=0, IF(AND((C16+AA16)&gt;0,MAX(C16,AA16)&gt;(2022-Hypotheses!$D$3)), MAX(C16,AA16)+Hypotheses!$D$3, 2027), "")</f>
        <v>2040</v>
      </c>
      <c r="AC16" s="59"/>
      <c r="AD16" s="153">
        <f t="shared" si="49"/>
        <v>20044.8</v>
      </c>
      <c r="AE16" s="153">
        <f t="shared" si="49"/>
        <v>400.89599999999996</v>
      </c>
      <c r="AF16" s="153">
        <f t="shared" si="50"/>
        <v>0</v>
      </c>
      <c r="AG16" s="153">
        <f t="shared" si="51"/>
        <v>400.89599999999996</v>
      </c>
      <c r="AH16" s="153">
        <f t="shared" si="52"/>
        <v>26.726399999999998</v>
      </c>
      <c r="AI16" s="153">
        <f t="shared" si="53"/>
        <v>26.726399999999998</v>
      </c>
      <c r="AJ16" s="72" t="str">
        <f t="shared" si="55"/>
        <v>DG</v>
      </c>
      <c r="AK16" s="150">
        <f t="shared" si="56"/>
        <v>0</v>
      </c>
      <c r="AL16" s="156"/>
      <c r="AM16" s="150">
        <f t="shared" si="57"/>
        <v>0</v>
      </c>
      <c r="AN16" s="155">
        <f t="shared" si="58"/>
        <v>10022.4</v>
      </c>
      <c r="AO16" s="156">
        <f t="shared" si="59"/>
        <v>1.6E-2</v>
      </c>
      <c r="AP16" s="150">
        <f t="shared" si="60"/>
        <v>400.89599999999996</v>
      </c>
      <c r="AQ16" s="150">
        <f t="shared" si="15"/>
        <v>10022.4</v>
      </c>
      <c r="AR16" s="150">
        <f t="shared" si="54"/>
        <v>400.89599999999996</v>
      </c>
      <c r="AS16" s="150">
        <f t="shared" si="61"/>
        <v>26.726399999999998</v>
      </c>
      <c r="AT16" s="150">
        <f t="shared" si="62"/>
        <v>26.726399999999998</v>
      </c>
      <c r="AU16" s="74"/>
      <c r="AV16" s="71"/>
      <c r="AW16" s="71"/>
      <c r="AX16" s="71"/>
      <c r="AY16" s="71"/>
      <c r="AZ16" s="71"/>
      <c r="BA16" s="71"/>
      <c r="BB16" s="97"/>
      <c r="BC16" s="180" t="str">
        <f t="shared" si="5"/>
        <v/>
      </c>
      <c r="BD16" s="180">
        <f t="shared" si="32"/>
        <v>22</v>
      </c>
      <c r="BE16" s="181" t="str">
        <f t="shared" si="6"/>
        <v/>
      </c>
      <c r="BF16" s="97"/>
      <c r="BG16" s="174" t="s">
        <v>332</v>
      </c>
    </row>
    <row r="17" spans="1:59" x14ac:dyDescent="0.25">
      <c r="A17" s="173" t="s">
        <v>13</v>
      </c>
      <c r="B17" s="31"/>
      <c r="C17" s="33">
        <v>2004</v>
      </c>
      <c r="D17" s="33"/>
      <c r="E17" s="33">
        <v>30</v>
      </c>
      <c r="F17" s="32">
        <v>50000</v>
      </c>
      <c r="G17" s="32"/>
      <c r="H17" s="37" t="s">
        <v>168</v>
      </c>
      <c r="I17" s="36">
        <f>(24+41+10)*E17</f>
        <v>2250</v>
      </c>
      <c r="J17" s="148"/>
      <c r="K17" s="148"/>
      <c r="L17" s="148">
        <f>P17</f>
        <v>6750</v>
      </c>
      <c r="M17" s="152">
        <v>6.0000000000000001E-3</v>
      </c>
      <c r="N17" s="148">
        <f t="shared" ref="N17:N18" si="64">L17+J17</f>
        <v>6750</v>
      </c>
      <c r="O17" s="149">
        <f t="shared" ref="O17:O18" si="65">(J17*K17+L17*M17)*2.5</f>
        <v>101.25</v>
      </c>
      <c r="P17" s="148">
        <f>1.2*2.5*I17</f>
        <v>6750</v>
      </c>
      <c r="Q17" s="152">
        <v>1.6E-2</v>
      </c>
      <c r="R17" s="149">
        <f t="shared" si="63"/>
        <v>270</v>
      </c>
      <c r="S17" s="35"/>
      <c r="T17" s="35"/>
      <c r="U17" s="35"/>
      <c r="V17" s="149">
        <f>W17*2</f>
        <v>33.299999999999997</v>
      </c>
      <c r="W17" s="149">
        <f>(1.2+2.5)*2*I17/1000</f>
        <v>16.649999999999999</v>
      </c>
      <c r="X17" s="148">
        <f t="shared" si="27"/>
        <v>20250</v>
      </c>
      <c r="Y17" s="149">
        <f t="shared" si="28"/>
        <v>371.25</v>
      </c>
      <c r="Z17" s="152">
        <f t="shared" si="29"/>
        <v>2.1999999999999999E-2</v>
      </c>
      <c r="AA17" s="80"/>
      <c r="AB17" s="73">
        <f>IF(AU17=0, IF(AND((C17+AA17)&gt;0,MAX(C17,AA17)&gt;(2022-Hypotheses!$D$3)), MAX(C17,AA17)+Hypotheses!$D$3, 2027), "")</f>
        <v>2044</v>
      </c>
      <c r="AC17" s="59"/>
      <c r="AD17" s="153">
        <f t="shared" si="49"/>
        <v>20250</v>
      </c>
      <c r="AE17" s="153">
        <f t="shared" si="49"/>
        <v>371.25</v>
      </c>
      <c r="AF17" s="153">
        <f t="shared" si="50"/>
        <v>101.25</v>
      </c>
      <c r="AG17" s="153">
        <f t="shared" si="51"/>
        <v>270</v>
      </c>
      <c r="AH17" s="153">
        <f t="shared" si="52"/>
        <v>33.299999999999997</v>
      </c>
      <c r="AI17" s="153">
        <f t="shared" si="53"/>
        <v>16.649999999999999</v>
      </c>
      <c r="AJ17" s="72" t="str">
        <f t="shared" si="55"/>
        <v>DSF</v>
      </c>
      <c r="AK17" s="150">
        <f t="shared" si="56"/>
        <v>6750</v>
      </c>
      <c r="AL17" s="156"/>
      <c r="AM17" s="150">
        <f t="shared" si="57"/>
        <v>101.25</v>
      </c>
      <c r="AN17" s="155">
        <f t="shared" si="58"/>
        <v>6750</v>
      </c>
      <c r="AO17" s="156">
        <f t="shared" si="59"/>
        <v>1.6E-2</v>
      </c>
      <c r="AP17" s="150">
        <f t="shared" si="60"/>
        <v>270</v>
      </c>
      <c r="AQ17" s="150">
        <f t="shared" si="15"/>
        <v>13500</v>
      </c>
      <c r="AR17" s="150">
        <f t="shared" si="54"/>
        <v>371.25</v>
      </c>
      <c r="AS17" s="150">
        <f t="shared" si="61"/>
        <v>33.299999999999997</v>
      </c>
      <c r="AT17" s="150">
        <f t="shared" si="62"/>
        <v>16.649999999999999</v>
      </c>
      <c r="AU17" s="74"/>
      <c r="AV17" s="71"/>
      <c r="AW17" s="71"/>
      <c r="AX17" s="71"/>
      <c r="AY17" s="71"/>
      <c r="AZ17" s="71"/>
      <c r="BA17" s="71"/>
      <c r="BB17" s="97"/>
      <c r="BC17" s="180" t="str">
        <f t="shared" si="5"/>
        <v/>
      </c>
      <c r="BD17" s="180">
        <f t="shared" si="32"/>
        <v>18</v>
      </c>
      <c r="BE17" s="181" t="str">
        <f t="shared" si="6"/>
        <v/>
      </c>
      <c r="BF17" s="97"/>
      <c r="BG17" s="87"/>
    </row>
    <row r="18" spans="1:59" x14ac:dyDescent="0.25">
      <c r="A18" s="173" t="s">
        <v>14</v>
      </c>
      <c r="B18" s="31"/>
      <c r="C18" s="33">
        <f>C17</f>
        <v>2004</v>
      </c>
      <c r="D18" s="33"/>
      <c r="E18" s="33">
        <v>30</v>
      </c>
      <c r="F18" s="32">
        <v>50000</v>
      </c>
      <c r="G18" s="32"/>
      <c r="H18" s="37" t="s">
        <v>168</v>
      </c>
      <c r="I18" s="36">
        <f>(24+41)*E18</f>
        <v>1950</v>
      </c>
      <c r="J18" s="148"/>
      <c r="K18" s="148"/>
      <c r="L18" s="148">
        <f>P18</f>
        <v>6750</v>
      </c>
      <c r="M18" s="152">
        <v>6.0000000000000001E-3</v>
      </c>
      <c r="N18" s="148">
        <f t="shared" si="64"/>
        <v>6750</v>
      </c>
      <c r="O18" s="149">
        <f t="shared" si="65"/>
        <v>101.25</v>
      </c>
      <c r="P18" s="148">
        <f>P17</f>
        <v>6750</v>
      </c>
      <c r="Q18" s="152">
        <v>1.6E-2</v>
      </c>
      <c r="R18" s="149">
        <f t="shared" si="63"/>
        <v>270</v>
      </c>
      <c r="S18" s="35"/>
      <c r="T18" s="35"/>
      <c r="U18" s="35"/>
      <c r="V18" s="149">
        <f>W18*2</f>
        <v>28.86</v>
      </c>
      <c r="W18" s="149">
        <f>(1.2+2.5)*2*I18/1000</f>
        <v>14.43</v>
      </c>
      <c r="X18" s="148">
        <f t="shared" si="27"/>
        <v>20250</v>
      </c>
      <c r="Y18" s="149">
        <f t="shared" si="28"/>
        <v>371.25</v>
      </c>
      <c r="Z18" s="152">
        <f t="shared" si="29"/>
        <v>2.1999999999999999E-2</v>
      </c>
      <c r="AA18" s="80"/>
      <c r="AB18" s="73">
        <f>IF(AU18=0, IF(AND((C18+AA18)&gt;0,MAX(C18,AA18)&gt;(2022-Hypotheses!$D$3)), MAX(C18,AA18)+Hypotheses!$D$3, 2027), "")</f>
        <v>2044</v>
      </c>
      <c r="AC18" s="59"/>
      <c r="AD18" s="153">
        <f t="shared" si="49"/>
        <v>20250</v>
      </c>
      <c r="AE18" s="153">
        <f t="shared" si="49"/>
        <v>371.25</v>
      </c>
      <c r="AF18" s="153">
        <f t="shared" si="50"/>
        <v>101.25</v>
      </c>
      <c r="AG18" s="153">
        <f t="shared" si="51"/>
        <v>270</v>
      </c>
      <c r="AH18" s="153">
        <f t="shared" si="52"/>
        <v>28.86</v>
      </c>
      <c r="AI18" s="153">
        <f t="shared" si="53"/>
        <v>14.43</v>
      </c>
      <c r="AJ18" s="72" t="str">
        <f t="shared" si="55"/>
        <v>DSF</v>
      </c>
      <c r="AK18" s="150">
        <f t="shared" si="56"/>
        <v>6750</v>
      </c>
      <c r="AL18" s="156"/>
      <c r="AM18" s="150">
        <f t="shared" si="57"/>
        <v>101.25</v>
      </c>
      <c r="AN18" s="155">
        <f t="shared" si="58"/>
        <v>6750</v>
      </c>
      <c r="AO18" s="156">
        <f t="shared" si="59"/>
        <v>1.6E-2</v>
      </c>
      <c r="AP18" s="150">
        <f t="shared" si="60"/>
        <v>270</v>
      </c>
      <c r="AQ18" s="150">
        <f t="shared" si="15"/>
        <v>13500</v>
      </c>
      <c r="AR18" s="150">
        <f t="shared" si="54"/>
        <v>371.25</v>
      </c>
      <c r="AS18" s="150">
        <f t="shared" si="61"/>
        <v>28.86</v>
      </c>
      <c r="AT18" s="150">
        <f t="shared" si="62"/>
        <v>14.43</v>
      </c>
      <c r="AU18" s="74"/>
      <c r="AV18" s="71"/>
      <c r="AW18" s="71"/>
      <c r="AX18" s="71"/>
      <c r="AY18" s="71"/>
      <c r="AZ18" s="71"/>
      <c r="BA18" s="71"/>
      <c r="BB18" s="97"/>
      <c r="BC18" s="180" t="str">
        <f t="shared" si="5"/>
        <v/>
      </c>
      <c r="BD18" s="180">
        <f t="shared" si="32"/>
        <v>18</v>
      </c>
      <c r="BE18" s="181" t="str">
        <f t="shared" si="6"/>
        <v/>
      </c>
      <c r="BF18" s="97"/>
      <c r="BG18" s="87"/>
    </row>
    <row r="19" spans="1:59" x14ac:dyDescent="0.25">
      <c r="A19" s="173" t="s">
        <v>17</v>
      </c>
      <c r="B19" s="31"/>
      <c r="C19" s="33">
        <v>2006</v>
      </c>
      <c r="D19" s="33"/>
      <c r="E19" s="33">
        <v>21</v>
      </c>
      <c r="F19" s="32">
        <v>48000</v>
      </c>
      <c r="G19" s="32"/>
      <c r="H19" s="37" t="s">
        <v>146</v>
      </c>
      <c r="I19" s="36"/>
      <c r="J19" s="148"/>
      <c r="K19" s="148"/>
      <c r="L19" s="148"/>
      <c r="M19" s="152"/>
      <c r="N19" s="148"/>
      <c r="O19" s="149"/>
      <c r="P19" s="148">
        <f>25000</f>
        <v>25000</v>
      </c>
      <c r="Q19" s="152">
        <v>1.6E-2</v>
      </c>
      <c r="R19" s="149">
        <f t="shared" si="63"/>
        <v>1000</v>
      </c>
      <c r="S19" s="35"/>
      <c r="T19" s="35"/>
      <c r="U19" s="35"/>
      <c r="V19" s="149">
        <f>W19</f>
        <v>66.666666666666671</v>
      </c>
      <c r="W19" s="149">
        <f>P19/(1.5*1.5)*(1.5+1.5)*2/1000</f>
        <v>66.666666666666671</v>
      </c>
      <c r="X19" s="148">
        <f t="shared" si="27"/>
        <v>50000</v>
      </c>
      <c r="Y19" s="149">
        <f t="shared" si="28"/>
        <v>1000</v>
      </c>
      <c r="Z19" s="152">
        <f t="shared" si="29"/>
        <v>1.6E-2</v>
      </c>
      <c r="AA19" s="80"/>
      <c r="AB19" s="73">
        <f>IF(AU19=0, IF(AND((C19+AA19)&gt;0,MAX(C19,AA19)&gt;(2022-Hypotheses!$D$3)), MAX(C19,AA19)+Hypotheses!$D$3, 2027), "")</f>
        <v>2046</v>
      </c>
      <c r="AC19" s="59"/>
      <c r="AD19" s="153">
        <f t="shared" si="49"/>
        <v>50000</v>
      </c>
      <c r="AE19" s="153">
        <f t="shared" si="49"/>
        <v>1000</v>
      </c>
      <c r="AF19" s="153">
        <f t="shared" si="50"/>
        <v>0</v>
      </c>
      <c r="AG19" s="153">
        <f t="shared" si="51"/>
        <v>1000</v>
      </c>
      <c r="AH19" s="153">
        <f t="shared" si="52"/>
        <v>66.666666666666671</v>
      </c>
      <c r="AI19" s="153">
        <f t="shared" si="53"/>
        <v>66.666666666666671</v>
      </c>
      <c r="AJ19" s="72" t="str">
        <f t="shared" si="55"/>
        <v>DG</v>
      </c>
      <c r="AK19" s="150">
        <f t="shared" si="56"/>
        <v>0</v>
      </c>
      <c r="AL19" s="156"/>
      <c r="AM19" s="150">
        <f t="shared" si="57"/>
        <v>0</v>
      </c>
      <c r="AN19" s="155">
        <f t="shared" si="58"/>
        <v>25000</v>
      </c>
      <c r="AO19" s="156">
        <f t="shared" si="59"/>
        <v>1.6E-2</v>
      </c>
      <c r="AP19" s="150">
        <f t="shared" si="60"/>
        <v>1000</v>
      </c>
      <c r="AQ19" s="150">
        <f t="shared" si="15"/>
        <v>25000</v>
      </c>
      <c r="AR19" s="150">
        <f t="shared" si="54"/>
        <v>1000</v>
      </c>
      <c r="AS19" s="150">
        <f t="shared" si="61"/>
        <v>66.666666666666671</v>
      </c>
      <c r="AT19" s="150">
        <f t="shared" si="62"/>
        <v>66.666666666666671</v>
      </c>
      <c r="AU19" s="74"/>
      <c r="AV19" s="71"/>
      <c r="AW19" s="71"/>
      <c r="AX19" s="71"/>
      <c r="AY19" s="71"/>
      <c r="AZ19" s="71"/>
      <c r="BA19" s="71"/>
      <c r="BB19" s="97"/>
      <c r="BC19" s="180" t="str">
        <f t="shared" si="5"/>
        <v/>
      </c>
      <c r="BD19" s="180">
        <f t="shared" si="32"/>
        <v>16</v>
      </c>
      <c r="BE19" s="181" t="str">
        <f t="shared" si="6"/>
        <v/>
      </c>
      <c r="BF19" s="97"/>
      <c r="BG19" s="87"/>
    </row>
    <row r="20" spans="1:59" x14ac:dyDescent="0.25">
      <c r="A20" s="173" t="s">
        <v>21</v>
      </c>
      <c r="B20" s="31"/>
      <c r="C20" s="33">
        <v>2006</v>
      </c>
      <c r="D20" s="33">
        <v>137</v>
      </c>
      <c r="E20" s="33">
        <v>38</v>
      </c>
      <c r="F20" s="32">
        <v>110000</v>
      </c>
      <c r="G20" s="32"/>
      <c r="H20" s="37" t="s">
        <v>168</v>
      </c>
      <c r="I20" s="36">
        <f>44*31+18*8+14*19+14*10+42*8+30*6+56*22+10*27+10*34+8*30+35*11+16*7+23*4</f>
        <v>5101</v>
      </c>
      <c r="J20" s="148"/>
      <c r="K20" s="148"/>
      <c r="L20" s="148">
        <f>I20*1.25*2.7</f>
        <v>17215.875</v>
      </c>
      <c r="M20" s="152">
        <v>8.0000000000000002E-3</v>
      </c>
      <c r="N20" s="148">
        <f t="shared" ref="N20" si="66">L20+J20</f>
        <v>17215.875</v>
      </c>
      <c r="O20" s="149">
        <f t="shared" ref="O20" si="67">(J20*K20+L20*M20)*2.5</f>
        <v>344.3175</v>
      </c>
      <c r="P20" s="148">
        <f>I20*(1.25*3.6)</f>
        <v>22954.5</v>
      </c>
      <c r="Q20" s="152">
        <v>1.6E-2</v>
      </c>
      <c r="R20" s="149">
        <f t="shared" si="63"/>
        <v>918.18</v>
      </c>
      <c r="S20" s="35"/>
      <c r="T20" s="35"/>
      <c r="U20" s="35"/>
      <c r="V20" s="149">
        <f>W20+I20*(1.25+2.7)*2/1000</f>
        <v>89.777599999999993</v>
      </c>
      <c r="W20" s="149">
        <f>I20*(1.25+3.6)*2/1000</f>
        <v>49.479699999999994</v>
      </c>
      <c r="X20" s="148">
        <f t="shared" si="27"/>
        <v>63124.875</v>
      </c>
      <c r="Y20" s="149">
        <f t="shared" si="28"/>
        <v>1262.4974999999999</v>
      </c>
      <c r="Z20" s="152">
        <f t="shared" si="29"/>
        <v>2.4E-2</v>
      </c>
      <c r="AA20" s="80"/>
      <c r="AB20" s="73">
        <f>IF(AU20=0, IF(AND((C20+AA20)&gt;0,MAX(C20,AA20)&gt;(2022-Hypotheses!$D$3)), MAX(C20,AA20)+Hypotheses!$D$3, 2027), "")</f>
        <v>2046</v>
      </c>
      <c r="AC20" s="59"/>
      <c r="AD20" s="153">
        <f t="shared" si="49"/>
        <v>63124.875</v>
      </c>
      <c r="AE20" s="153">
        <f t="shared" si="49"/>
        <v>1262.4974999999999</v>
      </c>
      <c r="AF20" s="153">
        <f t="shared" si="50"/>
        <v>344.3175</v>
      </c>
      <c r="AG20" s="153">
        <f t="shared" si="51"/>
        <v>918.18</v>
      </c>
      <c r="AH20" s="153">
        <f t="shared" si="52"/>
        <v>89.777599999999993</v>
      </c>
      <c r="AI20" s="153">
        <f t="shared" si="53"/>
        <v>49.479699999999994</v>
      </c>
      <c r="AJ20" s="72" t="str">
        <f t="shared" si="55"/>
        <v>DSF</v>
      </c>
      <c r="AK20" s="150">
        <f t="shared" si="56"/>
        <v>17215.875</v>
      </c>
      <c r="AL20" s="156"/>
      <c r="AM20" s="150">
        <f t="shared" si="57"/>
        <v>344.3175</v>
      </c>
      <c r="AN20" s="155">
        <f t="shared" si="58"/>
        <v>22954.5</v>
      </c>
      <c r="AO20" s="156">
        <f t="shared" si="59"/>
        <v>1.6E-2</v>
      </c>
      <c r="AP20" s="150">
        <f t="shared" si="60"/>
        <v>918.18</v>
      </c>
      <c r="AQ20" s="150">
        <f t="shared" si="15"/>
        <v>40170.375</v>
      </c>
      <c r="AR20" s="150">
        <f t="shared" si="54"/>
        <v>1262.4974999999999</v>
      </c>
      <c r="AS20" s="150">
        <f t="shared" si="61"/>
        <v>89.777599999999993</v>
      </c>
      <c r="AT20" s="150">
        <f t="shared" si="62"/>
        <v>49.479699999999994</v>
      </c>
      <c r="AU20" s="74"/>
      <c r="AV20" s="71"/>
      <c r="AW20" s="71"/>
      <c r="AX20" s="71"/>
      <c r="AY20" s="71"/>
      <c r="AZ20" s="71"/>
      <c r="BA20" s="71"/>
      <c r="BB20" s="97"/>
      <c r="BC20" s="180" t="str">
        <f t="shared" si="5"/>
        <v/>
      </c>
      <c r="BD20" s="180">
        <f t="shared" si="32"/>
        <v>16</v>
      </c>
      <c r="BE20" s="181" t="str">
        <f t="shared" si="6"/>
        <v/>
      </c>
      <c r="BF20" s="97"/>
      <c r="BG20" s="87" t="s">
        <v>334</v>
      </c>
    </row>
    <row r="21" spans="1:59" x14ac:dyDescent="0.25">
      <c r="A21" s="173" t="s">
        <v>16</v>
      </c>
      <c r="B21" s="31"/>
      <c r="C21" s="33">
        <v>2007</v>
      </c>
      <c r="D21" s="33"/>
      <c r="E21" s="33">
        <v>26</v>
      </c>
      <c r="F21" s="32">
        <v>70000</v>
      </c>
      <c r="G21" s="32"/>
      <c r="H21" s="37" t="s">
        <v>146</v>
      </c>
      <c r="I21" s="36"/>
      <c r="J21" s="148"/>
      <c r="K21" s="148"/>
      <c r="L21" s="148"/>
      <c r="M21" s="152"/>
      <c r="N21" s="148"/>
      <c r="O21" s="149"/>
      <c r="P21" s="148">
        <v>16000</v>
      </c>
      <c r="Q21" s="152">
        <v>1.7999999999999999E-2</v>
      </c>
      <c r="R21" s="149">
        <f t="shared" si="63"/>
        <v>720</v>
      </c>
      <c r="S21" s="35"/>
      <c r="T21" s="35"/>
      <c r="U21" s="35"/>
      <c r="V21" s="149">
        <f>W21</f>
        <v>42.666666666666671</v>
      </c>
      <c r="W21" s="149">
        <f>P21/(1.5*1.5)*(1.5+1.5)*2/1000</f>
        <v>42.666666666666671</v>
      </c>
      <c r="X21" s="148">
        <f t="shared" si="27"/>
        <v>32000</v>
      </c>
      <c r="Y21" s="149">
        <f t="shared" si="28"/>
        <v>720</v>
      </c>
      <c r="Z21" s="152">
        <f t="shared" si="29"/>
        <v>1.7999999999999999E-2</v>
      </c>
      <c r="AA21" s="80"/>
      <c r="AB21" s="73">
        <f>IF(AU21=0, IF(AND((C21+AA21)&gt;0,MAX(C21,AA21)&gt;(2022-Hypotheses!$D$3)), MAX(C21,AA21)+Hypotheses!$D$3, 2027), "")</f>
        <v>2047</v>
      </c>
      <c r="AC21" s="59"/>
      <c r="AD21" s="153">
        <f t="shared" si="49"/>
        <v>32000</v>
      </c>
      <c r="AE21" s="153">
        <f t="shared" si="49"/>
        <v>720</v>
      </c>
      <c r="AF21" s="153">
        <f t="shared" si="50"/>
        <v>0</v>
      </c>
      <c r="AG21" s="153">
        <f t="shared" si="51"/>
        <v>720</v>
      </c>
      <c r="AH21" s="153">
        <f t="shared" si="52"/>
        <v>42.666666666666671</v>
      </c>
      <c r="AI21" s="153">
        <f t="shared" si="53"/>
        <v>42.666666666666671</v>
      </c>
      <c r="AJ21" s="72" t="str">
        <f t="shared" si="55"/>
        <v>DG</v>
      </c>
      <c r="AK21" s="150">
        <f t="shared" si="56"/>
        <v>0</v>
      </c>
      <c r="AL21" s="156"/>
      <c r="AM21" s="150">
        <f t="shared" si="57"/>
        <v>0</v>
      </c>
      <c r="AN21" s="155">
        <f t="shared" si="58"/>
        <v>16000</v>
      </c>
      <c r="AO21" s="156">
        <f t="shared" si="59"/>
        <v>1.7999999999999999E-2</v>
      </c>
      <c r="AP21" s="150">
        <f t="shared" si="60"/>
        <v>720</v>
      </c>
      <c r="AQ21" s="150">
        <f t="shared" si="15"/>
        <v>16000</v>
      </c>
      <c r="AR21" s="150">
        <f t="shared" si="54"/>
        <v>720</v>
      </c>
      <c r="AS21" s="150">
        <f t="shared" si="61"/>
        <v>42.666666666666671</v>
      </c>
      <c r="AT21" s="150">
        <f t="shared" si="62"/>
        <v>42.666666666666671</v>
      </c>
      <c r="AU21" s="74"/>
      <c r="AV21" s="71"/>
      <c r="AW21" s="71"/>
      <c r="AX21" s="71"/>
      <c r="AY21" s="71"/>
      <c r="AZ21" s="71"/>
      <c r="BA21" s="71"/>
      <c r="BB21" s="97"/>
      <c r="BC21" s="180" t="str">
        <f t="shared" si="5"/>
        <v/>
      </c>
      <c r="BD21" s="180">
        <f t="shared" si="32"/>
        <v>15</v>
      </c>
      <c r="BE21" s="181" t="str">
        <f t="shared" si="6"/>
        <v/>
      </c>
      <c r="BF21" s="97"/>
      <c r="BG21" s="87"/>
    </row>
    <row r="22" spans="1:59" x14ac:dyDescent="0.25">
      <c r="A22" s="173" t="s">
        <v>24</v>
      </c>
      <c r="B22" s="31"/>
      <c r="C22" s="33">
        <v>2009</v>
      </c>
      <c r="D22" s="33"/>
      <c r="E22" s="33">
        <v>22</v>
      </c>
      <c r="F22" s="32">
        <v>30000</v>
      </c>
      <c r="G22" s="32"/>
      <c r="H22" s="37" t="s">
        <v>168</v>
      </c>
      <c r="I22" s="36">
        <f>80*E22</f>
        <v>1760</v>
      </c>
      <c r="J22" s="148">
        <f>1*I22</f>
        <v>1760</v>
      </c>
      <c r="K22" s="152">
        <v>8.0000000000000002E-3</v>
      </c>
      <c r="L22" s="148">
        <f>1.6*I22</f>
        <v>2816</v>
      </c>
      <c r="M22" s="152">
        <v>8.0000000000000002E-3</v>
      </c>
      <c r="N22" s="148">
        <f t="shared" ref="N22" si="68">L22+J22</f>
        <v>4576</v>
      </c>
      <c r="O22" s="149">
        <f t="shared" ref="O22" si="69">(J22*K22+L22*M22)*2.5</f>
        <v>91.52</v>
      </c>
      <c r="P22" s="148">
        <f>1.75*1.25*I22</f>
        <v>3850</v>
      </c>
      <c r="Q22" s="152">
        <v>1.6E-2</v>
      </c>
      <c r="R22" s="149">
        <f t="shared" si="63"/>
        <v>154</v>
      </c>
      <c r="S22" s="35"/>
      <c r="T22" s="35"/>
      <c r="U22" s="35"/>
      <c r="V22" s="149">
        <f>W22*2</f>
        <v>20.533333333333331</v>
      </c>
      <c r="W22" s="149">
        <f>P22/(1.5*1.5)*(1.5+1.5)*2/1000</f>
        <v>10.266666666666666</v>
      </c>
      <c r="X22" s="148">
        <f t="shared" si="27"/>
        <v>12276</v>
      </c>
      <c r="Y22" s="149">
        <f t="shared" si="28"/>
        <v>245.51999999999998</v>
      </c>
      <c r="Z22" s="152">
        <f t="shared" si="29"/>
        <v>2.4E-2</v>
      </c>
      <c r="AA22" s="80"/>
      <c r="AB22" s="73">
        <f>IF(AU22=0, IF(AND((C22+AA22)&gt;0,MAX(C22,AA22)&gt;(2022-Hypotheses!$D$3)), MAX(C22,AA22)+Hypotheses!$D$3, 2027), "")</f>
        <v>2049</v>
      </c>
      <c r="AC22" s="59"/>
      <c r="AD22" s="153">
        <f t="shared" si="49"/>
        <v>12276</v>
      </c>
      <c r="AE22" s="153">
        <f t="shared" si="49"/>
        <v>245.51999999999998</v>
      </c>
      <c r="AF22" s="153">
        <f t="shared" si="50"/>
        <v>91.52</v>
      </c>
      <c r="AG22" s="153">
        <f t="shared" si="51"/>
        <v>154</v>
      </c>
      <c r="AH22" s="153">
        <f t="shared" si="52"/>
        <v>20.533333333333331</v>
      </c>
      <c r="AI22" s="153">
        <f t="shared" si="53"/>
        <v>10.266666666666666</v>
      </c>
      <c r="AJ22" s="72" t="str">
        <f t="shared" si="55"/>
        <v>DSF</v>
      </c>
      <c r="AK22" s="150">
        <f t="shared" si="56"/>
        <v>4576</v>
      </c>
      <c r="AL22" s="156"/>
      <c r="AM22" s="150">
        <f t="shared" si="57"/>
        <v>91.52</v>
      </c>
      <c r="AN22" s="155">
        <f t="shared" si="58"/>
        <v>3850</v>
      </c>
      <c r="AO22" s="156">
        <f t="shared" si="59"/>
        <v>1.6E-2</v>
      </c>
      <c r="AP22" s="150">
        <f t="shared" si="60"/>
        <v>154</v>
      </c>
      <c r="AQ22" s="150">
        <f t="shared" si="15"/>
        <v>8426</v>
      </c>
      <c r="AR22" s="150">
        <f t="shared" si="54"/>
        <v>245.51999999999998</v>
      </c>
      <c r="AS22" s="150">
        <f t="shared" si="61"/>
        <v>20.533333333333331</v>
      </c>
      <c r="AT22" s="150">
        <f t="shared" si="62"/>
        <v>10.266666666666666</v>
      </c>
      <c r="AU22" s="74"/>
      <c r="AV22" s="71"/>
      <c r="AW22" s="71"/>
      <c r="AX22" s="71"/>
      <c r="AY22" s="71"/>
      <c r="AZ22" s="71"/>
      <c r="BA22" s="71"/>
      <c r="BB22" s="97"/>
      <c r="BC22" s="180" t="str">
        <f t="shared" si="5"/>
        <v/>
      </c>
      <c r="BD22" s="180">
        <f t="shared" si="32"/>
        <v>13</v>
      </c>
      <c r="BE22" s="181" t="str">
        <f t="shared" si="6"/>
        <v/>
      </c>
      <c r="BF22" s="97"/>
    </row>
    <row r="23" spans="1:59" x14ac:dyDescent="0.25">
      <c r="A23" s="173" t="s">
        <v>330</v>
      </c>
      <c r="B23" s="31"/>
      <c r="C23" s="33">
        <v>2013</v>
      </c>
      <c r="D23" s="33">
        <v>55</v>
      </c>
      <c r="E23" s="33">
        <v>15</v>
      </c>
      <c r="F23" s="32">
        <v>90000</v>
      </c>
      <c r="G23" s="32"/>
      <c r="H23" s="37" t="s">
        <v>146</v>
      </c>
      <c r="I23" s="36">
        <f>145*E23*2</f>
        <v>4350</v>
      </c>
      <c r="J23" s="148"/>
      <c r="K23" s="148"/>
      <c r="L23" s="148"/>
      <c r="M23" s="152"/>
      <c r="N23" s="148"/>
      <c r="O23" s="149"/>
      <c r="P23" s="148">
        <f>1.2*3*I23</f>
        <v>15659.999999999998</v>
      </c>
      <c r="Q23" s="152">
        <v>1.6E-2</v>
      </c>
      <c r="R23" s="149">
        <f t="shared" si="63"/>
        <v>626.4</v>
      </c>
      <c r="S23" s="35"/>
      <c r="T23" s="35"/>
      <c r="U23" s="35"/>
      <c r="V23" s="149">
        <f>W23</f>
        <v>36.54</v>
      </c>
      <c r="W23" s="149">
        <f>2*(1.2+3)*I23/1000</f>
        <v>36.54</v>
      </c>
      <c r="X23" s="148">
        <f t="shared" si="27"/>
        <v>31319.999999999996</v>
      </c>
      <c r="Y23" s="149">
        <f t="shared" si="28"/>
        <v>626.4</v>
      </c>
      <c r="Z23" s="152">
        <f t="shared" si="29"/>
        <v>1.6E-2</v>
      </c>
      <c r="AA23" s="80"/>
      <c r="AB23" s="73">
        <f>IF(AU23=0, IF(AND((C23+AA23)&gt;0,MAX(C23,AA23)&gt;(2022-Hypotheses!$D$3)), MAX(C23,AA23)+Hypotheses!$D$3, 2027), "")</f>
        <v>2053</v>
      </c>
      <c r="AC23" s="59"/>
      <c r="AD23" s="153">
        <f t="shared" si="49"/>
        <v>31319.999999999996</v>
      </c>
      <c r="AE23" s="153">
        <f t="shared" si="49"/>
        <v>626.4</v>
      </c>
      <c r="AF23" s="153">
        <f t="shared" si="50"/>
        <v>0</v>
      </c>
      <c r="AG23" s="153">
        <f t="shared" si="51"/>
        <v>626.4</v>
      </c>
      <c r="AH23" s="153">
        <f t="shared" si="52"/>
        <v>36.54</v>
      </c>
      <c r="AI23" s="153">
        <f t="shared" si="53"/>
        <v>36.54</v>
      </c>
      <c r="AJ23" s="72" t="str">
        <f t="shared" si="55"/>
        <v>DG</v>
      </c>
      <c r="AK23" s="150">
        <f t="shared" si="56"/>
        <v>0</v>
      </c>
      <c r="AL23" s="156"/>
      <c r="AM23" s="150">
        <f t="shared" si="57"/>
        <v>0</v>
      </c>
      <c r="AN23" s="155">
        <f t="shared" si="58"/>
        <v>15659.999999999998</v>
      </c>
      <c r="AO23" s="156">
        <f t="shared" si="59"/>
        <v>1.6E-2</v>
      </c>
      <c r="AP23" s="150">
        <f t="shared" si="60"/>
        <v>626.4</v>
      </c>
      <c r="AQ23" s="150">
        <f t="shared" si="15"/>
        <v>15659.999999999998</v>
      </c>
      <c r="AR23" s="150">
        <f t="shared" si="54"/>
        <v>626.4</v>
      </c>
      <c r="AS23" s="150">
        <f t="shared" si="61"/>
        <v>36.54</v>
      </c>
      <c r="AT23" s="150">
        <f t="shared" si="62"/>
        <v>36.54</v>
      </c>
      <c r="AU23" s="74"/>
      <c r="AV23" s="71"/>
      <c r="AW23" s="71"/>
      <c r="AX23" s="71"/>
      <c r="AY23" s="71"/>
      <c r="AZ23" s="71"/>
      <c r="BA23" s="71"/>
      <c r="BB23" s="97"/>
      <c r="BC23" s="180" t="str">
        <f t="shared" si="5"/>
        <v/>
      </c>
      <c r="BD23" s="180">
        <f t="shared" si="32"/>
        <v>9</v>
      </c>
      <c r="BE23" s="181" t="str">
        <f t="shared" si="6"/>
        <v/>
      </c>
      <c r="BF23" s="97"/>
      <c r="BG23" s="174" t="s">
        <v>331</v>
      </c>
    </row>
    <row r="24" spans="1:59" x14ac:dyDescent="0.25">
      <c r="A24" s="173" t="s">
        <v>15</v>
      </c>
      <c r="B24" s="31"/>
      <c r="C24" s="33">
        <v>2020</v>
      </c>
      <c r="D24" s="33"/>
      <c r="E24" s="33">
        <v>33</v>
      </c>
      <c r="F24" s="32">
        <v>40000</v>
      </c>
      <c r="G24" s="32"/>
      <c r="H24" s="37" t="s">
        <v>146</v>
      </c>
      <c r="I24" s="36">
        <f>(55+60+10)*E24</f>
        <v>4125</v>
      </c>
      <c r="J24" s="148"/>
      <c r="K24" s="148"/>
      <c r="L24" s="148"/>
      <c r="M24" s="152"/>
      <c r="N24" s="148"/>
      <c r="O24" s="149"/>
      <c r="P24" s="148">
        <f>1.2*3*I24</f>
        <v>14849.999999999998</v>
      </c>
      <c r="Q24" s="152">
        <v>1.6E-2</v>
      </c>
      <c r="R24" s="149">
        <f t="shared" si="63"/>
        <v>593.99999999999989</v>
      </c>
      <c r="S24" s="35"/>
      <c r="T24" s="35"/>
      <c r="U24" s="35"/>
      <c r="V24" s="149">
        <f t="shared" ref="V24:V26" si="70">W24</f>
        <v>34.65</v>
      </c>
      <c r="W24" s="149">
        <f t="shared" ref="W24:W26" si="71">2*(1.2+3)*I24/1000</f>
        <v>34.65</v>
      </c>
      <c r="X24" s="148">
        <f t="shared" si="27"/>
        <v>29699.999999999996</v>
      </c>
      <c r="Y24" s="149">
        <f t="shared" si="28"/>
        <v>593.99999999999989</v>
      </c>
      <c r="Z24" s="152">
        <f t="shared" si="29"/>
        <v>1.6E-2</v>
      </c>
      <c r="AA24" s="80"/>
      <c r="AB24" s="73">
        <f>IF(AU24=0, IF(AND((C24+AA24)&gt;0,MAX(C24,AA24)&gt;(2022-Hypotheses!$D$3)), MAX(C24,AA24)+Hypotheses!$D$3, 2027), "")</f>
        <v>2060</v>
      </c>
      <c r="AC24" s="59"/>
      <c r="AD24" s="153">
        <f t="shared" si="49"/>
        <v>29699.999999999996</v>
      </c>
      <c r="AE24" s="153">
        <f t="shared" si="49"/>
        <v>593.99999999999989</v>
      </c>
      <c r="AF24" s="153">
        <f t="shared" si="50"/>
        <v>0</v>
      </c>
      <c r="AG24" s="153">
        <f t="shared" si="51"/>
        <v>593.99999999999989</v>
      </c>
      <c r="AH24" s="153">
        <f t="shared" si="52"/>
        <v>34.65</v>
      </c>
      <c r="AI24" s="153">
        <f t="shared" si="53"/>
        <v>34.65</v>
      </c>
      <c r="AJ24" s="72" t="str">
        <f t="shared" si="55"/>
        <v>DG</v>
      </c>
      <c r="AK24" s="150">
        <f t="shared" si="56"/>
        <v>0</v>
      </c>
      <c r="AL24" s="156"/>
      <c r="AM24" s="150">
        <f t="shared" si="57"/>
        <v>0</v>
      </c>
      <c r="AN24" s="155">
        <f t="shared" si="58"/>
        <v>14849.999999999998</v>
      </c>
      <c r="AO24" s="156">
        <f t="shared" si="59"/>
        <v>1.6E-2</v>
      </c>
      <c r="AP24" s="150">
        <f t="shared" si="60"/>
        <v>593.99999999999989</v>
      </c>
      <c r="AQ24" s="150">
        <f t="shared" si="15"/>
        <v>14849.999999999998</v>
      </c>
      <c r="AR24" s="150">
        <f t="shared" si="54"/>
        <v>593.99999999999989</v>
      </c>
      <c r="AS24" s="150">
        <f t="shared" si="61"/>
        <v>34.65</v>
      </c>
      <c r="AT24" s="150">
        <f t="shared" si="62"/>
        <v>34.65</v>
      </c>
      <c r="AU24" s="74"/>
      <c r="AV24" s="71"/>
      <c r="AW24" s="71"/>
      <c r="AX24" s="71"/>
      <c r="AY24" s="71"/>
      <c r="AZ24" s="71"/>
      <c r="BA24" s="71"/>
      <c r="BB24" s="97"/>
      <c r="BC24" s="180" t="str">
        <f t="shared" si="5"/>
        <v/>
      </c>
      <c r="BD24" s="180">
        <f t="shared" si="32"/>
        <v>2</v>
      </c>
      <c r="BE24" s="181" t="str">
        <f t="shared" si="6"/>
        <v/>
      </c>
      <c r="BF24" s="97"/>
    </row>
    <row r="25" spans="1:59" x14ac:dyDescent="0.25">
      <c r="A25" s="173" t="s">
        <v>19</v>
      </c>
      <c r="B25" s="31"/>
      <c r="C25" s="33">
        <v>2020</v>
      </c>
      <c r="D25" s="33"/>
      <c r="E25" s="33">
        <v>20</v>
      </c>
      <c r="F25" s="32">
        <v>30000</v>
      </c>
      <c r="G25" s="32"/>
      <c r="H25" s="37" t="s">
        <v>146</v>
      </c>
      <c r="I25" s="36">
        <f>70/1.25*2*1.2*E25</f>
        <v>2688</v>
      </c>
      <c r="J25" s="148"/>
      <c r="K25" s="148"/>
      <c r="L25" s="148"/>
      <c r="M25" s="152"/>
      <c r="N25" s="148"/>
      <c r="O25" s="149"/>
      <c r="P25" s="148">
        <f>1.25*3*I25</f>
        <v>10080</v>
      </c>
      <c r="Q25" s="152">
        <v>1.7999999999999999E-2</v>
      </c>
      <c r="R25" s="149">
        <f t="shared" si="63"/>
        <v>453.6</v>
      </c>
      <c r="S25" s="35"/>
      <c r="T25" s="35"/>
      <c r="U25" s="35"/>
      <c r="V25" s="149">
        <f t="shared" si="70"/>
        <v>22.5792</v>
      </c>
      <c r="W25" s="149">
        <f t="shared" si="71"/>
        <v>22.5792</v>
      </c>
      <c r="X25" s="148">
        <f t="shared" si="27"/>
        <v>20160</v>
      </c>
      <c r="Y25" s="149">
        <f t="shared" si="28"/>
        <v>453.6</v>
      </c>
      <c r="Z25" s="152">
        <f t="shared" si="29"/>
        <v>1.7999999999999999E-2</v>
      </c>
      <c r="AA25" s="80"/>
      <c r="AB25" s="73">
        <f>IF(AU25=0, IF(AND((C25+AA25)&gt;0,MAX(C25,AA25)&gt;(2022-Hypotheses!$D$3)), MAX(C25,AA25)+Hypotheses!$D$3, 2027), "")</f>
        <v>2060</v>
      </c>
      <c r="AC25" s="59"/>
      <c r="AD25" s="153">
        <f t="shared" si="49"/>
        <v>20160</v>
      </c>
      <c r="AE25" s="153">
        <f t="shared" si="49"/>
        <v>453.6</v>
      </c>
      <c r="AF25" s="153">
        <f t="shared" si="50"/>
        <v>0</v>
      </c>
      <c r="AG25" s="153">
        <f t="shared" si="51"/>
        <v>453.6</v>
      </c>
      <c r="AH25" s="153">
        <f t="shared" si="52"/>
        <v>22.5792</v>
      </c>
      <c r="AI25" s="153">
        <f t="shared" si="53"/>
        <v>22.5792</v>
      </c>
      <c r="AJ25" s="72" t="str">
        <f t="shared" si="55"/>
        <v>DG</v>
      </c>
      <c r="AK25" s="150">
        <f t="shared" si="56"/>
        <v>0</v>
      </c>
      <c r="AL25" s="156"/>
      <c r="AM25" s="150">
        <f t="shared" si="57"/>
        <v>0</v>
      </c>
      <c r="AN25" s="155">
        <f t="shared" si="58"/>
        <v>10080</v>
      </c>
      <c r="AO25" s="156">
        <f t="shared" si="59"/>
        <v>1.7999999999999999E-2</v>
      </c>
      <c r="AP25" s="150">
        <f t="shared" si="60"/>
        <v>453.6</v>
      </c>
      <c r="AQ25" s="150">
        <f t="shared" si="15"/>
        <v>10080</v>
      </c>
      <c r="AR25" s="150">
        <f t="shared" si="54"/>
        <v>453.6</v>
      </c>
      <c r="AS25" s="150">
        <f t="shared" si="61"/>
        <v>22.5792</v>
      </c>
      <c r="AT25" s="150">
        <f t="shared" si="62"/>
        <v>22.5792</v>
      </c>
      <c r="AU25" s="74"/>
      <c r="AV25" s="71"/>
      <c r="AW25" s="71"/>
      <c r="AX25" s="71"/>
      <c r="AY25" s="71"/>
      <c r="AZ25" s="71"/>
      <c r="BA25" s="71"/>
      <c r="BB25" s="97"/>
      <c r="BC25" s="180" t="str">
        <f t="shared" si="5"/>
        <v/>
      </c>
      <c r="BD25" s="180">
        <f t="shared" si="32"/>
        <v>2</v>
      </c>
      <c r="BE25" s="181" t="str">
        <f t="shared" si="6"/>
        <v/>
      </c>
      <c r="BF25" s="97"/>
    </row>
    <row r="26" spans="1:59" x14ac:dyDescent="0.25">
      <c r="A26" s="173" t="s">
        <v>20</v>
      </c>
      <c r="B26" s="31"/>
      <c r="C26" s="33">
        <v>2021</v>
      </c>
      <c r="D26" s="33"/>
      <c r="E26" s="33">
        <v>20</v>
      </c>
      <c r="F26" s="32">
        <f>F25</f>
        <v>30000</v>
      </c>
      <c r="G26" s="32"/>
      <c r="H26" s="37" t="s">
        <v>146</v>
      </c>
      <c r="I26" s="36">
        <f>70/1.25*2*1.2*E26</f>
        <v>2688</v>
      </c>
      <c r="J26" s="148"/>
      <c r="K26" s="148"/>
      <c r="L26" s="148"/>
      <c r="M26" s="152"/>
      <c r="N26" s="148"/>
      <c r="O26" s="149"/>
      <c r="P26" s="148">
        <f>1.25*3*I26</f>
        <v>10080</v>
      </c>
      <c r="Q26" s="152">
        <v>1.7999999999999999E-2</v>
      </c>
      <c r="R26" s="149">
        <f t="shared" si="63"/>
        <v>453.6</v>
      </c>
      <c r="S26" s="35"/>
      <c r="T26" s="35"/>
      <c r="U26" s="35"/>
      <c r="V26" s="149">
        <f t="shared" si="70"/>
        <v>22.5792</v>
      </c>
      <c r="W26" s="149">
        <f t="shared" si="71"/>
        <v>22.5792</v>
      </c>
      <c r="X26" s="148">
        <f t="shared" si="27"/>
        <v>20160</v>
      </c>
      <c r="Y26" s="149">
        <f t="shared" si="28"/>
        <v>453.6</v>
      </c>
      <c r="Z26" s="152">
        <f t="shared" si="29"/>
        <v>1.7999999999999999E-2</v>
      </c>
      <c r="AA26" s="80"/>
      <c r="AB26" s="73">
        <f>IF(AU26=0, IF(AND((C26+AA26)&gt;0,MAX(C26,AA26)&gt;(2022-Hypotheses!$D$3)), MAX(C26,AA26)+Hypotheses!$D$3, 2027), "")</f>
        <v>2061</v>
      </c>
      <c r="AC26" s="59"/>
      <c r="AD26" s="153">
        <f t="shared" si="49"/>
        <v>20160</v>
      </c>
      <c r="AE26" s="153">
        <f t="shared" si="49"/>
        <v>453.6</v>
      </c>
      <c r="AF26" s="153">
        <f t="shared" si="50"/>
        <v>0</v>
      </c>
      <c r="AG26" s="153">
        <f t="shared" si="51"/>
        <v>453.6</v>
      </c>
      <c r="AH26" s="153">
        <f t="shared" si="52"/>
        <v>22.5792</v>
      </c>
      <c r="AI26" s="153">
        <f t="shared" si="53"/>
        <v>22.5792</v>
      </c>
      <c r="AJ26" s="72" t="str">
        <f t="shared" si="55"/>
        <v>DG</v>
      </c>
      <c r="AK26" s="150">
        <f t="shared" si="56"/>
        <v>0</v>
      </c>
      <c r="AL26" s="156"/>
      <c r="AM26" s="150">
        <f t="shared" si="57"/>
        <v>0</v>
      </c>
      <c r="AN26" s="155">
        <f t="shared" si="58"/>
        <v>10080</v>
      </c>
      <c r="AO26" s="156">
        <f t="shared" si="59"/>
        <v>1.7999999999999999E-2</v>
      </c>
      <c r="AP26" s="150">
        <f t="shared" si="60"/>
        <v>453.6</v>
      </c>
      <c r="AQ26" s="150">
        <f t="shared" si="15"/>
        <v>10080</v>
      </c>
      <c r="AR26" s="150">
        <f t="shared" si="54"/>
        <v>453.6</v>
      </c>
      <c r="AS26" s="150">
        <f t="shared" si="61"/>
        <v>22.5792</v>
      </c>
      <c r="AT26" s="150">
        <f t="shared" si="62"/>
        <v>22.5792</v>
      </c>
      <c r="AU26" s="74"/>
      <c r="AV26" s="71"/>
      <c r="AW26" s="71"/>
      <c r="AX26" s="71"/>
      <c r="AY26" s="71"/>
      <c r="AZ26" s="71"/>
      <c r="BA26" s="71"/>
      <c r="BB26" s="97"/>
      <c r="BC26" s="180" t="str">
        <f t="shared" si="5"/>
        <v/>
      </c>
      <c r="BD26" s="180">
        <f t="shared" si="32"/>
        <v>1</v>
      </c>
      <c r="BE26" s="181" t="str">
        <f t="shared" si="6"/>
        <v/>
      </c>
      <c r="BF26" s="97"/>
    </row>
    <row r="27" spans="1:59" x14ac:dyDescent="0.25">
      <c r="A27" s="173" t="s">
        <v>322</v>
      </c>
      <c r="B27" s="31"/>
      <c r="C27" s="33">
        <v>2023</v>
      </c>
      <c r="D27" s="33">
        <v>102</v>
      </c>
      <c r="E27" s="33">
        <v>28</v>
      </c>
      <c r="F27" s="32">
        <v>110000</v>
      </c>
      <c r="G27" s="32"/>
      <c r="H27" s="37" t="s">
        <v>168</v>
      </c>
      <c r="I27" s="36"/>
      <c r="J27" s="148"/>
      <c r="K27" s="148"/>
      <c r="L27" s="148">
        <v>12000</v>
      </c>
      <c r="M27" s="152">
        <v>8.0000000000000002E-3</v>
      </c>
      <c r="N27" s="148">
        <f t="shared" ref="N27" si="72">L27+J27</f>
        <v>12000</v>
      </c>
      <c r="O27" s="149">
        <f t="shared" ref="O27" si="73">(J27*K27+L27*M27)*2.5</f>
        <v>240</v>
      </c>
      <c r="P27" s="148">
        <v>25000</v>
      </c>
      <c r="Q27" s="152">
        <v>1.6E-2</v>
      </c>
      <c r="R27" s="149">
        <f t="shared" ref="R27" si="74">P27*Q27*2.5</f>
        <v>1000</v>
      </c>
      <c r="S27" s="35"/>
      <c r="T27" s="35"/>
      <c r="U27" s="35"/>
      <c r="V27" s="149">
        <f>W27*2</f>
        <v>133.33333333333334</v>
      </c>
      <c r="W27" s="149">
        <f>P27/(1.5*1.5)*(1.5+1.5)*2/1000</f>
        <v>66.666666666666671</v>
      </c>
      <c r="X27" s="148">
        <f t="shared" si="27"/>
        <v>62000</v>
      </c>
      <c r="Y27" s="149">
        <f t="shared" si="28"/>
        <v>1240</v>
      </c>
      <c r="Z27" s="152">
        <f t="shared" si="29"/>
        <v>2.4E-2</v>
      </c>
      <c r="AA27" s="80"/>
      <c r="AB27" s="73">
        <f>IF(AU27=0, IF(AND((C27+AA27)&gt;0,MAX(C27,AA27)&gt;(2022-Hypotheses!$D$3)), MAX(C27,AA27)+Hypotheses!$D$3, 2027), "")</f>
        <v>2063</v>
      </c>
      <c r="AC27" s="59"/>
      <c r="AD27" s="153">
        <f t="shared" si="49"/>
        <v>62000</v>
      </c>
      <c r="AE27" s="153">
        <f t="shared" si="49"/>
        <v>1240</v>
      </c>
      <c r="AF27" s="153">
        <f t="shared" si="50"/>
        <v>240</v>
      </c>
      <c r="AG27" s="153">
        <f t="shared" si="51"/>
        <v>1000</v>
      </c>
      <c r="AH27" s="153">
        <f t="shared" si="52"/>
        <v>133.33333333333334</v>
      </c>
      <c r="AI27" s="153">
        <f t="shared" si="53"/>
        <v>66.666666666666671</v>
      </c>
      <c r="AJ27" s="72" t="str">
        <f t="shared" si="55"/>
        <v>DSF</v>
      </c>
      <c r="AK27" s="150">
        <f t="shared" si="56"/>
        <v>12000</v>
      </c>
      <c r="AL27" s="156"/>
      <c r="AM27" s="150">
        <f t="shared" si="57"/>
        <v>240</v>
      </c>
      <c r="AN27" s="155">
        <f t="shared" si="58"/>
        <v>25000</v>
      </c>
      <c r="AO27" s="156">
        <f t="shared" si="59"/>
        <v>1.6E-2</v>
      </c>
      <c r="AP27" s="150">
        <f t="shared" si="60"/>
        <v>1000</v>
      </c>
      <c r="AQ27" s="150">
        <f t="shared" si="15"/>
        <v>37000</v>
      </c>
      <c r="AR27" s="150"/>
      <c r="AS27" s="150">
        <f t="shared" si="61"/>
        <v>133.33333333333334</v>
      </c>
      <c r="AT27" s="150">
        <f t="shared" si="62"/>
        <v>66.666666666666671</v>
      </c>
      <c r="AU27" s="74"/>
      <c r="AV27" s="71"/>
      <c r="AW27" s="71"/>
      <c r="AX27" s="71"/>
      <c r="AY27" s="71"/>
      <c r="AZ27" s="71"/>
      <c r="BA27" s="71"/>
      <c r="BB27" s="97"/>
      <c r="BC27" s="180" t="str">
        <f t="shared" si="5"/>
        <v/>
      </c>
      <c r="BD27" s="180" t="str">
        <f t="shared" si="32"/>
        <v/>
      </c>
      <c r="BE27" s="181" t="str">
        <f t="shared" si="6"/>
        <v/>
      </c>
      <c r="BF27" s="97"/>
      <c r="BG27" s="174" t="s">
        <v>328</v>
      </c>
    </row>
    <row r="29" spans="1:59" x14ac:dyDescent="0.25">
      <c r="BC29" s="182">
        <f>AVERAGE(BC4:BC27)</f>
        <v>45.333333333333336</v>
      </c>
      <c r="BD29" s="182">
        <f>AVERAGE(BD4:BD27)</f>
        <v>16.222222222222221</v>
      </c>
      <c r="BE29" s="182">
        <f>AVERAGE(BE4:BE27)</f>
        <v>43.25</v>
      </c>
    </row>
    <row r="30" spans="1:59" x14ac:dyDescent="0.25">
      <c r="BC30" s="50">
        <f>MIN(BC4:BC27)</f>
        <v>39</v>
      </c>
      <c r="BD30" s="50">
        <f t="shared" ref="BD30:BE30" si="75">MIN(BD4:BD27)</f>
        <v>0</v>
      </c>
      <c r="BE30" s="50">
        <f t="shared" si="75"/>
        <v>40</v>
      </c>
    </row>
    <row r="31" spans="1:59" x14ac:dyDescent="0.25">
      <c r="BC31" s="50">
        <f>MAX(BC4:BC27)</f>
        <v>53</v>
      </c>
      <c r="BD31" s="50">
        <f t="shared" ref="BD31:BE31" si="76">MAX(BD4:BD27)</f>
        <v>39</v>
      </c>
      <c r="BE31" s="50">
        <f t="shared" si="76"/>
        <v>48</v>
      </c>
    </row>
  </sheetData>
  <mergeCells count="2">
    <mergeCell ref="A1:A3"/>
    <mergeCell ref="B1:G1"/>
  </mergeCells>
  <hyperlinks>
    <hyperlink ref="BG5" r:id="rId1" xr:uid="{6FB5C86C-D3B4-4CCC-82FE-AFD7217DDC8E}"/>
    <hyperlink ref="BG7" r:id="rId2" xr:uid="{468007AB-04EB-42DD-A577-AFAC21E94B0B}"/>
    <hyperlink ref="BG8" r:id="rId3" xr:uid="{2B5B3208-B418-423D-9B57-08A13F33597D}"/>
    <hyperlink ref="BG11" r:id="rId4" xr:uid="{7B94E77D-DFFB-46A7-BC54-F7F248C5B77A}"/>
    <hyperlink ref="BG10" r:id="rId5" xr:uid="{ADB84831-A401-4DAE-968E-BAB3A359EDB3}"/>
    <hyperlink ref="BG27" r:id="rId6" xr:uid="{1E27DEFB-5610-41A5-8266-E56C78C6716B}"/>
    <hyperlink ref="BG4" r:id="rId7" xr:uid="{10BDF8A9-ECE7-4454-8C3D-B361D97144FD}"/>
    <hyperlink ref="BG23" r:id="rId8" xr:uid="{32B785CA-0BB4-4132-9D93-4DF6359147AF}"/>
    <hyperlink ref="BG16" r:id="rId9" xr:uid="{317E1C5B-899D-4704-9011-A8475F20C4C1}"/>
    <hyperlink ref="BG20" r:id="rId10" xr:uid="{236A88A8-EC8B-4CA9-9C80-990DBCC91D0A}"/>
    <hyperlink ref="BG6" r:id="rId11" xr:uid="{DC7EA706-AABC-4580-866A-128812DAF82C}"/>
    <hyperlink ref="BG9" r:id="rId12" xr:uid="{5027AE82-8501-4249-A52F-110BE61D2017}"/>
  </hyperlinks>
  <pageMargins left="0.7" right="0.7" top="0.75" bottom="0.75" header="0.3" footer="0.3"/>
  <pageSetup paperSize="9" orientation="portrait" r:id="rId13"/>
  <legacyDrawing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4377A-4ADD-466B-8FC0-0A2F5B548724}">
  <dimension ref="A1:AS128"/>
  <sheetViews>
    <sheetView zoomScale="85" zoomScaleNormal="85"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9.140625" style="94"/>
    <col min="2" max="7" width="12.7109375" style="94" customWidth="1"/>
    <col min="8" max="8" width="2.85546875" style="111" customWidth="1"/>
    <col min="9" max="13" width="12.7109375" style="94" customWidth="1"/>
    <col min="14" max="14" width="2.85546875" style="111" customWidth="1"/>
    <col min="15" max="17" width="15" style="94" customWidth="1"/>
    <col min="18" max="18" width="2.85546875" style="111" customWidth="1"/>
    <col min="19" max="21" width="15" style="94" customWidth="1"/>
    <col min="22" max="22" width="2.85546875" style="111" customWidth="1"/>
    <col min="23" max="25" width="15" style="94" customWidth="1"/>
    <col min="26" max="26" width="2.85546875" style="111" customWidth="1"/>
    <col min="27" max="29" width="15" style="94" customWidth="1"/>
    <col min="30" max="30" width="2.85546875" style="111" customWidth="1"/>
    <col min="31" max="33" width="15" style="94" customWidth="1"/>
    <col min="34" max="34" width="2.85546875" style="111" customWidth="1"/>
    <col min="35" max="37" width="15" style="94" customWidth="1"/>
    <col min="38" max="38" width="2.85546875" style="111" customWidth="1"/>
    <col min="39" max="41" width="15" style="94" customWidth="1"/>
    <col min="42" max="42" width="2.85546875" style="111" customWidth="1"/>
    <col min="43" max="45" width="15" style="94" customWidth="1"/>
    <col min="46" max="16384" width="9.140625" style="94"/>
  </cols>
  <sheetData>
    <row r="1" spans="1:45" x14ac:dyDescent="0.25">
      <c r="B1" s="274" t="s">
        <v>253</v>
      </c>
      <c r="C1" s="274"/>
      <c r="D1" s="274"/>
      <c r="E1" s="274"/>
      <c r="F1" s="274"/>
      <c r="G1" s="274"/>
      <c r="H1" s="109"/>
      <c r="I1" s="274" t="s">
        <v>253</v>
      </c>
      <c r="J1" s="274"/>
      <c r="K1" s="274"/>
      <c r="L1" s="274"/>
      <c r="M1" s="274"/>
      <c r="N1" s="109"/>
      <c r="O1" s="274" t="s">
        <v>291</v>
      </c>
      <c r="P1" s="274"/>
      <c r="Q1" s="274"/>
      <c r="R1" s="109"/>
      <c r="S1" s="274" t="s">
        <v>291</v>
      </c>
      <c r="T1" s="274"/>
      <c r="U1" s="274"/>
      <c r="V1" s="109"/>
      <c r="W1" s="275" t="s">
        <v>292</v>
      </c>
      <c r="X1" s="275"/>
      <c r="Y1" s="275"/>
      <c r="Z1" s="275"/>
      <c r="AA1" s="275"/>
      <c r="AB1" s="275"/>
      <c r="AC1" s="275"/>
      <c r="AD1" s="275"/>
      <c r="AE1" s="275"/>
      <c r="AF1" s="275"/>
      <c r="AG1" s="275"/>
      <c r="AH1" s="275"/>
      <c r="AI1" s="275"/>
      <c r="AJ1" s="275"/>
      <c r="AK1" s="275"/>
      <c r="AL1" s="275"/>
      <c r="AM1" s="275"/>
      <c r="AN1" s="275"/>
      <c r="AO1" s="275"/>
      <c r="AP1" s="275"/>
      <c r="AQ1" s="275"/>
      <c r="AR1" s="275"/>
      <c r="AS1" s="275"/>
    </row>
    <row r="2" spans="1:45" x14ac:dyDescent="0.25">
      <c r="B2" s="274" t="s">
        <v>289</v>
      </c>
      <c r="C2" s="274"/>
      <c r="D2" s="274"/>
      <c r="E2" s="274"/>
      <c r="F2" s="274"/>
      <c r="G2" s="274"/>
      <c r="H2" s="109"/>
      <c r="I2" s="274" t="s">
        <v>290</v>
      </c>
      <c r="J2" s="274"/>
      <c r="K2" s="274"/>
      <c r="L2" s="274"/>
      <c r="M2" s="274"/>
      <c r="N2" s="109"/>
      <c r="O2" s="274" t="s">
        <v>289</v>
      </c>
      <c r="P2" s="274"/>
      <c r="Q2" s="274"/>
      <c r="R2" s="109"/>
      <c r="S2" s="274" t="s">
        <v>290</v>
      </c>
      <c r="T2" s="274"/>
      <c r="U2" s="274"/>
      <c r="V2" s="109"/>
      <c r="W2" s="273" t="s">
        <v>398</v>
      </c>
      <c r="X2" s="273"/>
      <c r="Y2" s="273"/>
      <c r="Z2" s="109"/>
      <c r="AA2" s="273" t="s">
        <v>398</v>
      </c>
      <c r="AB2" s="273"/>
      <c r="AC2" s="273"/>
      <c r="AD2" s="109"/>
      <c r="AE2" s="273" t="s">
        <v>293</v>
      </c>
      <c r="AF2" s="273"/>
      <c r="AG2" s="273"/>
      <c r="AH2" s="109"/>
      <c r="AI2" s="273" t="s">
        <v>397</v>
      </c>
      <c r="AJ2" s="273"/>
      <c r="AK2" s="273"/>
      <c r="AL2" s="110"/>
      <c r="AM2" s="273" t="s">
        <v>397</v>
      </c>
      <c r="AN2" s="273"/>
      <c r="AO2" s="273"/>
      <c r="AP2" s="109"/>
      <c r="AQ2" s="273" t="s">
        <v>294</v>
      </c>
      <c r="AR2" s="273"/>
      <c r="AS2" s="273"/>
    </row>
    <row r="3" spans="1:45" s="106" customFormat="1" ht="30" x14ac:dyDescent="0.25">
      <c r="B3" s="137" t="s">
        <v>367</v>
      </c>
      <c r="C3" s="137" t="s">
        <v>122</v>
      </c>
      <c r="D3" s="133" t="s">
        <v>254</v>
      </c>
      <c r="E3" s="133" t="s">
        <v>255</v>
      </c>
      <c r="F3" s="134" t="s">
        <v>371</v>
      </c>
      <c r="G3" s="134" t="s">
        <v>233</v>
      </c>
      <c r="H3" s="108"/>
      <c r="I3" s="137" t="s">
        <v>122</v>
      </c>
      <c r="J3" s="133" t="s">
        <v>254</v>
      </c>
      <c r="K3" s="133" t="s">
        <v>255</v>
      </c>
      <c r="L3" s="134" t="s">
        <v>371</v>
      </c>
      <c r="M3" s="134" t="s">
        <v>233</v>
      </c>
      <c r="N3" s="108"/>
      <c r="O3" s="129" t="s">
        <v>266</v>
      </c>
      <c r="P3" s="129" t="s">
        <v>262</v>
      </c>
      <c r="Q3" s="129" t="s">
        <v>265</v>
      </c>
      <c r="R3" s="108"/>
      <c r="S3" s="129" t="s">
        <v>266</v>
      </c>
      <c r="T3" s="129" t="s">
        <v>262</v>
      </c>
      <c r="U3" s="129" t="s">
        <v>265</v>
      </c>
      <c r="V3" s="108"/>
      <c r="W3" s="132" t="s">
        <v>282</v>
      </c>
      <c r="X3" s="132" t="s">
        <v>286</v>
      </c>
      <c r="Y3" s="132" t="s">
        <v>287</v>
      </c>
      <c r="Z3" s="108"/>
      <c r="AA3" s="124" t="s">
        <v>274</v>
      </c>
      <c r="AB3" s="124" t="s">
        <v>276</v>
      </c>
      <c r="AC3" s="124" t="s">
        <v>275</v>
      </c>
      <c r="AD3" s="108"/>
      <c r="AE3" s="124" t="s">
        <v>274</v>
      </c>
      <c r="AF3" s="124" t="s">
        <v>276</v>
      </c>
      <c r="AG3" s="124" t="s">
        <v>275</v>
      </c>
      <c r="AH3" s="108"/>
      <c r="AI3" s="132" t="s">
        <v>282</v>
      </c>
      <c r="AJ3" s="132" t="s">
        <v>286</v>
      </c>
      <c r="AK3" s="132" t="s">
        <v>287</v>
      </c>
      <c r="AL3" s="108"/>
      <c r="AM3" s="124" t="s">
        <v>274</v>
      </c>
      <c r="AN3" s="124" t="s">
        <v>276</v>
      </c>
      <c r="AO3" s="124" t="s">
        <v>275</v>
      </c>
      <c r="AP3" s="108"/>
      <c r="AQ3" s="124" t="s">
        <v>274</v>
      </c>
      <c r="AR3" s="124" t="s">
        <v>276</v>
      </c>
      <c r="AS3" s="124" t="s">
        <v>275</v>
      </c>
    </row>
    <row r="4" spans="1:45" s="20" customFormat="1" x14ac:dyDescent="0.25">
      <c r="A4" s="105"/>
      <c r="B4" s="138" t="s">
        <v>7</v>
      </c>
      <c r="C4" s="138" t="s">
        <v>8</v>
      </c>
      <c r="D4" s="135" t="s">
        <v>8</v>
      </c>
      <c r="E4" s="135" t="s">
        <v>8</v>
      </c>
      <c r="F4" s="135" t="s">
        <v>1</v>
      </c>
      <c r="G4" s="135" t="s">
        <v>1</v>
      </c>
      <c r="H4" s="110"/>
      <c r="I4" s="138" t="s">
        <v>8</v>
      </c>
      <c r="J4" s="135" t="s">
        <v>8</v>
      </c>
      <c r="K4" s="135" t="s">
        <v>8</v>
      </c>
      <c r="L4" s="135" t="s">
        <v>1</v>
      </c>
      <c r="M4" s="135" t="s">
        <v>1</v>
      </c>
      <c r="N4" s="110"/>
      <c r="O4" s="130" t="s">
        <v>8</v>
      </c>
      <c r="P4" s="130" t="s">
        <v>8</v>
      </c>
      <c r="Q4" s="130" t="s">
        <v>267</v>
      </c>
      <c r="R4" s="110"/>
      <c r="S4" s="130" t="s">
        <v>8</v>
      </c>
      <c r="T4" s="130" t="s">
        <v>8</v>
      </c>
      <c r="U4" s="130" t="s">
        <v>267</v>
      </c>
      <c r="V4" s="110"/>
      <c r="W4" s="127" t="s">
        <v>8</v>
      </c>
      <c r="X4" s="127" t="s">
        <v>8</v>
      </c>
      <c r="Y4" s="127" t="s">
        <v>8</v>
      </c>
      <c r="Z4" s="110"/>
      <c r="AA4" s="125" t="s">
        <v>8</v>
      </c>
      <c r="AB4" s="125" t="s">
        <v>8</v>
      </c>
      <c r="AC4" s="125" t="s">
        <v>8</v>
      </c>
      <c r="AD4" s="110"/>
      <c r="AE4" s="125" t="s">
        <v>8</v>
      </c>
      <c r="AF4" s="125" t="s">
        <v>8</v>
      </c>
      <c r="AG4" s="125" t="s">
        <v>8</v>
      </c>
      <c r="AH4" s="110"/>
      <c r="AI4" s="127" t="s">
        <v>8</v>
      </c>
      <c r="AJ4" s="127" t="s">
        <v>8</v>
      </c>
      <c r="AK4" s="127" t="s">
        <v>8</v>
      </c>
      <c r="AL4" s="110"/>
      <c r="AM4" s="125" t="s">
        <v>8</v>
      </c>
      <c r="AN4" s="125" t="s">
        <v>8</v>
      </c>
      <c r="AO4" s="125" t="s">
        <v>8</v>
      </c>
      <c r="AP4" s="110"/>
      <c r="AQ4" s="125" t="s">
        <v>8</v>
      </c>
      <c r="AR4" s="125" t="s">
        <v>8</v>
      </c>
      <c r="AS4" s="125" t="s">
        <v>8</v>
      </c>
    </row>
    <row r="5" spans="1:45" x14ac:dyDescent="0.25">
      <c r="A5" s="94">
        <v>1950</v>
      </c>
      <c r="B5" s="139" cm="1">
        <f t="array" ref="B5">SUMPRODUCT((BXL!$C$4:'BXL'!$C$103=A5)*BXL!$X$4:$X$103)+SUMPRODUCT((BXL!$AA$4:'BXL'!$AA$103=A5)*BXL!$AQ$4:$AQ$103)+SUMPRODUCT((BXL!$AB$4:'BXL'!$AB$103=A5)*BXL!$AQ$4:$AQ$103)</f>
        <v>0</v>
      </c>
      <c r="C5" s="139" cm="1">
        <f t="array" ref="C5">SUMPRODUCT((BXL!$C$4:'BXL'!$C$103=A5)*BXL!$Y$4:$Y$103)+SUMPRODUCT((BXL!$AA$4:'BXL'!$AA$103=A5)*BXL!$AR$4:$AR$103)+SUMPRODUCT((BXL!$AB$4:'BXL'!$AB$103=A5)*BXL!$AR$4:$AR$103)</f>
        <v>0</v>
      </c>
      <c r="D5" s="136" cm="1">
        <f t="array" ref="D5">SUMPRODUCT((BXL!$C$4:'BXL'!$C$103=A5)*BXL!$O$4:$O$103)+SUMPRODUCT((BXL!$AA$4:'BXL'!$AA$103=A5)*BXL!$AM$4:$AM$103)+SUMPRODUCT((BXL!$AB$4:'BXL'!$AB$103=A5)*BXL!$AM$4:$AM$103)</f>
        <v>0</v>
      </c>
      <c r="E5" s="136" cm="1">
        <f t="array" ref="E5">SUMPRODUCT((BXL!$C$4:'BXL'!$C$103=A5)*BXL!$R$4:$R$103)+SUMPRODUCT((BXL!$AA$4:'BXL'!$AA$103=A5)*BXL!$AP$4:$AP$103)+SUMPRODUCT((BXL!$AB$4:'BXL'!$AB$103=A5)*BXL!$AP$4:$AP$103)</f>
        <v>0</v>
      </c>
      <c r="F5" s="136" cm="1">
        <f t="array" ref="F5">SUMPRODUCT((BXL!$C$4:'BXL'!$C$103=A5)*BXL!$V$4:$V$103)+SUMPRODUCT((BXL!$AA$4:'BXL'!$AA$103=A5)*BXL!$AS$4:$AS$103)+SUMPRODUCT((BXL!$AB$4:'BXL'!$AB$103=A5)*BXL!$AS$4:$AS$103)</f>
        <v>0</v>
      </c>
      <c r="G5" s="136" cm="1">
        <f t="array" ref="G5">SUMPRODUCT((BXL!$C$4:'BXL'!$C$103=A5)*BXL!$W$4:$W$103)+SUMPRODUCT((BXL!$AA$4:'BXL'!$AA$103=A5)*BXL!$AT$4:$AT$103)+SUMPRODUCT((BXL!$AB$4:'BXL'!$AB$103=A5)*BXL!$AT$4:$AT$103)</f>
        <v>0</v>
      </c>
      <c r="H5" s="115"/>
      <c r="I5" s="139">
        <f>C5</f>
        <v>0</v>
      </c>
      <c r="J5" s="136">
        <f t="shared" ref="J5:M5" si="0">D5</f>
        <v>0</v>
      </c>
      <c r="K5" s="136">
        <f t="shared" si="0"/>
        <v>0</v>
      </c>
      <c r="L5" s="136">
        <f t="shared" si="0"/>
        <v>0</v>
      </c>
      <c r="M5" s="136">
        <f t="shared" si="0"/>
        <v>0</v>
      </c>
      <c r="N5" s="115"/>
      <c r="O5" s="131">
        <f>C5*ResourcesEmissions!B9</f>
        <v>0</v>
      </c>
      <c r="P5" s="131">
        <f>C5*ResourcesEmissions!C9</f>
        <v>0</v>
      </c>
      <c r="Q5" s="131">
        <f>C5*ResourcesEmissions!E9</f>
        <v>0</v>
      </c>
      <c r="R5" s="115"/>
      <c r="S5" s="131">
        <f>O5</f>
        <v>0</v>
      </c>
      <c r="T5" s="131">
        <f t="shared" ref="T5:U5" si="1">P5</f>
        <v>0</v>
      </c>
      <c r="U5" s="131">
        <f t="shared" si="1"/>
        <v>0</v>
      </c>
      <c r="V5" s="115"/>
      <c r="W5" s="128"/>
      <c r="X5" s="128"/>
      <c r="Y5" s="128"/>
      <c r="Z5" s="115"/>
      <c r="AA5" s="126"/>
      <c r="AB5" s="126"/>
      <c r="AC5" s="126"/>
      <c r="AD5" s="115"/>
      <c r="AE5" s="126"/>
      <c r="AF5" s="126"/>
      <c r="AG5" s="126"/>
      <c r="AH5" s="115"/>
      <c r="AI5" s="128"/>
      <c r="AJ5" s="128"/>
      <c r="AK5" s="128"/>
      <c r="AL5" s="115"/>
      <c r="AM5" s="126"/>
      <c r="AN5" s="126"/>
      <c r="AO5" s="126"/>
      <c r="AP5" s="115"/>
      <c r="AQ5" s="126"/>
      <c r="AR5" s="126"/>
      <c r="AS5" s="126"/>
    </row>
    <row r="6" spans="1:45" x14ac:dyDescent="0.25">
      <c r="A6" s="94">
        <v>1951</v>
      </c>
      <c r="B6" s="139" cm="1">
        <f t="array" ref="B6">SUMPRODUCT((BXL!$C$4:'BXL'!$C$103=A6)*BXL!$X$4:$X$103)+SUMPRODUCT((BXL!$AA$4:'BXL'!$AA$103=A6)*BXL!$AQ$4:$AQ$103)+SUMPRODUCT((BXL!$AB$4:'BXL'!$AB$103=A6)*BXL!$AQ$4:$AQ$103)</f>
        <v>0</v>
      </c>
      <c r="C6" s="139" cm="1">
        <f t="array" ref="C6">SUMPRODUCT((BXL!$C$4:'BXL'!$C$103=A6)*BXL!$Y$4:$Y$103)+SUMPRODUCT((BXL!$AA$4:'BXL'!$AA$103=A6)*BXL!$AR$4:$AR$103)+SUMPRODUCT((BXL!$AB$4:'BXL'!$AB$103=A6)*BXL!$AR$4:$AR$103)</f>
        <v>0</v>
      </c>
      <c r="D6" s="136" cm="1">
        <f t="array" ref="D6">SUMPRODUCT((BXL!$C$4:'BXL'!$C$103=A6)*BXL!$O$4:$O$103)+SUMPRODUCT((BXL!$AA$4:'BXL'!$AA$103=A6)*BXL!$AM$4:$AM$103)+SUMPRODUCT((BXL!$AB$4:'BXL'!$AB$103=A6)*BXL!$AM$4:$AM$103)</f>
        <v>0</v>
      </c>
      <c r="E6" s="136" cm="1">
        <f t="array" ref="E6">SUMPRODUCT((BXL!$C$4:'BXL'!$C$103=A6)*BXL!$R$4:$R$103)+SUMPRODUCT((BXL!$AA$4:'BXL'!$AA$103=A6)*BXL!$AP$4:$AP$103)+SUMPRODUCT((BXL!$AB$4:'BXL'!$AB$103=A6)*BXL!$AP$4:$AP$103)</f>
        <v>0</v>
      </c>
      <c r="F6" s="136" cm="1">
        <f t="array" ref="F6">SUMPRODUCT((BXL!$C$4:'BXL'!$C$103=A6)*BXL!$V$4:$V$103)+SUMPRODUCT((BXL!$AA$4:'BXL'!$AA$103=A6)*BXL!$AS$4:$AS$103)+SUMPRODUCT((BXL!$AB$4:'BXL'!$AB$103=A6)*BXL!$AS$4:$AS$103)</f>
        <v>0</v>
      </c>
      <c r="G6" s="136" cm="1">
        <f t="array" ref="G6">SUMPRODUCT((BXL!$C$4:'BXL'!$C$103=A6)*BXL!$W$4:$W$103)+SUMPRODUCT((BXL!$AA$4:'BXL'!$AA$103=A6)*BXL!$AT$4:$AT$103)+SUMPRODUCT((BXL!$AB$4:'BXL'!$AB$103=A6)*BXL!$AT$4:$AT$103)</f>
        <v>0</v>
      </c>
      <c r="H6" s="115"/>
      <c r="I6" s="139">
        <f>C6+I5</f>
        <v>0</v>
      </c>
      <c r="J6" s="136">
        <f>D6+J5</f>
        <v>0</v>
      </c>
      <c r="K6" s="136">
        <f>E6+K5</f>
        <v>0</v>
      </c>
      <c r="L6" s="136">
        <f>F6+L5</f>
        <v>0</v>
      </c>
      <c r="M6" s="136">
        <f>G6+M5</f>
        <v>0</v>
      </c>
      <c r="N6" s="115"/>
      <c r="O6" s="131">
        <f>C6*ResourcesEmissions!B10</f>
        <v>0</v>
      </c>
      <c r="P6" s="131">
        <f>C6*ResourcesEmissions!C10</f>
        <v>0</v>
      </c>
      <c r="Q6" s="131">
        <f>C6*ResourcesEmissions!E10</f>
        <v>0</v>
      </c>
      <c r="R6" s="115"/>
      <c r="S6" s="131">
        <f>O6+S5</f>
        <v>0</v>
      </c>
      <c r="T6" s="131">
        <f t="shared" ref="T6:U21" si="2">P6+T5</f>
        <v>0</v>
      </c>
      <c r="U6" s="131">
        <f t="shared" si="2"/>
        <v>0</v>
      </c>
      <c r="V6" s="115"/>
      <c r="W6" s="128"/>
      <c r="X6" s="128"/>
      <c r="Y6" s="128"/>
      <c r="Z6" s="115"/>
      <c r="AA6" s="126"/>
      <c r="AB6" s="126"/>
      <c r="AC6" s="126"/>
      <c r="AD6" s="115"/>
      <c r="AE6" s="126"/>
      <c r="AF6" s="126"/>
      <c r="AG6" s="126"/>
      <c r="AH6" s="115"/>
      <c r="AI6" s="128"/>
      <c r="AJ6" s="128"/>
      <c r="AK6" s="128"/>
      <c r="AL6" s="115"/>
      <c r="AM6" s="126"/>
      <c r="AN6" s="126"/>
      <c r="AO6" s="126"/>
      <c r="AP6" s="115"/>
      <c r="AQ6" s="126"/>
      <c r="AR6" s="126"/>
      <c r="AS6" s="126"/>
    </row>
    <row r="7" spans="1:45" x14ac:dyDescent="0.25">
      <c r="A7" s="94">
        <v>1952</v>
      </c>
      <c r="B7" s="139" cm="1">
        <f t="array" ref="B7">SUMPRODUCT((BXL!$C$4:'BXL'!$C$103=A7)*BXL!$X$4:$X$103)+SUMPRODUCT((BXL!$AA$4:'BXL'!$AA$103=A7)*BXL!$AQ$4:$AQ$103)+SUMPRODUCT((BXL!$AB$4:'BXL'!$AB$103=A7)*BXL!$AQ$4:$AQ$103)</f>
        <v>0</v>
      </c>
      <c r="C7" s="139" cm="1">
        <f t="array" ref="C7">SUMPRODUCT((BXL!$C$4:'BXL'!$C$103=A7)*BXL!$Y$4:$Y$103)+SUMPRODUCT((BXL!$AA$4:'BXL'!$AA$103=A7)*BXL!$AR$4:$AR$103)+SUMPRODUCT((BXL!$AB$4:'BXL'!$AB$103=A7)*BXL!$AR$4:$AR$103)</f>
        <v>0</v>
      </c>
      <c r="D7" s="136" cm="1">
        <f t="array" ref="D7">SUMPRODUCT((BXL!$C$4:'BXL'!$C$103=A7)*BXL!$O$4:$O$103)+SUMPRODUCT((BXL!$AA$4:'BXL'!$AA$103=A7)*BXL!$AM$4:$AM$103)+SUMPRODUCT((BXL!$AB$4:'BXL'!$AB$103=A7)*BXL!$AM$4:$AM$103)</f>
        <v>0</v>
      </c>
      <c r="E7" s="136" cm="1">
        <f t="array" ref="E7">SUMPRODUCT((BXL!$C$4:'BXL'!$C$103=A7)*BXL!$R$4:$R$103)+SUMPRODUCT((BXL!$AA$4:'BXL'!$AA$103=A7)*BXL!$AP$4:$AP$103)+SUMPRODUCT((BXL!$AB$4:'BXL'!$AB$103=A7)*BXL!$AP$4:$AP$103)</f>
        <v>0</v>
      </c>
      <c r="F7" s="136" cm="1">
        <f t="array" ref="F7">SUMPRODUCT((BXL!$C$4:'BXL'!$C$103=A7)*BXL!$V$4:$V$103)+SUMPRODUCT((BXL!$AA$4:'BXL'!$AA$103=A7)*BXL!$AS$4:$AS$103)+SUMPRODUCT((BXL!$AB$4:'BXL'!$AB$103=A7)*BXL!$AS$4:$AS$103)</f>
        <v>0</v>
      </c>
      <c r="G7" s="136" cm="1">
        <f t="array" ref="G7">SUMPRODUCT((BXL!$C$4:'BXL'!$C$103=A7)*BXL!$W$4:$W$103)+SUMPRODUCT((BXL!$AA$4:'BXL'!$AA$103=A7)*BXL!$AT$4:$AT$103)+SUMPRODUCT((BXL!$AB$4:'BXL'!$AB$103=A7)*BXL!$AT$4:$AT$103)</f>
        <v>0</v>
      </c>
      <c r="H7" s="115"/>
      <c r="I7" s="139">
        <f t="shared" ref="I7:I38" si="3">C7+I6</f>
        <v>0</v>
      </c>
      <c r="J7" s="136">
        <f t="shared" ref="J7:M22" si="4">D7+J6</f>
        <v>0</v>
      </c>
      <c r="K7" s="136">
        <f t="shared" si="4"/>
        <v>0</v>
      </c>
      <c r="L7" s="136">
        <f t="shared" si="4"/>
        <v>0</v>
      </c>
      <c r="M7" s="136">
        <f t="shared" si="4"/>
        <v>0</v>
      </c>
      <c r="N7" s="115"/>
      <c r="O7" s="131">
        <f>C7*ResourcesEmissions!B11</f>
        <v>0</v>
      </c>
      <c r="P7" s="131">
        <f>C7*ResourcesEmissions!C11</f>
        <v>0</v>
      </c>
      <c r="Q7" s="131">
        <f>C7*ResourcesEmissions!E11</f>
        <v>0</v>
      </c>
      <c r="R7" s="115"/>
      <c r="S7" s="131">
        <f t="shared" ref="S7:U22" si="5">O7+S6</f>
        <v>0</v>
      </c>
      <c r="T7" s="131">
        <f t="shared" si="2"/>
        <v>0</v>
      </c>
      <c r="U7" s="131">
        <f t="shared" si="2"/>
        <v>0</v>
      </c>
      <c r="V7" s="115"/>
      <c r="W7" s="128"/>
      <c r="X7" s="128"/>
      <c r="Y7" s="128"/>
      <c r="Z7" s="115"/>
      <c r="AA7" s="126"/>
      <c r="AB7" s="126"/>
      <c r="AC7" s="126"/>
      <c r="AD7" s="115"/>
      <c r="AE7" s="126"/>
      <c r="AF7" s="126"/>
      <c r="AG7" s="126"/>
      <c r="AH7" s="115"/>
      <c r="AI7" s="128"/>
      <c r="AJ7" s="128"/>
      <c r="AK7" s="128"/>
      <c r="AL7" s="115"/>
      <c r="AM7" s="126"/>
      <c r="AN7" s="126"/>
      <c r="AO7" s="126"/>
      <c r="AP7" s="115"/>
      <c r="AQ7" s="126"/>
      <c r="AR7" s="126"/>
      <c r="AS7" s="126"/>
    </row>
    <row r="8" spans="1:45" x14ac:dyDescent="0.25">
      <c r="A8" s="94">
        <v>1953</v>
      </c>
      <c r="B8" s="139" cm="1">
        <f t="array" ref="B8">SUMPRODUCT((BXL!$C$4:'BXL'!$C$103=A8)*BXL!$X$4:$X$103)+SUMPRODUCT((BXL!$AA$4:'BXL'!$AA$103=A8)*BXL!$AQ$4:$AQ$103)+SUMPRODUCT((BXL!$AB$4:'BXL'!$AB$103=A8)*BXL!$AQ$4:$AQ$103)</f>
        <v>0</v>
      </c>
      <c r="C8" s="139" cm="1">
        <f t="array" ref="C8">SUMPRODUCT((BXL!$C$4:'BXL'!$C$103=A8)*BXL!$Y$4:$Y$103)+SUMPRODUCT((BXL!$AA$4:'BXL'!$AA$103=A8)*BXL!$AR$4:$AR$103)+SUMPRODUCT((BXL!$AB$4:'BXL'!$AB$103=A8)*BXL!$AR$4:$AR$103)</f>
        <v>0</v>
      </c>
      <c r="D8" s="136" cm="1">
        <f t="array" ref="D8">SUMPRODUCT((BXL!$C$4:'BXL'!$C$103=A8)*BXL!$O$4:$O$103)+SUMPRODUCT((BXL!$AA$4:'BXL'!$AA$103=A8)*BXL!$AM$4:$AM$103)+SUMPRODUCT((BXL!$AB$4:'BXL'!$AB$103=A8)*BXL!$AM$4:$AM$103)</f>
        <v>0</v>
      </c>
      <c r="E8" s="136" cm="1">
        <f t="array" ref="E8">SUMPRODUCT((BXL!$C$4:'BXL'!$C$103=A8)*BXL!$R$4:$R$103)+SUMPRODUCT((BXL!$AA$4:'BXL'!$AA$103=A8)*BXL!$AP$4:$AP$103)+SUMPRODUCT((BXL!$AB$4:'BXL'!$AB$103=A8)*BXL!$AP$4:$AP$103)</f>
        <v>0</v>
      </c>
      <c r="F8" s="136" cm="1">
        <f t="array" ref="F8">SUMPRODUCT((BXL!$C$4:'BXL'!$C$103=A8)*BXL!$V$4:$V$103)+SUMPRODUCT((BXL!$AA$4:'BXL'!$AA$103=A8)*BXL!$AS$4:$AS$103)+SUMPRODUCT((BXL!$AB$4:'BXL'!$AB$103=A8)*BXL!$AS$4:$AS$103)</f>
        <v>0</v>
      </c>
      <c r="G8" s="136" cm="1">
        <f t="array" ref="G8">SUMPRODUCT((BXL!$C$4:'BXL'!$C$103=A8)*BXL!$W$4:$W$103)+SUMPRODUCT((BXL!$AA$4:'BXL'!$AA$103=A8)*BXL!$AT$4:$AT$103)+SUMPRODUCT((BXL!$AB$4:'BXL'!$AB$103=A8)*BXL!$AT$4:$AT$103)</f>
        <v>0</v>
      </c>
      <c r="H8" s="115"/>
      <c r="I8" s="139">
        <f t="shared" si="3"/>
        <v>0</v>
      </c>
      <c r="J8" s="136">
        <f t="shared" si="4"/>
        <v>0</v>
      </c>
      <c r="K8" s="136">
        <f t="shared" si="4"/>
        <v>0</v>
      </c>
      <c r="L8" s="136">
        <f t="shared" si="4"/>
        <v>0</v>
      </c>
      <c r="M8" s="136">
        <f t="shared" si="4"/>
        <v>0</v>
      </c>
      <c r="N8" s="115"/>
      <c r="O8" s="131">
        <f>C8*ResourcesEmissions!B12</f>
        <v>0</v>
      </c>
      <c r="P8" s="131">
        <f>C8*ResourcesEmissions!C12</f>
        <v>0</v>
      </c>
      <c r="Q8" s="131">
        <f>C8*ResourcesEmissions!E12</f>
        <v>0</v>
      </c>
      <c r="R8" s="115"/>
      <c r="S8" s="131">
        <f t="shared" si="5"/>
        <v>0</v>
      </c>
      <c r="T8" s="131">
        <f t="shared" si="2"/>
        <v>0</v>
      </c>
      <c r="U8" s="131">
        <f t="shared" si="2"/>
        <v>0</v>
      </c>
      <c r="V8" s="115"/>
      <c r="W8" s="128"/>
      <c r="X8" s="128"/>
      <c r="Y8" s="128"/>
      <c r="Z8" s="115"/>
      <c r="AA8" s="126"/>
      <c r="AB8" s="126"/>
      <c r="AC8" s="126"/>
      <c r="AD8" s="115"/>
      <c r="AE8" s="126"/>
      <c r="AF8" s="126"/>
      <c r="AG8" s="126"/>
      <c r="AH8" s="115"/>
      <c r="AI8" s="128"/>
      <c r="AJ8" s="128"/>
      <c r="AK8" s="128"/>
      <c r="AL8" s="115"/>
      <c r="AM8" s="126"/>
      <c r="AN8" s="126"/>
      <c r="AO8" s="126"/>
      <c r="AP8" s="115"/>
      <c r="AQ8" s="126"/>
      <c r="AR8" s="126"/>
      <c r="AS8" s="126"/>
    </row>
    <row r="9" spans="1:45" x14ac:dyDescent="0.25">
      <c r="A9" s="94">
        <v>1954</v>
      </c>
      <c r="B9" s="139" cm="1">
        <f t="array" ref="B9">SUMPRODUCT((BXL!$C$4:'BXL'!$C$103=A9)*BXL!$X$4:$X$103)+SUMPRODUCT((BXL!$AA$4:'BXL'!$AA$103=A9)*BXL!$AQ$4:$AQ$103)+SUMPRODUCT((BXL!$AB$4:'BXL'!$AB$103=A9)*BXL!$AQ$4:$AQ$103)</f>
        <v>0</v>
      </c>
      <c r="C9" s="139" cm="1">
        <f t="array" ref="C9">SUMPRODUCT((BXL!$C$4:'BXL'!$C$103=A9)*BXL!$Y$4:$Y$103)+SUMPRODUCT((BXL!$AA$4:'BXL'!$AA$103=A9)*BXL!$AR$4:$AR$103)+SUMPRODUCT((BXL!$AB$4:'BXL'!$AB$103=A9)*BXL!$AR$4:$AR$103)</f>
        <v>0</v>
      </c>
      <c r="D9" s="136" cm="1">
        <f t="array" ref="D9">SUMPRODUCT((BXL!$C$4:'BXL'!$C$103=A9)*BXL!$O$4:$O$103)+SUMPRODUCT((BXL!$AA$4:'BXL'!$AA$103=A9)*BXL!$AM$4:$AM$103)+SUMPRODUCT((BXL!$AB$4:'BXL'!$AB$103=A9)*BXL!$AM$4:$AM$103)</f>
        <v>0</v>
      </c>
      <c r="E9" s="136" cm="1">
        <f t="array" ref="E9">SUMPRODUCT((BXL!$C$4:'BXL'!$C$103=A9)*BXL!$R$4:$R$103)+SUMPRODUCT((BXL!$AA$4:'BXL'!$AA$103=A9)*BXL!$AP$4:$AP$103)+SUMPRODUCT((BXL!$AB$4:'BXL'!$AB$103=A9)*BXL!$AP$4:$AP$103)</f>
        <v>0</v>
      </c>
      <c r="F9" s="136" cm="1">
        <f t="array" ref="F9">SUMPRODUCT((BXL!$C$4:'BXL'!$C$103=A9)*BXL!$V$4:$V$103)+SUMPRODUCT((BXL!$AA$4:'BXL'!$AA$103=A9)*BXL!$AS$4:$AS$103)+SUMPRODUCT((BXL!$AB$4:'BXL'!$AB$103=A9)*BXL!$AS$4:$AS$103)</f>
        <v>0</v>
      </c>
      <c r="G9" s="136" cm="1">
        <f t="array" ref="G9">SUMPRODUCT((BXL!$C$4:'BXL'!$C$103=A9)*BXL!$W$4:$W$103)+SUMPRODUCT((BXL!$AA$4:'BXL'!$AA$103=A9)*BXL!$AT$4:$AT$103)+SUMPRODUCT((BXL!$AB$4:'BXL'!$AB$103=A9)*BXL!$AT$4:$AT$103)</f>
        <v>0</v>
      </c>
      <c r="H9" s="115"/>
      <c r="I9" s="139">
        <f t="shared" si="3"/>
        <v>0</v>
      </c>
      <c r="J9" s="136">
        <f t="shared" si="4"/>
        <v>0</v>
      </c>
      <c r="K9" s="136">
        <f t="shared" si="4"/>
        <v>0</v>
      </c>
      <c r="L9" s="136">
        <f t="shared" si="4"/>
        <v>0</v>
      </c>
      <c r="M9" s="136">
        <f t="shared" si="4"/>
        <v>0</v>
      </c>
      <c r="N9" s="115"/>
      <c r="O9" s="131">
        <f>C9*ResourcesEmissions!B13</f>
        <v>0</v>
      </c>
      <c r="P9" s="131">
        <f>C9*ResourcesEmissions!C13</f>
        <v>0</v>
      </c>
      <c r="Q9" s="131">
        <f>C9*ResourcesEmissions!E13</f>
        <v>0</v>
      </c>
      <c r="R9" s="115"/>
      <c r="S9" s="131">
        <f t="shared" si="5"/>
        <v>0</v>
      </c>
      <c r="T9" s="131">
        <f t="shared" si="2"/>
        <v>0</v>
      </c>
      <c r="U9" s="131">
        <f t="shared" si="2"/>
        <v>0</v>
      </c>
      <c r="V9" s="115"/>
      <c r="W9" s="128"/>
      <c r="X9" s="128"/>
      <c r="Y9" s="128"/>
      <c r="Z9" s="115"/>
      <c r="AA9" s="126"/>
      <c r="AB9" s="126"/>
      <c r="AC9" s="126"/>
      <c r="AD9" s="115"/>
      <c r="AE9" s="126"/>
      <c r="AF9" s="126"/>
      <c r="AG9" s="126"/>
      <c r="AH9" s="115"/>
      <c r="AI9" s="128"/>
      <c r="AJ9" s="128"/>
      <c r="AK9" s="128"/>
      <c r="AL9" s="115"/>
      <c r="AM9" s="126"/>
      <c r="AN9" s="126"/>
      <c r="AO9" s="126"/>
      <c r="AP9" s="115"/>
      <c r="AQ9" s="126"/>
      <c r="AR9" s="126"/>
      <c r="AS9" s="126"/>
    </row>
    <row r="10" spans="1:45" x14ac:dyDescent="0.25">
      <c r="A10" s="94">
        <v>1955</v>
      </c>
      <c r="B10" s="139" cm="1">
        <f t="array" ref="B10">SUMPRODUCT((BXL!$C$4:'BXL'!$C$103=A10)*BXL!$X$4:$X$103)+SUMPRODUCT((BXL!$AA$4:'BXL'!$AA$103=A10)*BXL!$AQ$4:$AQ$103)+SUMPRODUCT((BXL!$AB$4:'BXL'!$AB$103=A10)*BXL!$AQ$4:$AQ$103)</f>
        <v>0</v>
      </c>
      <c r="C10" s="139" cm="1">
        <f t="array" ref="C10">SUMPRODUCT((BXL!$C$4:'BXL'!$C$103=A10)*BXL!$Y$4:$Y$103)+SUMPRODUCT((BXL!$AA$4:'BXL'!$AA$103=A10)*BXL!$AR$4:$AR$103)+SUMPRODUCT((BXL!$AB$4:'BXL'!$AB$103=A10)*BXL!$AR$4:$AR$103)</f>
        <v>0</v>
      </c>
      <c r="D10" s="136" cm="1">
        <f t="array" ref="D10">SUMPRODUCT((BXL!$C$4:'BXL'!$C$103=A10)*BXL!$O$4:$O$103)+SUMPRODUCT((BXL!$AA$4:'BXL'!$AA$103=A10)*BXL!$AM$4:$AM$103)+SUMPRODUCT((BXL!$AB$4:'BXL'!$AB$103=A10)*BXL!$AM$4:$AM$103)</f>
        <v>0</v>
      </c>
      <c r="E10" s="136" cm="1">
        <f t="array" ref="E10">SUMPRODUCT((BXL!$C$4:'BXL'!$C$103=A10)*BXL!$R$4:$R$103)+SUMPRODUCT((BXL!$AA$4:'BXL'!$AA$103=A10)*BXL!$AP$4:$AP$103)+SUMPRODUCT((BXL!$AB$4:'BXL'!$AB$103=A10)*BXL!$AP$4:$AP$103)</f>
        <v>0</v>
      </c>
      <c r="F10" s="136" cm="1">
        <f t="array" ref="F10">SUMPRODUCT((BXL!$C$4:'BXL'!$C$103=A10)*BXL!$V$4:$V$103)+SUMPRODUCT((BXL!$AA$4:'BXL'!$AA$103=A10)*BXL!$AS$4:$AS$103)+SUMPRODUCT((BXL!$AB$4:'BXL'!$AB$103=A10)*BXL!$AS$4:$AS$103)</f>
        <v>0</v>
      </c>
      <c r="G10" s="136" cm="1">
        <f t="array" ref="G10">SUMPRODUCT((BXL!$C$4:'BXL'!$C$103=A10)*BXL!$W$4:$W$103)+SUMPRODUCT((BXL!$AA$4:'BXL'!$AA$103=A10)*BXL!$AT$4:$AT$103)+SUMPRODUCT((BXL!$AB$4:'BXL'!$AB$103=A10)*BXL!$AT$4:$AT$103)</f>
        <v>0</v>
      </c>
      <c r="H10" s="115"/>
      <c r="I10" s="139">
        <f t="shared" si="3"/>
        <v>0</v>
      </c>
      <c r="J10" s="136">
        <f t="shared" si="4"/>
        <v>0</v>
      </c>
      <c r="K10" s="136">
        <f t="shared" si="4"/>
        <v>0</v>
      </c>
      <c r="L10" s="136">
        <f t="shared" si="4"/>
        <v>0</v>
      </c>
      <c r="M10" s="136">
        <f t="shared" si="4"/>
        <v>0</v>
      </c>
      <c r="N10" s="115"/>
      <c r="O10" s="131">
        <f>C10*ResourcesEmissions!B14</f>
        <v>0</v>
      </c>
      <c r="P10" s="131">
        <f>C10*ResourcesEmissions!C14</f>
        <v>0</v>
      </c>
      <c r="Q10" s="131">
        <f>C10*ResourcesEmissions!E14</f>
        <v>0</v>
      </c>
      <c r="R10" s="115"/>
      <c r="S10" s="131">
        <f t="shared" si="5"/>
        <v>0</v>
      </c>
      <c r="T10" s="131">
        <f t="shared" si="2"/>
        <v>0</v>
      </c>
      <c r="U10" s="131">
        <f t="shared" si="2"/>
        <v>0</v>
      </c>
      <c r="V10" s="115"/>
      <c r="W10" s="128"/>
      <c r="X10" s="128"/>
      <c r="Y10" s="128"/>
      <c r="Z10" s="115"/>
      <c r="AA10" s="126"/>
      <c r="AB10" s="126"/>
      <c r="AC10" s="126"/>
      <c r="AD10" s="115"/>
      <c r="AE10" s="126"/>
      <c r="AF10" s="126"/>
      <c r="AG10" s="126"/>
      <c r="AH10" s="115"/>
      <c r="AI10" s="128"/>
      <c r="AJ10" s="128"/>
      <c r="AK10" s="128"/>
      <c r="AL10" s="115"/>
      <c r="AM10" s="126"/>
      <c r="AN10" s="126"/>
      <c r="AO10" s="126"/>
      <c r="AP10" s="115"/>
      <c r="AQ10" s="126"/>
      <c r="AR10" s="126"/>
      <c r="AS10" s="126"/>
    </row>
    <row r="11" spans="1:45" x14ac:dyDescent="0.25">
      <c r="A11" s="94">
        <v>1956</v>
      </c>
      <c r="B11" s="139" cm="1">
        <f t="array" ref="B11">SUMPRODUCT((BXL!$C$4:'BXL'!$C$103=A11)*BXL!$X$4:$X$103)+SUMPRODUCT((BXL!$AA$4:'BXL'!$AA$103=A11)*BXL!$AQ$4:$AQ$103)+SUMPRODUCT((BXL!$AB$4:'BXL'!$AB$103=A11)*BXL!$AQ$4:$AQ$103)</f>
        <v>0</v>
      </c>
      <c r="C11" s="139" cm="1">
        <f t="array" ref="C11">SUMPRODUCT((BXL!$C$4:'BXL'!$C$103=A11)*BXL!$Y$4:$Y$103)+SUMPRODUCT((BXL!$AA$4:'BXL'!$AA$103=A11)*BXL!$AR$4:$AR$103)+SUMPRODUCT((BXL!$AB$4:'BXL'!$AB$103=A11)*BXL!$AR$4:$AR$103)</f>
        <v>0</v>
      </c>
      <c r="D11" s="136" cm="1">
        <f t="array" ref="D11">SUMPRODUCT((BXL!$C$4:'BXL'!$C$103=A11)*BXL!$O$4:$O$103)+SUMPRODUCT((BXL!$AA$4:'BXL'!$AA$103=A11)*BXL!$AM$4:$AM$103)+SUMPRODUCT((BXL!$AB$4:'BXL'!$AB$103=A11)*BXL!$AM$4:$AM$103)</f>
        <v>0</v>
      </c>
      <c r="E11" s="136" cm="1">
        <f t="array" ref="E11">SUMPRODUCT((BXL!$C$4:'BXL'!$C$103=A11)*BXL!$R$4:$R$103)+SUMPRODUCT((BXL!$AA$4:'BXL'!$AA$103=A11)*BXL!$AP$4:$AP$103)+SUMPRODUCT((BXL!$AB$4:'BXL'!$AB$103=A11)*BXL!$AP$4:$AP$103)</f>
        <v>0</v>
      </c>
      <c r="F11" s="136" cm="1">
        <f t="array" ref="F11">SUMPRODUCT((BXL!$C$4:'BXL'!$C$103=A11)*BXL!$V$4:$V$103)+SUMPRODUCT((BXL!$AA$4:'BXL'!$AA$103=A11)*BXL!$AS$4:$AS$103)+SUMPRODUCT((BXL!$AB$4:'BXL'!$AB$103=A11)*BXL!$AS$4:$AS$103)</f>
        <v>0</v>
      </c>
      <c r="G11" s="136" cm="1">
        <f t="array" ref="G11">SUMPRODUCT((BXL!$C$4:'BXL'!$C$103=A11)*BXL!$W$4:$W$103)+SUMPRODUCT((BXL!$AA$4:'BXL'!$AA$103=A11)*BXL!$AT$4:$AT$103)+SUMPRODUCT((BXL!$AB$4:'BXL'!$AB$103=A11)*BXL!$AT$4:$AT$103)</f>
        <v>0</v>
      </c>
      <c r="H11" s="115"/>
      <c r="I11" s="139">
        <f t="shared" si="3"/>
        <v>0</v>
      </c>
      <c r="J11" s="136">
        <f t="shared" si="4"/>
        <v>0</v>
      </c>
      <c r="K11" s="136">
        <f t="shared" si="4"/>
        <v>0</v>
      </c>
      <c r="L11" s="136">
        <f t="shared" si="4"/>
        <v>0</v>
      </c>
      <c r="M11" s="136">
        <f t="shared" si="4"/>
        <v>0</v>
      </c>
      <c r="N11" s="115"/>
      <c r="O11" s="131">
        <f>C11*ResourcesEmissions!B15</f>
        <v>0</v>
      </c>
      <c r="P11" s="131">
        <f>C11*ResourcesEmissions!C15</f>
        <v>0</v>
      </c>
      <c r="Q11" s="131">
        <f>C11*ResourcesEmissions!E15</f>
        <v>0</v>
      </c>
      <c r="R11" s="115"/>
      <c r="S11" s="131">
        <f t="shared" si="5"/>
        <v>0</v>
      </c>
      <c r="T11" s="131">
        <f t="shared" si="2"/>
        <v>0</v>
      </c>
      <c r="U11" s="131">
        <f t="shared" si="2"/>
        <v>0</v>
      </c>
      <c r="V11" s="115"/>
      <c r="W11" s="128"/>
      <c r="X11" s="128"/>
      <c r="Y11" s="128"/>
      <c r="Z11" s="115"/>
      <c r="AA11" s="126"/>
      <c r="AB11" s="126"/>
      <c r="AC11" s="126"/>
      <c r="AD11" s="115"/>
      <c r="AE11" s="126"/>
      <c r="AF11" s="126"/>
      <c r="AG11" s="126"/>
      <c r="AH11" s="115"/>
      <c r="AI11" s="128"/>
      <c r="AJ11" s="128"/>
      <c r="AK11" s="128"/>
      <c r="AL11" s="115"/>
      <c r="AM11" s="126"/>
      <c r="AN11" s="126"/>
      <c r="AO11" s="126"/>
      <c r="AP11" s="115"/>
      <c r="AQ11" s="126"/>
      <c r="AR11" s="126"/>
      <c r="AS11" s="126"/>
    </row>
    <row r="12" spans="1:45" x14ac:dyDescent="0.25">
      <c r="A12" s="94">
        <v>1957</v>
      </c>
      <c r="B12" s="139" cm="1">
        <f t="array" ref="B12">SUMPRODUCT((BXL!$C$4:'BXL'!$C$103=A12)*BXL!$X$4:$X$103)+SUMPRODUCT((BXL!$AA$4:'BXL'!$AA$103=A12)*BXL!$AQ$4:$AQ$103)+SUMPRODUCT((BXL!$AB$4:'BXL'!$AB$103=A12)*BXL!$AQ$4:$AQ$103)</f>
        <v>0</v>
      </c>
      <c r="C12" s="139" cm="1">
        <f t="array" ref="C12">SUMPRODUCT((BXL!$C$4:'BXL'!$C$103=A12)*BXL!$Y$4:$Y$103)+SUMPRODUCT((BXL!$AA$4:'BXL'!$AA$103=A12)*BXL!$AR$4:$AR$103)+SUMPRODUCT((BXL!$AB$4:'BXL'!$AB$103=A12)*BXL!$AR$4:$AR$103)</f>
        <v>0</v>
      </c>
      <c r="D12" s="136" cm="1">
        <f t="array" ref="D12">SUMPRODUCT((BXL!$C$4:'BXL'!$C$103=A12)*BXL!$O$4:$O$103)+SUMPRODUCT((BXL!$AA$4:'BXL'!$AA$103=A12)*BXL!$AM$4:$AM$103)+SUMPRODUCT((BXL!$AB$4:'BXL'!$AB$103=A12)*BXL!$AM$4:$AM$103)</f>
        <v>0</v>
      </c>
      <c r="E12" s="136" cm="1">
        <f t="array" ref="E12">SUMPRODUCT((BXL!$C$4:'BXL'!$C$103=A12)*BXL!$R$4:$R$103)+SUMPRODUCT((BXL!$AA$4:'BXL'!$AA$103=A12)*BXL!$AP$4:$AP$103)+SUMPRODUCT((BXL!$AB$4:'BXL'!$AB$103=A12)*BXL!$AP$4:$AP$103)</f>
        <v>0</v>
      </c>
      <c r="F12" s="136" cm="1">
        <f t="array" ref="F12">SUMPRODUCT((BXL!$C$4:'BXL'!$C$103=A12)*BXL!$V$4:$V$103)+SUMPRODUCT((BXL!$AA$4:'BXL'!$AA$103=A12)*BXL!$AS$4:$AS$103)+SUMPRODUCT((BXL!$AB$4:'BXL'!$AB$103=A12)*BXL!$AS$4:$AS$103)</f>
        <v>0</v>
      </c>
      <c r="G12" s="136" cm="1">
        <f t="array" ref="G12">SUMPRODUCT((BXL!$C$4:'BXL'!$C$103=A12)*BXL!$W$4:$W$103)+SUMPRODUCT((BXL!$AA$4:'BXL'!$AA$103=A12)*BXL!$AT$4:$AT$103)+SUMPRODUCT((BXL!$AB$4:'BXL'!$AB$103=A12)*BXL!$AT$4:$AT$103)</f>
        <v>0</v>
      </c>
      <c r="H12" s="115"/>
      <c r="I12" s="139">
        <f t="shared" si="3"/>
        <v>0</v>
      </c>
      <c r="J12" s="136">
        <f t="shared" si="4"/>
        <v>0</v>
      </c>
      <c r="K12" s="136">
        <f t="shared" si="4"/>
        <v>0</v>
      </c>
      <c r="L12" s="136">
        <f t="shared" si="4"/>
        <v>0</v>
      </c>
      <c r="M12" s="136">
        <f t="shared" si="4"/>
        <v>0</v>
      </c>
      <c r="N12" s="115"/>
      <c r="O12" s="131">
        <f>C12*ResourcesEmissions!B16</f>
        <v>0</v>
      </c>
      <c r="P12" s="131">
        <f>C12*ResourcesEmissions!C16</f>
        <v>0</v>
      </c>
      <c r="Q12" s="131">
        <f>C12*ResourcesEmissions!E16</f>
        <v>0</v>
      </c>
      <c r="R12" s="115"/>
      <c r="S12" s="131">
        <f t="shared" si="5"/>
        <v>0</v>
      </c>
      <c r="T12" s="131">
        <f t="shared" si="2"/>
        <v>0</v>
      </c>
      <c r="U12" s="131">
        <f t="shared" si="2"/>
        <v>0</v>
      </c>
      <c r="V12" s="115"/>
      <c r="W12" s="128"/>
      <c r="X12" s="128"/>
      <c r="Y12" s="128"/>
      <c r="Z12" s="115"/>
      <c r="AA12" s="126"/>
      <c r="AB12" s="126"/>
      <c r="AC12" s="126"/>
      <c r="AD12" s="115"/>
      <c r="AE12" s="126"/>
      <c r="AF12" s="126"/>
      <c r="AG12" s="126"/>
      <c r="AH12" s="115"/>
      <c r="AI12" s="128"/>
      <c r="AJ12" s="128"/>
      <c r="AK12" s="128"/>
      <c r="AL12" s="115"/>
      <c r="AM12" s="126"/>
      <c r="AN12" s="126"/>
      <c r="AO12" s="126"/>
      <c r="AP12" s="115"/>
      <c r="AQ12" s="126"/>
      <c r="AR12" s="126"/>
      <c r="AS12" s="126"/>
    </row>
    <row r="13" spans="1:45" x14ac:dyDescent="0.25">
      <c r="A13" s="94">
        <v>1958</v>
      </c>
      <c r="B13" s="139" cm="1">
        <f t="array" ref="B13">SUMPRODUCT((BXL!$C$4:'BXL'!$C$103=A13)*BXL!$X$4:$X$103)+SUMPRODUCT((BXL!$AA$4:'BXL'!$AA$103=A13)*BXL!$AQ$4:$AQ$103)+SUMPRODUCT((BXL!$AB$4:'BXL'!$AB$103=A13)*BXL!$AQ$4:$AQ$103)</f>
        <v>0</v>
      </c>
      <c r="C13" s="139" cm="1">
        <f t="array" ref="C13">SUMPRODUCT((BXL!$C$4:'BXL'!$C$103=A13)*BXL!$Y$4:$Y$103)+SUMPRODUCT((BXL!$AA$4:'BXL'!$AA$103=A13)*BXL!$AR$4:$AR$103)+SUMPRODUCT((BXL!$AB$4:'BXL'!$AB$103=A13)*BXL!$AR$4:$AR$103)</f>
        <v>0</v>
      </c>
      <c r="D13" s="136" cm="1">
        <f t="array" ref="D13">SUMPRODUCT((BXL!$C$4:'BXL'!$C$103=A13)*BXL!$O$4:$O$103)+SUMPRODUCT((BXL!$AA$4:'BXL'!$AA$103=A13)*BXL!$AM$4:$AM$103)+SUMPRODUCT((BXL!$AB$4:'BXL'!$AB$103=A13)*BXL!$AM$4:$AM$103)</f>
        <v>0</v>
      </c>
      <c r="E13" s="136" cm="1">
        <f t="array" ref="E13">SUMPRODUCT((BXL!$C$4:'BXL'!$C$103=A13)*BXL!$R$4:$R$103)+SUMPRODUCT((BXL!$AA$4:'BXL'!$AA$103=A13)*BXL!$AP$4:$AP$103)+SUMPRODUCT((BXL!$AB$4:'BXL'!$AB$103=A13)*BXL!$AP$4:$AP$103)</f>
        <v>0</v>
      </c>
      <c r="F13" s="136" cm="1">
        <f t="array" ref="F13">SUMPRODUCT((BXL!$C$4:'BXL'!$C$103=A13)*BXL!$V$4:$V$103)+SUMPRODUCT((BXL!$AA$4:'BXL'!$AA$103=A13)*BXL!$AS$4:$AS$103)+SUMPRODUCT((BXL!$AB$4:'BXL'!$AB$103=A13)*BXL!$AS$4:$AS$103)</f>
        <v>0</v>
      </c>
      <c r="G13" s="136" cm="1">
        <f t="array" ref="G13">SUMPRODUCT((BXL!$C$4:'BXL'!$C$103=A13)*BXL!$W$4:$W$103)+SUMPRODUCT((BXL!$AA$4:'BXL'!$AA$103=A13)*BXL!$AT$4:$AT$103)+SUMPRODUCT((BXL!$AB$4:'BXL'!$AB$103=A13)*BXL!$AT$4:$AT$103)</f>
        <v>0</v>
      </c>
      <c r="H13" s="115"/>
      <c r="I13" s="139">
        <f t="shared" si="3"/>
        <v>0</v>
      </c>
      <c r="J13" s="136">
        <f t="shared" si="4"/>
        <v>0</v>
      </c>
      <c r="K13" s="136">
        <f t="shared" si="4"/>
        <v>0</v>
      </c>
      <c r="L13" s="136">
        <f t="shared" si="4"/>
        <v>0</v>
      </c>
      <c r="M13" s="136">
        <f t="shared" si="4"/>
        <v>0</v>
      </c>
      <c r="N13" s="115"/>
      <c r="O13" s="131">
        <f>C13*ResourcesEmissions!B17</f>
        <v>0</v>
      </c>
      <c r="P13" s="131">
        <f>C13*ResourcesEmissions!C17</f>
        <v>0</v>
      </c>
      <c r="Q13" s="131">
        <f>C13*ResourcesEmissions!E17</f>
        <v>0</v>
      </c>
      <c r="R13" s="115"/>
      <c r="S13" s="131">
        <f t="shared" si="5"/>
        <v>0</v>
      </c>
      <c r="T13" s="131">
        <f t="shared" si="2"/>
        <v>0</v>
      </c>
      <c r="U13" s="131">
        <f t="shared" si="2"/>
        <v>0</v>
      </c>
      <c r="V13" s="115"/>
      <c r="W13" s="128"/>
      <c r="X13" s="128"/>
      <c r="Y13" s="128"/>
      <c r="Z13" s="115"/>
      <c r="AA13" s="126"/>
      <c r="AB13" s="126"/>
      <c r="AC13" s="126"/>
      <c r="AD13" s="115"/>
      <c r="AE13" s="126"/>
      <c r="AF13" s="126"/>
      <c r="AG13" s="126"/>
      <c r="AH13" s="115"/>
      <c r="AI13" s="128"/>
      <c r="AJ13" s="128"/>
      <c r="AK13" s="128"/>
      <c r="AL13" s="115"/>
      <c r="AM13" s="126"/>
      <c r="AN13" s="126"/>
      <c r="AO13" s="126"/>
      <c r="AP13" s="115"/>
      <c r="AQ13" s="126"/>
      <c r="AR13" s="126"/>
      <c r="AS13" s="126"/>
    </row>
    <row r="14" spans="1:45" x14ac:dyDescent="0.25">
      <c r="A14" s="94">
        <v>1959</v>
      </c>
      <c r="B14" s="139" cm="1">
        <f t="array" ref="B14">SUMPRODUCT((BXL!$C$4:'BXL'!$C$103=A14)*BXL!$X$4:$X$103)+SUMPRODUCT((BXL!$AA$4:'BXL'!$AA$103=A14)*BXL!$AQ$4:$AQ$103)+SUMPRODUCT((BXL!$AB$4:'BXL'!$AB$103=A14)*BXL!$AQ$4:$AQ$103)</f>
        <v>0</v>
      </c>
      <c r="C14" s="139" cm="1">
        <f t="array" ref="C14">SUMPRODUCT((BXL!$C$4:'BXL'!$C$103=A14)*BXL!$Y$4:$Y$103)+SUMPRODUCT((BXL!$AA$4:'BXL'!$AA$103=A14)*BXL!$AR$4:$AR$103)+SUMPRODUCT((BXL!$AB$4:'BXL'!$AB$103=A14)*BXL!$AR$4:$AR$103)</f>
        <v>0</v>
      </c>
      <c r="D14" s="136" cm="1">
        <f t="array" ref="D14">SUMPRODUCT((BXL!$C$4:'BXL'!$C$103=A14)*BXL!$O$4:$O$103)+SUMPRODUCT((BXL!$AA$4:'BXL'!$AA$103=A14)*BXL!$AM$4:$AM$103)+SUMPRODUCT((BXL!$AB$4:'BXL'!$AB$103=A14)*BXL!$AM$4:$AM$103)</f>
        <v>0</v>
      </c>
      <c r="E14" s="136" cm="1">
        <f t="array" ref="E14">SUMPRODUCT((BXL!$C$4:'BXL'!$C$103=A14)*BXL!$R$4:$R$103)+SUMPRODUCT((BXL!$AA$4:'BXL'!$AA$103=A14)*BXL!$AP$4:$AP$103)+SUMPRODUCT((BXL!$AB$4:'BXL'!$AB$103=A14)*BXL!$AP$4:$AP$103)</f>
        <v>0</v>
      </c>
      <c r="F14" s="136" cm="1">
        <f t="array" ref="F14">SUMPRODUCT((BXL!$C$4:'BXL'!$C$103=A14)*BXL!$V$4:$V$103)+SUMPRODUCT((BXL!$AA$4:'BXL'!$AA$103=A14)*BXL!$AS$4:$AS$103)+SUMPRODUCT((BXL!$AB$4:'BXL'!$AB$103=A14)*BXL!$AS$4:$AS$103)</f>
        <v>0</v>
      </c>
      <c r="G14" s="136" cm="1">
        <f t="array" ref="G14">SUMPRODUCT((BXL!$C$4:'BXL'!$C$103=A14)*BXL!$W$4:$W$103)+SUMPRODUCT((BXL!$AA$4:'BXL'!$AA$103=A14)*BXL!$AT$4:$AT$103)+SUMPRODUCT((BXL!$AB$4:'BXL'!$AB$103=A14)*BXL!$AT$4:$AT$103)</f>
        <v>0</v>
      </c>
      <c r="H14" s="115"/>
      <c r="I14" s="139">
        <f t="shared" si="3"/>
        <v>0</v>
      </c>
      <c r="J14" s="136">
        <f t="shared" si="4"/>
        <v>0</v>
      </c>
      <c r="K14" s="136">
        <f t="shared" si="4"/>
        <v>0</v>
      </c>
      <c r="L14" s="136">
        <f t="shared" si="4"/>
        <v>0</v>
      </c>
      <c r="M14" s="136">
        <f t="shared" si="4"/>
        <v>0</v>
      </c>
      <c r="N14" s="115"/>
      <c r="O14" s="131">
        <f>C14*ResourcesEmissions!B18</f>
        <v>0</v>
      </c>
      <c r="P14" s="131">
        <f>C14*ResourcesEmissions!C18</f>
        <v>0</v>
      </c>
      <c r="Q14" s="131">
        <f>C14*ResourcesEmissions!E18</f>
        <v>0</v>
      </c>
      <c r="R14" s="115"/>
      <c r="S14" s="131">
        <f t="shared" si="5"/>
        <v>0</v>
      </c>
      <c r="T14" s="131">
        <f t="shared" si="2"/>
        <v>0</v>
      </c>
      <c r="U14" s="131">
        <f t="shared" si="2"/>
        <v>0</v>
      </c>
      <c r="V14" s="115"/>
      <c r="W14" s="128"/>
      <c r="X14" s="128"/>
      <c r="Y14" s="128"/>
      <c r="Z14" s="115"/>
      <c r="AA14" s="126"/>
      <c r="AB14" s="126"/>
      <c r="AC14" s="126"/>
      <c r="AD14" s="115"/>
      <c r="AE14" s="126"/>
      <c r="AF14" s="126"/>
      <c r="AG14" s="126"/>
      <c r="AH14" s="115"/>
      <c r="AI14" s="128"/>
      <c r="AJ14" s="128"/>
      <c r="AK14" s="128"/>
      <c r="AL14" s="115"/>
      <c r="AM14" s="126"/>
      <c r="AN14" s="126"/>
      <c r="AO14" s="126"/>
      <c r="AP14" s="115"/>
      <c r="AQ14" s="126"/>
      <c r="AR14" s="126"/>
      <c r="AS14" s="126"/>
    </row>
    <row r="15" spans="1:45" x14ac:dyDescent="0.25">
      <c r="A15" s="94">
        <v>1960</v>
      </c>
      <c r="B15" s="139" cm="1">
        <f t="array" ref="B15">SUMPRODUCT((BXL!$C$4:'BXL'!$C$103=A15)*BXL!$X$4:$X$103)+SUMPRODUCT((BXL!$AA$4:'BXL'!$AA$103=A15)*BXL!$AQ$4:$AQ$103)+SUMPRODUCT((BXL!$AB$4:'BXL'!$AB$103=A15)*BXL!$AQ$4:$AQ$103)</f>
        <v>0</v>
      </c>
      <c r="C15" s="139" cm="1">
        <f t="array" ref="C15">SUMPRODUCT((BXL!$C$4:'BXL'!$C$103=A15)*BXL!$Y$4:$Y$103)+SUMPRODUCT((BXL!$AA$4:'BXL'!$AA$103=A15)*BXL!$AR$4:$AR$103)+SUMPRODUCT((BXL!$AB$4:'BXL'!$AB$103=A15)*BXL!$AR$4:$AR$103)</f>
        <v>0</v>
      </c>
      <c r="D15" s="136" cm="1">
        <f t="array" ref="D15">SUMPRODUCT((BXL!$C$4:'BXL'!$C$103=A15)*BXL!$O$4:$O$103)+SUMPRODUCT((BXL!$AA$4:'BXL'!$AA$103=A15)*BXL!$AM$4:$AM$103)+SUMPRODUCT((BXL!$AB$4:'BXL'!$AB$103=A15)*BXL!$AM$4:$AM$103)</f>
        <v>0</v>
      </c>
      <c r="E15" s="136" cm="1">
        <f t="array" ref="E15">SUMPRODUCT((BXL!$C$4:'BXL'!$C$103=A15)*BXL!$R$4:$R$103)+SUMPRODUCT((BXL!$AA$4:'BXL'!$AA$103=A15)*BXL!$AP$4:$AP$103)+SUMPRODUCT((BXL!$AB$4:'BXL'!$AB$103=A15)*BXL!$AP$4:$AP$103)</f>
        <v>0</v>
      </c>
      <c r="F15" s="136" cm="1">
        <f t="array" ref="F15">SUMPRODUCT((BXL!$C$4:'BXL'!$C$103=A15)*BXL!$V$4:$V$103)+SUMPRODUCT((BXL!$AA$4:'BXL'!$AA$103=A15)*BXL!$AS$4:$AS$103)+SUMPRODUCT((BXL!$AB$4:'BXL'!$AB$103=A15)*BXL!$AS$4:$AS$103)</f>
        <v>0</v>
      </c>
      <c r="G15" s="136" cm="1">
        <f t="array" ref="G15">SUMPRODUCT((BXL!$C$4:'BXL'!$C$103=A15)*BXL!$W$4:$W$103)+SUMPRODUCT((BXL!$AA$4:'BXL'!$AA$103=A15)*BXL!$AT$4:$AT$103)+SUMPRODUCT((BXL!$AB$4:'BXL'!$AB$103=A15)*BXL!$AT$4:$AT$103)</f>
        <v>0</v>
      </c>
      <c r="H15" s="115"/>
      <c r="I15" s="139">
        <f t="shared" si="3"/>
        <v>0</v>
      </c>
      <c r="J15" s="136">
        <f t="shared" si="4"/>
        <v>0</v>
      </c>
      <c r="K15" s="136">
        <f t="shared" si="4"/>
        <v>0</v>
      </c>
      <c r="L15" s="136">
        <f t="shared" si="4"/>
        <v>0</v>
      </c>
      <c r="M15" s="136">
        <f t="shared" si="4"/>
        <v>0</v>
      </c>
      <c r="N15" s="115"/>
      <c r="O15" s="131">
        <f>C15*ResourcesEmissions!B19</f>
        <v>0</v>
      </c>
      <c r="P15" s="131">
        <f>C15*ResourcesEmissions!C19</f>
        <v>0</v>
      </c>
      <c r="Q15" s="131">
        <f>C15*ResourcesEmissions!E19</f>
        <v>0</v>
      </c>
      <c r="R15" s="115"/>
      <c r="S15" s="131">
        <f t="shared" si="5"/>
        <v>0</v>
      </c>
      <c r="T15" s="131">
        <f t="shared" si="2"/>
        <v>0</v>
      </c>
      <c r="U15" s="131">
        <f t="shared" si="2"/>
        <v>0</v>
      </c>
      <c r="V15" s="115"/>
      <c r="W15" s="128"/>
      <c r="X15" s="128"/>
      <c r="Y15" s="128"/>
      <c r="Z15" s="115"/>
      <c r="AA15" s="126"/>
      <c r="AB15" s="126"/>
      <c r="AC15" s="126"/>
      <c r="AD15" s="115"/>
      <c r="AE15" s="126"/>
      <c r="AF15" s="126"/>
      <c r="AG15" s="126"/>
      <c r="AH15" s="115"/>
      <c r="AI15" s="128"/>
      <c r="AJ15" s="128"/>
      <c r="AK15" s="128"/>
      <c r="AL15" s="115"/>
      <c r="AM15" s="126"/>
      <c r="AN15" s="126"/>
      <c r="AO15" s="126"/>
      <c r="AP15" s="115"/>
      <c r="AQ15" s="126"/>
      <c r="AR15" s="126"/>
      <c r="AS15" s="126"/>
    </row>
    <row r="16" spans="1:45" x14ac:dyDescent="0.25">
      <c r="A16" s="94">
        <v>1961</v>
      </c>
      <c r="B16" s="139" cm="1">
        <f t="array" ref="B16">SUMPRODUCT((BXL!$C$4:'BXL'!$C$103=A16)*BXL!$X$4:$X$103)+SUMPRODUCT((BXL!$AA$4:'BXL'!$AA$103=A16)*BXL!$AQ$4:$AQ$103)+SUMPRODUCT((BXL!$AB$4:'BXL'!$AB$103=A16)*BXL!$AQ$4:$AQ$103)</f>
        <v>33526</v>
      </c>
      <c r="C16" s="139" cm="1">
        <f t="array" ref="C16">SUMPRODUCT((BXL!$C$4:'BXL'!$C$103=A16)*BXL!$Y$4:$Y$103)+SUMPRODUCT((BXL!$AA$4:'BXL'!$AA$103=A16)*BXL!$AR$4:$AR$103)+SUMPRODUCT((BXL!$AB$4:'BXL'!$AB$103=A16)*BXL!$AR$4:$AR$103)</f>
        <v>726.05</v>
      </c>
      <c r="D16" s="136" cm="1">
        <f t="array" ref="D16">SUMPRODUCT((BXL!$C$4:'BXL'!$C$103=A16)*BXL!$O$4:$O$103)+SUMPRODUCT((BXL!$AA$4:'BXL'!$AA$103=A16)*BXL!$AM$4:$AM$103)+SUMPRODUCT((BXL!$AB$4:'BXL'!$AB$103=A16)*BXL!$AM$4:$AM$103)</f>
        <v>166.05</v>
      </c>
      <c r="E16" s="136" cm="1">
        <f t="array" ref="E16">SUMPRODUCT((BXL!$C$4:'BXL'!$C$103=A16)*BXL!$R$4:$R$103)+SUMPRODUCT((BXL!$AA$4:'BXL'!$AA$103=A16)*BXL!$AP$4:$AP$103)+SUMPRODUCT((BXL!$AB$4:'BXL'!$AB$103=A16)*BXL!$AP$4:$AP$103)</f>
        <v>560</v>
      </c>
      <c r="F16" s="136" cm="1">
        <f t="array" ref="F16">SUMPRODUCT((BXL!$C$4:'BXL'!$C$103=A16)*BXL!$V$4:$V$103)+SUMPRODUCT((BXL!$AA$4:'BXL'!$AA$103=A16)*BXL!$AS$4:$AS$103)+SUMPRODUCT((BXL!$AB$4:'BXL'!$AB$103=A16)*BXL!$AS$4:$AS$103)</f>
        <v>16.961052631578948</v>
      </c>
      <c r="G16" s="136" cm="1">
        <f t="array" ref="G16">SUMPRODUCT((BXL!$C$4:'BXL'!$C$103=A16)*BXL!$W$4:$W$103)+SUMPRODUCT((BXL!$AA$4:'BXL'!$AA$103=A16)*BXL!$AT$4:$AT$103)+SUMPRODUCT((BXL!$AB$4:'BXL'!$AB$103=A16)*BXL!$AT$4:$AT$103)</f>
        <v>0</v>
      </c>
      <c r="H16" s="115"/>
      <c r="I16" s="139">
        <f t="shared" si="3"/>
        <v>726.05</v>
      </c>
      <c r="J16" s="136">
        <f t="shared" si="4"/>
        <v>166.05</v>
      </c>
      <c r="K16" s="136">
        <f t="shared" si="4"/>
        <v>560</v>
      </c>
      <c r="L16" s="136">
        <f t="shared" si="4"/>
        <v>16.961052631578948</v>
      </c>
      <c r="M16" s="136">
        <f t="shared" si="4"/>
        <v>0</v>
      </c>
      <c r="N16" s="115"/>
      <c r="O16" s="131">
        <f>C16*ResourcesEmissions!B20</f>
        <v>1052.2169345222517</v>
      </c>
      <c r="P16" s="131">
        <f>C16*ResourcesEmissions!C20</f>
        <v>1451.1502228397806</v>
      </c>
      <c r="Q16" s="131">
        <f>C16*ResourcesEmissions!E20</f>
        <v>15539.048027302359</v>
      </c>
      <c r="R16" s="115"/>
      <c r="S16" s="131">
        <f t="shared" si="5"/>
        <v>1052.2169345222517</v>
      </c>
      <c r="T16" s="131">
        <f t="shared" si="2"/>
        <v>1451.1502228397806</v>
      </c>
      <c r="U16" s="131">
        <f t="shared" si="2"/>
        <v>15539.048027302359</v>
      </c>
      <c r="V16" s="115"/>
      <c r="W16" s="128"/>
      <c r="X16" s="128"/>
      <c r="Y16" s="128"/>
      <c r="Z16" s="115"/>
      <c r="AA16" s="126"/>
      <c r="AB16" s="126"/>
      <c r="AC16" s="126"/>
      <c r="AD16" s="115"/>
      <c r="AE16" s="126"/>
      <c r="AF16" s="126"/>
      <c r="AG16" s="126"/>
      <c r="AH16" s="115"/>
      <c r="AI16" s="128"/>
      <c r="AJ16" s="128"/>
      <c r="AK16" s="128"/>
      <c r="AL16" s="115"/>
      <c r="AM16" s="126"/>
      <c r="AN16" s="126"/>
      <c r="AO16" s="126"/>
      <c r="AP16" s="115"/>
      <c r="AQ16" s="126"/>
      <c r="AR16" s="126"/>
      <c r="AS16" s="126"/>
    </row>
    <row r="17" spans="1:45" x14ac:dyDescent="0.25">
      <c r="A17" s="94">
        <v>1962</v>
      </c>
      <c r="B17" s="139" cm="1">
        <f t="array" ref="B17">SUMPRODUCT((BXL!$C$4:'BXL'!$C$103=A17)*BXL!$X$4:$X$103)+SUMPRODUCT((BXL!$AA$4:'BXL'!$AA$103=A17)*BXL!$AQ$4:$AQ$103)+SUMPRODUCT((BXL!$AB$4:'BXL'!$AB$103=A17)*BXL!$AQ$4:$AQ$103)</f>
        <v>0</v>
      </c>
      <c r="C17" s="139" cm="1">
        <f t="array" ref="C17">SUMPRODUCT((BXL!$C$4:'BXL'!$C$103=A17)*BXL!$Y$4:$Y$103)+SUMPRODUCT((BXL!$AA$4:'BXL'!$AA$103=A17)*BXL!$AR$4:$AR$103)+SUMPRODUCT((BXL!$AB$4:'BXL'!$AB$103=A17)*BXL!$AR$4:$AR$103)</f>
        <v>0</v>
      </c>
      <c r="D17" s="136" cm="1">
        <f t="array" ref="D17">SUMPRODUCT((BXL!$C$4:'BXL'!$C$103=A17)*BXL!$O$4:$O$103)+SUMPRODUCT((BXL!$AA$4:'BXL'!$AA$103=A17)*BXL!$AM$4:$AM$103)+SUMPRODUCT((BXL!$AB$4:'BXL'!$AB$103=A17)*BXL!$AM$4:$AM$103)</f>
        <v>0</v>
      </c>
      <c r="E17" s="136" cm="1">
        <f t="array" ref="E17">SUMPRODUCT((BXL!$C$4:'BXL'!$C$103=A17)*BXL!$R$4:$R$103)+SUMPRODUCT((BXL!$AA$4:'BXL'!$AA$103=A17)*BXL!$AP$4:$AP$103)+SUMPRODUCT((BXL!$AB$4:'BXL'!$AB$103=A17)*BXL!$AP$4:$AP$103)</f>
        <v>0</v>
      </c>
      <c r="F17" s="136" cm="1">
        <f t="array" ref="F17">SUMPRODUCT((BXL!$C$4:'BXL'!$C$103=A17)*BXL!$V$4:$V$103)+SUMPRODUCT((BXL!$AA$4:'BXL'!$AA$103=A17)*BXL!$AS$4:$AS$103)+SUMPRODUCT((BXL!$AB$4:'BXL'!$AB$103=A17)*BXL!$AS$4:$AS$103)</f>
        <v>0</v>
      </c>
      <c r="G17" s="136" cm="1">
        <f t="array" ref="G17">SUMPRODUCT((BXL!$C$4:'BXL'!$C$103=A17)*BXL!$W$4:$W$103)+SUMPRODUCT((BXL!$AA$4:'BXL'!$AA$103=A17)*BXL!$AT$4:$AT$103)+SUMPRODUCT((BXL!$AB$4:'BXL'!$AB$103=A17)*BXL!$AT$4:$AT$103)</f>
        <v>0</v>
      </c>
      <c r="H17" s="115"/>
      <c r="I17" s="139">
        <f t="shared" si="3"/>
        <v>726.05</v>
      </c>
      <c r="J17" s="136">
        <f t="shared" si="4"/>
        <v>166.05</v>
      </c>
      <c r="K17" s="136">
        <f t="shared" si="4"/>
        <v>560</v>
      </c>
      <c r="L17" s="136">
        <f t="shared" si="4"/>
        <v>16.961052631578948</v>
      </c>
      <c r="M17" s="136">
        <f t="shared" si="4"/>
        <v>0</v>
      </c>
      <c r="N17" s="115"/>
      <c r="O17" s="131">
        <f>C17*ResourcesEmissions!B21</f>
        <v>0</v>
      </c>
      <c r="P17" s="131">
        <f>C17*ResourcesEmissions!C21</f>
        <v>0</v>
      </c>
      <c r="Q17" s="131">
        <f>C17*ResourcesEmissions!E21</f>
        <v>0</v>
      </c>
      <c r="R17" s="115"/>
      <c r="S17" s="131">
        <f t="shared" si="5"/>
        <v>1052.2169345222517</v>
      </c>
      <c r="T17" s="131">
        <f t="shared" si="2"/>
        <v>1451.1502228397806</v>
      </c>
      <c r="U17" s="131">
        <f t="shared" si="2"/>
        <v>15539.048027302359</v>
      </c>
      <c r="V17" s="115"/>
      <c r="W17" s="128"/>
      <c r="X17" s="128"/>
      <c r="Y17" s="128"/>
      <c r="Z17" s="115"/>
      <c r="AA17" s="126"/>
      <c r="AB17" s="126"/>
      <c r="AC17" s="126"/>
      <c r="AD17" s="115"/>
      <c r="AE17" s="126"/>
      <c r="AF17" s="126"/>
      <c r="AG17" s="126"/>
      <c r="AH17" s="115"/>
      <c r="AI17" s="128"/>
      <c r="AJ17" s="128"/>
      <c r="AK17" s="128"/>
      <c r="AL17" s="115"/>
      <c r="AM17" s="126"/>
      <c r="AN17" s="126"/>
      <c r="AO17" s="126"/>
      <c r="AP17" s="115"/>
      <c r="AQ17" s="126"/>
      <c r="AR17" s="126"/>
      <c r="AS17" s="126"/>
    </row>
    <row r="18" spans="1:45" x14ac:dyDescent="0.25">
      <c r="A18" s="94">
        <v>1963</v>
      </c>
      <c r="B18" s="139" cm="1">
        <f t="array" ref="B18">SUMPRODUCT((BXL!$C$4:'BXL'!$C$103=A18)*BXL!$X$4:$X$103)+SUMPRODUCT((BXL!$AA$4:'BXL'!$AA$103=A18)*BXL!$AQ$4:$AQ$103)+SUMPRODUCT((BXL!$AB$4:'BXL'!$AB$103=A18)*BXL!$AQ$4:$AQ$103)</f>
        <v>0</v>
      </c>
      <c r="C18" s="139" cm="1">
        <f t="array" ref="C18">SUMPRODUCT((BXL!$C$4:'BXL'!$C$103=A18)*BXL!$Y$4:$Y$103)+SUMPRODUCT((BXL!$AA$4:'BXL'!$AA$103=A18)*BXL!$AR$4:$AR$103)+SUMPRODUCT((BXL!$AB$4:'BXL'!$AB$103=A18)*BXL!$AR$4:$AR$103)</f>
        <v>0</v>
      </c>
      <c r="D18" s="136" cm="1">
        <f t="array" ref="D18">SUMPRODUCT((BXL!$C$4:'BXL'!$C$103=A18)*BXL!$O$4:$O$103)+SUMPRODUCT((BXL!$AA$4:'BXL'!$AA$103=A18)*BXL!$AM$4:$AM$103)+SUMPRODUCT((BXL!$AB$4:'BXL'!$AB$103=A18)*BXL!$AM$4:$AM$103)</f>
        <v>0</v>
      </c>
      <c r="E18" s="136" cm="1">
        <f t="array" ref="E18">SUMPRODUCT((BXL!$C$4:'BXL'!$C$103=A18)*BXL!$R$4:$R$103)+SUMPRODUCT((BXL!$AA$4:'BXL'!$AA$103=A18)*BXL!$AP$4:$AP$103)+SUMPRODUCT((BXL!$AB$4:'BXL'!$AB$103=A18)*BXL!$AP$4:$AP$103)</f>
        <v>0</v>
      </c>
      <c r="F18" s="136" cm="1">
        <f t="array" ref="F18">SUMPRODUCT((BXL!$C$4:'BXL'!$C$103=A18)*BXL!$V$4:$V$103)+SUMPRODUCT((BXL!$AA$4:'BXL'!$AA$103=A18)*BXL!$AS$4:$AS$103)+SUMPRODUCT((BXL!$AB$4:'BXL'!$AB$103=A18)*BXL!$AS$4:$AS$103)</f>
        <v>0</v>
      </c>
      <c r="G18" s="136" cm="1">
        <f t="array" ref="G18">SUMPRODUCT((BXL!$C$4:'BXL'!$C$103=A18)*BXL!$W$4:$W$103)+SUMPRODUCT((BXL!$AA$4:'BXL'!$AA$103=A18)*BXL!$AT$4:$AT$103)+SUMPRODUCT((BXL!$AB$4:'BXL'!$AB$103=A18)*BXL!$AT$4:$AT$103)</f>
        <v>0</v>
      </c>
      <c r="H18" s="115"/>
      <c r="I18" s="139">
        <f t="shared" si="3"/>
        <v>726.05</v>
      </c>
      <c r="J18" s="136">
        <f t="shared" si="4"/>
        <v>166.05</v>
      </c>
      <c r="K18" s="136">
        <f t="shared" si="4"/>
        <v>560</v>
      </c>
      <c r="L18" s="136">
        <f t="shared" si="4"/>
        <v>16.961052631578948</v>
      </c>
      <c r="M18" s="136">
        <f t="shared" si="4"/>
        <v>0</v>
      </c>
      <c r="N18" s="115"/>
      <c r="O18" s="131">
        <f>C18*ResourcesEmissions!B22</f>
        <v>0</v>
      </c>
      <c r="P18" s="131">
        <f>C18*ResourcesEmissions!C22</f>
        <v>0</v>
      </c>
      <c r="Q18" s="131">
        <f>C18*ResourcesEmissions!E22</f>
        <v>0</v>
      </c>
      <c r="R18" s="115"/>
      <c r="S18" s="131">
        <f t="shared" si="5"/>
        <v>1052.2169345222517</v>
      </c>
      <c r="T18" s="131">
        <f t="shared" si="2"/>
        <v>1451.1502228397806</v>
      </c>
      <c r="U18" s="131">
        <f t="shared" si="2"/>
        <v>15539.048027302359</v>
      </c>
      <c r="V18" s="115"/>
      <c r="W18" s="128"/>
      <c r="X18" s="128"/>
      <c r="Y18" s="128"/>
      <c r="Z18" s="115"/>
      <c r="AA18" s="126"/>
      <c r="AB18" s="126"/>
      <c r="AC18" s="126"/>
      <c r="AD18" s="115"/>
      <c r="AE18" s="126"/>
      <c r="AF18" s="126"/>
      <c r="AG18" s="126"/>
      <c r="AH18" s="115"/>
      <c r="AI18" s="128"/>
      <c r="AJ18" s="128"/>
      <c r="AK18" s="128"/>
      <c r="AL18" s="115"/>
      <c r="AM18" s="126"/>
      <c r="AN18" s="126"/>
      <c r="AO18" s="126"/>
      <c r="AP18" s="115"/>
      <c r="AQ18" s="126"/>
      <c r="AR18" s="126"/>
      <c r="AS18" s="126"/>
    </row>
    <row r="19" spans="1:45" x14ac:dyDescent="0.25">
      <c r="A19" s="94">
        <v>1964</v>
      </c>
      <c r="B19" s="139" cm="1">
        <f t="array" ref="B19">SUMPRODUCT((BXL!$C$4:'BXL'!$C$103=A19)*BXL!$X$4:$X$103)+SUMPRODUCT((BXL!$AA$4:'BXL'!$AA$103=A19)*BXL!$AQ$4:$AQ$103)+SUMPRODUCT((BXL!$AB$4:'BXL'!$AB$103=A19)*BXL!$AQ$4:$AQ$103)</f>
        <v>0</v>
      </c>
      <c r="C19" s="139" cm="1">
        <f t="array" ref="C19">SUMPRODUCT((BXL!$C$4:'BXL'!$C$103=A19)*BXL!$Y$4:$Y$103)+SUMPRODUCT((BXL!$AA$4:'BXL'!$AA$103=A19)*BXL!$AR$4:$AR$103)+SUMPRODUCT((BXL!$AB$4:'BXL'!$AB$103=A19)*BXL!$AR$4:$AR$103)</f>
        <v>0</v>
      </c>
      <c r="D19" s="136" cm="1">
        <f t="array" ref="D19">SUMPRODUCT((BXL!$C$4:'BXL'!$C$103=A19)*BXL!$O$4:$O$103)+SUMPRODUCT((BXL!$AA$4:'BXL'!$AA$103=A19)*BXL!$AM$4:$AM$103)+SUMPRODUCT((BXL!$AB$4:'BXL'!$AB$103=A19)*BXL!$AM$4:$AM$103)</f>
        <v>0</v>
      </c>
      <c r="E19" s="136" cm="1">
        <f t="array" ref="E19">SUMPRODUCT((BXL!$C$4:'BXL'!$C$103=A19)*BXL!$R$4:$R$103)+SUMPRODUCT((BXL!$AA$4:'BXL'!$AA$103=A19)*BXL!$AP$4:$AP$103)+SUMPRODUCT((BXL!$AB$4:'BXL'!$AB$103=A19)*BXL!$AP$4:$AP$103)</f>
        <v>0</v>
      </c>
      <c r="F19" s="136" cm="1">
        <f t="array" ref="F19">SUMPRODUCT((BXL!$C$4:'BXL'!$C$103=A19)*BXL!$V$4:$V$103)+SUMPRODUCT((BXL!$AA$4:'BXL'!$AA$103=A19)*BXL!$AS$4:$AS$103)+SUMPRODUCT((BXL!$AB$4:'BXL'!$AB$103=A19)*BXL!$AS$4:$AS$103)</f>
        <v>0</v>
      </c>
      <c r="G19" s="136" cm="1">
        <f t="array" ref="G19">SUMPRODUCT((BXL!$C$4:'BXL'!$C$103=A19)*BXL!$W$4:$W$103)+SUMPRODUCT((BXL!$AA$4:'BXL'!$AA$103=A19)*BXL!$AT$4:$AT$103)+SUMPRODUCT((BXL!$AB$4:'BXL'!$AB$103=A19)*BXL!$AT$4:$AT$103)</f>
        <v>0</v>
      </c>
      <c r="H19" s="115"/>
      <c r="I19" s="139">
        <f t="shared" si="3"/>
        <v>726.05</v>
      </c>
      <c r="J19" s="136">
        <f t="shared" si="4"/>
        <v>166.05</v>
      </c>
      <c r="K19" s="136">
        <f t="shared" si="4"/>
        <v>560</v>
      </c>
      <c r="L19" s="136">
        <f t="shared" si="4"/>
        <v>16.961052631578948</v>
      </c>
      <c r="M19" s="136">
        <f t="shared" si="4"/>
        <v>0</v>
      </c>
      <c r="N19" s="115"/>
      <c r="O19" s="131">
        <f>C19*ResourcesEmissions!B23</f>
        <v>0</v>
      </c>
      <c r="P19" s="131">
        <f>C19*ResourcesEmissions!C23</f>
        <v>0</v>
      </c>
      <c r="Q19" s="131">
        <f>C19*ResourcesEmissions!E23</f>
        <v>0</v>
      </c>
      <c r="R19" s="115"/>
      <c r="S19" s="131">
        <f t="shared" si="5"/>
        <v>1052.2169345222517</v>
      </c>
      <c r="T19" s="131">
        <f t="shared" si="2"/>
        <v>1451.1502228397806</v>
      </c>
      <c r="U19" s="131">
        <f t="shared" si="2"/>
        <v>15539.048027302359</v>
      </c>
      <c r="V19" s="115"/>
      <c r="W19" s="128"/>
      <c r="X19" s="128"/>
      <c r="Y19" s="128"/>
      <c r="Z19" s="115"/>
      <c r="AA19" s="126"/>
      <c r="AB19" s="126"/>
      <c r="AC19" s="126"/>
      <c r="AD19" s="115"/>
      <c r="AE19" s="126"/>
      <c r="AF19" s="126"/>
      <c r="AG19" s="126"/>
      <c r="AH19" s="115"/>
      <c r="AI19" s="128"/>
      <c r="AJ19" s="128"/>
      <c r="AK19" s="128"/>
      <c r="AL19" s="115"/>
      <c r="AM19" s="126"/>
      <c r="AN19" s="126"/>
      <c r="AO19" s="126"/>
      <c r="AP19" s="115"/>
      <c r="AQ19" s="126"/>
      <c r="AR19" s="126"/>
      <c r="AS19" s="126"/>
    </row>
    <row r="20" spans="1:45" x14ac:dyDescent="0.25">
      <c r="A20" s="94">
        <v>1965</v>
      </c>
      <c r="B20" s="139" cm="1">
        <f t="array" ref="B20">SUMPRODUCT((BXL!$C$4:'BXL'!$C$103=A20)*BXL!$X$4:$X$103)+SUMPRODUCT((BXL!$AA$4:'BXL'!$AA$103=A20)*BXL!$AQ$4:$AQ$103)+SUMPRODUCT((BXL!$AB$4:'BXL'!$AB$103=A20)*BXL!$AQ$4:$AQ$103)</f>
        <v>12679.2</v>
      </c>
      <c r="C20" s="139" cm="1">
        <f t="array" ref="C20">SUMPRODUCT((BXL!$C$4:'BXL'!$C$103=A20)*BXL!$Y$4:$Y$103)+SUMPRODUCT((BXL!$AA$4:'BXL'!$AA$103=A20)*BXL!$AR$4:$AR$103)+SUMPRODUCT((BXL!$AB$4:'BXL'!$AB$103=A20)*BXL!$AR$4:$AR$103)</f>
        <v>304.30079999999998</v>
      </c>
      <c r="D20" s="136" cm="1">
        <f t="array" ref="D20">SUMPRODUCT((BXL!$C$4:'BXL'!$C$103=A20)*BXL!$O$4:$O$103)+SUMPRODUCT((BXL!$AA$4:'BXL'!$AA$103=A20)*BXL!$AM$4:$AM$103)+SUMPRODUCT((BXL!$AB$4:'BXL'!$AB$103=A20)*BXL!$AM$4:$AM$103)</f>
        <v>19.018800000000002</v>
      </c>
      <c r="E20" s="136" cm="1">
        <f t="array" ref="E20">SUMPRODUCT((BXL!$C$4:'BXL'!$C$103=A20)*BXL!$R$4:$R$103)+SUMPRODUCT((BXL!$AA$4:'BXL'!$AA$103=A20)*BXL!$AP$4:$AP$103)+SUMPRODUCT((BXL!$AB$4:'BXL'!$AB$103=A20)*BXL!$AP$4:$AP$103)</f>
        <v>285.28199999999998</v>
      </c>
      <c r="F20" s="136" cm="1">
        <f t="array" ref="F20">SUMPRODUCT((BXL!$C$4:'BXL'!$C$103=A20)*BXL!$V$4:$V$103)+SUMPRODUCT((BXL!$AA$4:'BXL'!$AA$103=A20)*BXL!$AS$4:$AS$103)+SUMPRODUCT((BXL!$AB$4:'BXL'!$AB$103=A20)*BXL!$AS$4:$AS$103)</f>
        <v>20.286720000000003</v>
      </c>
      <c r="G20" s="136" cm="1">
        <f t="array" ref="G20">SUMPRODUCT((BXL!$C$4:'BXL'!$C$103=A20)*BXL!$W$4:$W$103)+SUMPRODUCT((BXL!$AA$4:'BXL'!$AA$103=A20)*BXL!$AT$4:$AT$103)+SUMPRODUCT((BXL!$AB$4:'BXL'!$AB$103=A20)*BXL!$AT$4:$AT$103)</f>
        <v>15.63768</v>
      </c>
      <c r="H20" s="115"/>
      <c r="I20" s="139">
        <f t="shared" si="3"/>
        <v>1030.3507999999999</v>
      </c>
      <c r="J20" s="136">
        <f t="shared" si="4"/>
        <v>185.06880000000001</v>
      </c>
      <c r="K20" s="136">
        <f t="shared" si="4"/>
        <v>845.28199999999993</v>
      </c>
      <c r="L20" s="136">
        <f t="shared" si="4"/>
        <v>37.247772631578954</v>
      </c>
      <c r="M20" s="136">
        <f t="shared" si="4"/>
        <v>15.63768</v>
      </c>
      <c r="N20" s="115"/>
      <c r="O20" s="131">
        <f>C20*ResourcesEmissions!B24</f>
        <v>429.55239953663965</v>
      </c>
      <c r="P20" s="131">
        <f>C20*ResourcesEmissions!C24</f>
        <v>552.30595199999993</v>
      </c>
      <c r="Q20" s="131">
        <f>C20*ResourcesEmissions!E24</f>
        <v>5970.3816960000004</v>
      </c>
      <c r="R20" s="115"/>
      <c r="S20" s="131">
        <f t="shared" si="5"/>
        <v>1481.7693340588912</v>
      </c>
      <c r="T20" s="131">
        <f t="shared" si="2"/>
        <v>2003.4561748397805</v>
      </c>
      <c r="U20" s="131">
        <f t="shared" si="2"/>
        <v>21509.429723302361</v>
      </c>
      <c r="V20" s="115"/>
      <c r="W20" s="128"/>
      <c r="X20" s="128"/>
      <c r="Y20" s="128"/>
      <c r="Z20" s="115"/>
      <c r="AA20" s="126"/>
      <c r="AB20" s="126"/>
      <c r="AC20" s="126"/>
      <c r="AD20" s="115"/>
      <c r="AE20" s="126"/>
      <c r="AF20" s="126"/>
      <c r="AG20" s="126"/>
      <c r="AH20" s="115"/>
      <c r="AI20" s="128"/>
      <c r="AJ20" s="128"/>
      <c r="AK20" s="128"/>
      <c r="AL20" s="115"/>
      <c r="AM20" s="126"/>
      <c r="AN20" s="126"/>
      <c r="AO20" s="126"/>
      <c r="AP20" s="115"/>
      <c r="AQ20" s="126"/>
      <c r="AR20" s="126"/>
      <c r="AS20" s="126"/>
    </row>
    <row r="21" spans="1:45" x14ac:dyDescent="0.25">
      <c r="A21" s="94">
        <v>1966</v>
      </c>
      <c r="B21" s="139" cm="1">
        <f t="array" ref="B21">SUMPRODUCT((BXL!$C$4:'BXL'!$C$103=A21)*BXL!$X$4:$X$103)+SUMPRODUCT((BXL!$AA$4:'BXL'!$AA$103=A21)*BXL!$AQ$4:$AQ$103)+SUMPRODUCT((BXL!$AB$4:'BXL'!$AB$103=A21)*BXL!$AQ$4:$AQ$103)</f>
        <v>0</v>
      </c>
      <c r="C21" s="139" cm="1">
        <f t="array" ref="C21">SUMPRODUCT((BXL!$C$4:'BXL'!$C$103=A21)*BXL!$Y$4:$Y$103)+SUMPRODUCT((BXL!$AA$4:'BXL'!$AA$103=A21)*BXL!$AR$4:$AR$103)+SUMPRODUCT((BXL!$AB$4:'BXL'!$AB$103=A21)*BXL!$AR$4:$AR$103)</f>
        <v>0</v>
      </c>
      <c r="D21" s="136" cm="1">
        <f t="array" ref="D21">SUMPRODUCT((BXL!$C$4:'BXL'!$C$103=A21)*BXL!$O$4:$O$103)+SUMPRODUCT((BXL!$AA$4:'BXL'!$AA$103=A21)*BXL!$AM$4:$AM$103)+SUMPRODUCT((BXL!$AB$4:'BXL'!$AB$103=A21)*BXL!$AM$4:$AM$103)</f>
        <v>0</v>
      </c>
      <c r="E21" s="136" cm="1">
        <f t="array" ref="E21">SUMPRODUCT((BXL!$C$4:'BXL'!$C$103=A21)*BXL!$R$4:$R$103)+SUMPRODUCT((BXL!$AA$4:'BXL'!$AA$103=A21)*BXL!$AP$4:$AP$103)+SUMPRODUCT((BXL!$AB$4:'BXL'!$AB$103=A21)*BXL!$AP$4:$AP$103)</f>
        <v>0</v>
      </c>
      <c r="F21" s="136" cm="1">
        <f t="array" ref="F21">SUMPRODUCT((BXL!$C$4:'BXL'!$C$103=A21)*BXL!$V$4:$V$103)+SUMPRODUCT((BXL!$AA$4:'BXL'!$AA$103=A21)*BXL!$AS$4:$AS$103)+SUMPRODUCT((BXL!$AB$4:'BXL'!$AB$103=A21)*BXL!$AS$4:$AS$103)</f>
        <v>0</v>
      </c>
      <c r="G21" s="136" cm="1">
        <f t="array" ref="G21">SUMPRODUCT((BXL!$C$4:'BXL'!$C$103=A21)*BXL!$W$4:$W$103)+SUMPRODUCT((BXL!$AA$4:'BXL'!$AA$103=A21)*BXL!$AT$4:$AT$103)+SUMPRODUCT((BXL!$AB$4:'BXL'!$AB$103=A21)*BXL!$AT$4:$AT$103)</f>
        <v>0</v>
      </c>
      <c r="H21" s="115"/>
      <c r="I21" s="139">
        <f t="shared" si="3"/>
        <v>1030.3507999999999</v>
      </c>
      <c r="J21" s="136">
        <f t="shared" si="4"/>
        <v>185.06880000000001</v>
      </c>
      <c r="K21" s="136">
        <f t="shared" si="4"/>
        <v>845.28199999999993</v>
      </c>
      <c r="L21" s="136">
        <f t="shared" si="4"/>
        <v>37.247772631578954</v>
      </c>
      <c r="M21" s="136">
        <f t="shared" si="4"/>
        <v>15.63768</v>
      </c>
      <c r="N21" s="115"/>
      <c r="O21" s="131">
        <f>C21*ResourcesEmissions!B25</f>
        <v>0</v>
      </c>
      <c r="P21" s="131">
        <f>C21*ResourcesEmissions!C25</f>
        <v>0</v>
      </c>
      <c r="Q21" s="131">
        <f>C21*ResourcesEmissions!E25</f>
        <v>0</v>
      </c>
      <c r="R21" s="115"/>
      <c r="S21" s="131">
        <f t="shared" si="5"/>
        <v>1481.7693340588912</v>
      </c>
      <c r="T21" s="131">
        <f t="shared" si="2"/>
        <v>2003.4561748397805</v>
      </c>
      <c r="U21" s="131">
        <f t="shared" si="2"/>
        <v>21509.429723302361</v>
      </c>
      <c r="V21" s="115"/>
      <c r="W21" s="128"/>
      <c r="X21" s="128"/>
      <c r="Y21" s="128"/>
      <c r="Z21" s="115"/>
      <c r="AA21" s="126"/>
      <c r="AB21" s="126"/>
      <c r="AC21" s="126"/>
      <c r="AD21" s="115"/>
      <c r="AE21" s="126"/>
      <c r="AF21" s="126"/>
      <c r="AG21" s="126"/>
      <c r="AH21" s="115"/>
      <c r="AI21" s="128"/>
      <c r="AJ21" s="128"/>
      <c r="AK21" s="128"/>
      <c r="AL21" s="115"/>
      <c r="AM21" s="126"/>
      <c r="AN21" s="126"/>
      <c r="AO21" s="126"/>
      <c r="AP21" s="115"/>
      <c r="AQ21" s="126"/>
      <c r="AR21" s="126"/>
      <c r="AS21" s="126"/>
    </row>
    <row r="22" spans="1:45" x14ac:dyDescent="0.25">
      <c r="A22" s="94">
        <v>1967</v>
      </c>
      <c r="B22" s="139" cm="1">
        <f t="array" ref="B22">SUMPRODUCT((BXL!$C$4:'BXL'!$C$103=A22)*BXL!$X$4:$X$103)+SUMPRODUCT((BXL!$AA$4:'BXL'!$AA$103=A22)*BXL!$AQ$4:$AQ$103)+SUMPRODUCT((BXL!$AB$4:'BXL'!$AB$103=A22)*BXL!$AQ$4:$AQ$103)</f>
        <v>0</v>
      </c>
      <c r="C22" s="139" cm="1">
        <f t="array" ref="C22">SUMPRODUCT((BXL!$C$4:'BXL'!$C$103=A22)*BXL!$Y$4:$Y$103)+SUMPRODUCT((BXL!$AA$4:'BXL'!$AA$103=A22)*BXL!$AR$4:$AR$103)+SUMPRODUCT((BXL!$AB$4:'BXL'!$AB$103=A22)*BXL!$AR$4:$AR$103)</f>
        <v>0</v>
      </c>
      <c r="D22" s="136" cm="1">
        <f t="array" ref="D22">SUMPRODUCT((BXL!$C$4:'BXL'!$C$103=A22)*BXL!$O$4:$O$103)+SUMPRODUCT((BXL!$AA$4:'BXL'!$AA$103=A22)*BXL!$AM$4:$AM$103)+SUMPRODUCT((BXL!$AB$4:'BXL'!$AB$103=A22)*BXL!$AM$4:$AM$103)</f>
        <v>0</v>
      </c>
      <c r="E22" s="136" cm="1">
        <f t="array" ref="E22">SUMPRODUCT((BXL!$C$4:'BXL'!$C$103=A22)*BXL!$R$4:$R$103)+SUMPRODUCT((BXL!$AA$4:'BXL'!$AA$103=A22)*BXL!$AP$4:$AP$103)+SUMPRODUCT((BXL!$AB$4:'BXL'!$AB$103=A22)*BXL!$AP$4:$AP$103)</f>
        <v>0</v>
      </c>
      <c r="F22" s="136" cm="1">
        <f t="array" ref="F22">SUMPRODUCT((BXL!$C$4:'BXL'!$C$103=A22)*BXL!$V$4:$V$103)+SUMPRODUCT((BXL!$AA$4:'BXL'!$AA$103=A22)*BXL!$AS$4:$AS$103)+SUMPRODUCT((BXL!$AB$4:'BXL'!$AB$103=A22)*BXL!$AS$4:$AS$103)</f>
        <v>0</v>
      </c>
      <c r="G22" s="136" cm="1">
        <f t="array" ref="G22">SUMPRODUCT((BXL!$C$4:'BXL'!$C$103=A22)*BXL!$W$4:$W$103)+SUMPRODUCT((BXL!$AA$4:'BXL'!$AA$103=A22)*BXL!$AT$4:$AT$103)+SUMPRODUCT((BXL!$AB$4:'BXL'!$AB$103=A22)*BXL!$AT$4:$AT$103)</f>
        <v>0</v>
      </c>
      <c r="H22" s="115"/>
      <c r="I22" s="139">
        <f t="shared" si="3"/>
        <v>1030.3507999999999</v>
      </c>
      <c r="J22" s="136">
        <f t="shared" si="4"/>
        <v>185.06880000000001</v>
      </c>
      <c r="K22" s="136">
        <f t="shared" si="4"/>
        <v>845.28199999999993</v>
      </c>
      <c r="L22" s="136">
        <f t="shared" si="4"/>
        <v>37.247772631578954</v>
      </c>
      <c r="M22" s="136">
        <f t="shared" si="4"/>
        <v>15.63768</v>
      </c>
      <c r="N22" s="115"/>
      <c r="O22" s="131">
        <f>C22*ResourcesEmissions!B26</f>
        <v>0</v>
      </c>
      <c r="P22" s="131">
        <f>C22*ResourcesEmissions!C26</f>
        <v>0</v>
      </c>
      <c r="Q22" s="131">
        <f>C22*ResourcesEmissions!E26</f>
        <v>0</v>
      </c>
      <c r="R22" s="115"/>
      <c r="S22" s="131">
        <f t="shared" si="5"/>
        <v>1481.7693340588912</v>
      </c>
      <c r="T22" s="131">
        <f t="shared" si="5"/>
        <v>2003.4561748397805</v>
      </c>
      <c r="U22" s="131">
        <f t="shared" si="5"/>
        <v>21509.429723302361</v>
      </c>
      <c r="V22" s="115"/>
      <c r="W22" s="128"/>
      <c r="X22" s="128"/>
      <c r="Y22" s="128"/>
      <c r="Z22" s="115"/>
      <c r="AA22" s="126"/>
      <c r="AB22" s="126"/>
      <c r="AC22" s="126"/>
      <c r="AD22" s="115"/>
      <c r="AE22" s="126"/>
      <c r="AF22" s="126"/>
      <c r="AG22" s="126"/>
      <c r="AH22" s="115"/>
      <c r="AI22" s="128"/>
      <c r="AJ22" s="128"/>
      <c r="AK22" s="128"/>
      <c r="AL22" s="115"/>
      <c r="AM22" s="126"/>
      <c r="AN22" s="126"/>
      <c r="AO22" s="126"/>
      <c r="AP22" s="115"/>
      <c r="AQ22" s="126"/>
      <c r="AR22" s="126"/>
      <c r="AS22" s="126"/>
    </row>
    <row r="23" spans="1:45" x14ac:dyDescent="0.25">
      <c r="A23" s="94">
        <v>1968</v>
      </c>
      <c r="B23" s="139" cm="1">
        <f t="array" ref="B23">SUMPRODUCT((BXL!$C$4:'BXL'!$C$103=A23)*BXL!$X$4:$X$103)+SUMPRODUCT((BXL!$AA$4:'BXL'!$AA$103=A23)*BXL!$AQ$4:$AQ$103)+SUMPRODUCT((BXL!$AB$4:'BXL'!$AB$103=A23)*BXL!$AQ$4:$AQ$103)</f>
        <v>0</v>
      </c>
      <c r="C23" s="139" cm="1">
        <f t="array" ref="C23">SUMPRODUCT((BXL!$C$4:'BXL'!$C$103=A23)*BXL!$Y$4:$Y$103)+SUMPRODUCT((BXL!$AA$4:'BXL'!$AA$103=A23)*BXL!$AR$4:$AR$103)+SUMPRODUCT((BXL!$AB$4:'BXL'!$AB$103=A23)*BXL!$AR$4:$AR$103)</f>
        <v>0</v>
      </c>
      <c r="D23" s="136" cm="1">
        <f t="array" ref="D23">SUMPRODUCT((BXL!$C$4:'BXL'!$C$103=A23)*BXL!$O$4:$O$103)+SUMPRODUCT((BXL!$AA$4:'BXL'!$AA$103=A23)*BXL!$AM$4:$AM$103)+SUMPRODUCT((BXL!$AB$4:'BXL'!$AB$103=A23)*BXL!$AM$4:$AM$103)</f>
        <v>0</v>
      </c>
      <c r="E23" s="136" cm="1">
        <f t="array" ref="E23">SUMPRODUCT((BXL!$C$4:'BXL'!$C$103=A23)*BXL!$R$4:$R$103)+SUMPRODUCT((BXL!$AA$4:'BXL'!$AA$103=A23)*BXL!$AP$4:$AP$103)+SUMPRODUCT((BXL!$AB$4:'BXL'!$AB$103=A23)*BXL!$AP$4:$AP$103)</f>
        <v>0</v>
      </c>
      <c r="F23" s="136" cm="1">
        <f t="array" ref="F23">SUMPRODUCT((BXL!$C$4:'BXL'!$C$103=A23)*BXL!$V$4:$V$103)+SUMPRODUCT((BXL!$AA$4:'BXL'!$AA$103=A23)*BXL!$AS$4:$AS$103)+SUMPRODUCT((BXL!$AB$4:'BXL'!$AB$103=A23)*BXL!$AS$4:$AS$103)</f>
        <v>0</v>
      </c>
      <c r="G23" s="136" cm="1">
        <f t="array" ref="G23">SUMPRODUCT((BXL!$C$4:'BXL'!$C$103=A23)*BXL!$W$4:$W$103)+SUMPRODUCT((BXL!$AA$4:'BXL'!$AA$103=A23)*BXL!$AT$4:$AT$103)+SUMPRODUCT((BXL!$AB$4:'BXL'!$AB$103=A23)*BXL!$AT$4:$AT$103)</f>
        <v>0</v>
      </c>
      <c r="H23" s="115"/>
      <c r="I23" s="139">
        <f t="shared" si="3"/>
        <v>1030.3507999999999</v>
      </c>
      <c r="J23" s="136">
        <f t="shared" ref="J23:M38" si="6">D23+J22</f>
        <v>185.06880000000001</v>
      </c>
      <c r="K23" s="136">
        <f t="shared" si="6"/>
        <v>845.28199999999993</v>
      </c>
      <c r="L23" s="136">
        <f t="shared" si="6"/>
        <v>37.247772631578954</v>
      </c>
      <c r="M23" s="136">
        <f t="shared" si="6"/>
        <v>15.63768</v>
      </c>
      <c r="N23" s="115"/>
      <c r="O23" s="131">
        <f>C23*ResourcesEmissions!B27</f>
        <v>0</v>
      </c>
      <c r="P23" s="131">
        <f>C23*ResourcesEmissions!C27</f>
        <v>0</v>
      </c>
      <c r="Q23" s="131">
        <f>C23*ResourcesEmissions!E27</f>
        <v>0</v>
      </c>
      <c r="R23" s="115"/>
      <c r="S23" s="131">
        <f t="shared" ref="S23:U38" si="7">O23+S22</f>
        <v>1481.7693340588912</v>
      </c>
      <c r="T23" s="131">
        <f t="shared" si="7"/>
        <v>2003.4561748397805</v>
      </c>
      <c r="U23" s="131">
        <f t="shared" si="7"/>
        <v>21509.429723302361</v>
      </c>
      <c r="V23" s="115"/>
      <c r="W23" s="128"/>
      <c r="X23" s="128"/>
      <c r="Y23" s="128"/>
      <c r="Z23" s="115"/>
      <c r="AA23" s="126"/>
      <c r="AB23" s="126"/>
      <c r="AC23" s="126"/>
      <c r="AD23" s="115"/>
      <c r="AE23" s="126"/>
      <c r="AF23" s="126"/>
      <c r="AG23" s="126"/>
      <c r="AH23" s="115"/>
      <c r="AI23" s="128"/>
      <c r="AJ23" s="128"/>
      <c r="AK23" s="128"/>
      <c r="AL23" s="115"/>
      <c r="AM23" s="126"/>
      <c r="AN23" s="126"/>
      <c r="AO23" s="126"/>
      <c r="AP23" s="115"/>
      <c r="AQ23" s="126"/>
      <c r="AR23" s="126"/>
      <c r="AS23" s="126"/>
    </row>
    <row r="24" spans="1:45" x14ac:dyDescent="0.25">
      <c r="A24" s="94">
        <v>1969</v>
      </c>
      <c r="B24" s="139" cm="1">
        <f t="array" ref="B24">SUMPRODUCT((BXL!$C$4:'BXL'!$C$103=A24)*BXL!$X$4:$X$103)+SUMPRODUCT((BXL!$AA$4:'BXL'!$AA$103=A24)*BXL!$AQ$4:$AQ$103)+SUMPRODUCT((BXL!$AB$4:'BXL'!$AB$103=A24)*BXL!$AQ$4:$AQ$103)</f>
        <v>0</v>
      </c>
      <c r="C24" s="139" cm="1">
        <f t="array" ref="C24">SUMPRODUCT((BXL!$C$4:'BXL'!$C$103=A24)*BXL!$Y$4:$Y$103)+SUMPRODUCT((BXL!$AA$4:'BXL'!$AA$103=A24)*BXL!$AR$4:$AR$103)+SUMPRODUCT((BXL!$AB$4:'BXL'!$AB$103=A24)*BXL!$AR$4:$AR$103)</f>
        <v>0</v>
      </c>
      <c r="D24" s="136" cm="1">
        <f t="array" ref="D24">SUMPRODUCT((BXL!$C$4:'BXL'!$C$103=A24)*BXL!$O$4:$O$103)+SUMPRODUCT((BXL!$AA$4:'BXL'!$AA$103=A24)*BXL!$AM$4:$AM$103)+SUMPRODUCT((BXL!$AB$4:'BXL'!$AB$103=A24)*BXL!$AM$4:$AM$103)</f>
        <v>0</v>
      </c>
      <c r="E24" s="136" cm="1">
        <f t="array" ref="E24">SUMPRODUCT((BXL!$C$4:'BXL'!$C$103=A24)*BXL!$R$4:$R$103)+SUMPRODUCT((BXL!$AA$4:'BXL'!$AA$103=A24)*BXL!$AP$4:$AP$103)+SUMPRODUCT((BXL!$AB$4:'BXL'!$AB$103=A24)*BXL!$AP$4:$AP$103)</f>
        <v>0</v>
      </c>
      <c r="F24" s="136" cm="1">
        <f t="array" ref="F24">SUMPRODUCT((BXL!$C$4:'BXL'!$C$103=A24)*BXL!$V$4:$V$103)+SUMPRODUCT((BXL!$AA$4:'BXL'!$AA$103=A24)*BXL!$AS$4:$AS$103)+SUMPRODUCT((BXL!$AB$4:'BXL'!$AB$103=A24)*BXL!$AS$4:$AS$103)</f>
        <v>0</v>
      </c>
      <c r="G24" s="136" cm="1">
        <f t="array" ref="G24">SUMPRODUCT((BXL!$C$4:'BXL'!$C$103=A24)*BXL!$W$4:$W$103)+SUMPRODUCT((BXL!$AA$4:'BXL'!$AA$103=A24)*BXL!$AT$4:$AT$103)+SUMPRODUCT((BXL!$AB$4:'BXL'!$AB$103=A24)*BXL!$AT$4:$AT$103)</f>
        <v>0</v>
      </c>
      <c r="H24" s="115"/>
      <c r="I24" s="139">
        <f t="shared" si="3"/>
        <v>1030.3507999999999</v>
      </c>
      <c r="J24" s="136">
        <f t="shared" si="6"/>
        <v>185.06880000000001</v>
      </c>
      <c r="K24" s="136">
        <f t="shared" si="6"/>
        <v>845.28199999999993</v>
      </c>
      <c r="L24" s="136">
        <f t="shared" si="6"/>
        <v>37.247772631578954</v>
      </c>
      <c r="M24" s="136">
        <f t="shared" si="6"/>
        <v>15.63768</v>
      </c>
      <c r="N24" s="115"/>
      <c r="O24" s="131">
        <f>C24*ResourcesEmissions!B28</f>
        <v>0</v>
      </c>
      <c r="P24" s="131">
        <f>C24*ResourcesEmissions!C28</f>
        <v>0</v>
      </c>
      <c r="Q24" s="131">
        <f>C24*ResourcesEmissions!E28</f>
        <v>0</v>
      </c>
      <c r="R24" s="115"/>
      <c r="S24" s="131">
        <f t="shared" si="7"/>
        <v>1481.7693340588912</v>
      </c>
      <c r="T24" s="131">
        <f t="shared" si="7"/>
        <v>2003.4561748397805</v>
      </c>
      <c r="U24" s="131">
        <f t="shared" si="7"/>
        <v>21509.429723302361</v>
      </c>
      <c r="V24" s="115"/>
      <c r="W24" s="128"/>
      <c r="X24" s="128"/>
      <c r="Y24" s="128"/>
      <c r="Z24" s="115"/>
      <c r="AA24" s="126"/>
      <c r="AB24" s="126"/>
      <c r="AC24" s="126"/>
      <c r="AD24" s="115"/>
      <c r="AE24" s="126"/>
      <c r="AF24" s="126"/>
      <c r="AG24" s="126"/>
      <c r="AH24" s="115"/>
      <c r="AI24" s="128"/>
      <c r="AJ24" s="128"/>
      <c r="AK24" s="128"/>
      <c r="AL24" s="115"/>
      <c r="AM24" s="126"/>
      <c r="AN24" s="126"/>
      <c r="AO24" s="126"/>
      <c r="AP24" s="115"/>
      <c r="AQ24" s="126"/>
      <c r="AR24" s="126"/>
      <c r="AS24" s="126"/>
    </row>
    <row r="25" spans="1:45" x14ac:dyDescent="0.25">
      <c r="A25" s="94">
        <v>1970</v>
      </c>
      <c r="B25" s="139" cm="1">
        <f t="array" ref="B25">SUMPRODUCT((BXL!$C$4:'BXL'!$C$103=A25)*BXL!$X$4:$X$103)+SUMPRODUCT((BXL!$AA$4:'BXL'!$AA$103=A25)*BXL!$AQ$4:$AQ$103)+SUMPRODUCT((BXL!$AB$4:'BXL'!$AB$103=A25)*BXL!$AQ$4:$AQ$103)</f>
        <v>0</v>
      </c>
      <c r="C25" s="139" cm="1">
        <f t="array" ref="C25">SUMPRODUCT((BXL!$C$4:'BXL'!$C$103=A25)*BXL!$Y$4:$Y$103)+SUMPRODUCT((BXL!$AA$4:'BXL'!$AA$103=A25)*BXL!$AR$4:$AR$103)+SUMPRODUCT((BXL!$AB$4:'BXL'!$AB$103=A25)*BXL!$AR$4:$AR$103)</f>
        <v>0</v>
      </c>
      <c r="D25" s="136" cm="1">
        <f t="array" ref="D25">SUMPRODUCT((BXL!$C$4:'BXL'!$C$103=A25)*BXL!$O$4:$O$103)+SUMPRODUCT((BXL!$AA$4:'BXL'!$AA$103=A25)*BXL!$AM$4:$AM$103)+SUMPRODUCT((BXL!$AB$4:'BXL'!$AB$103=A25)*BXL!$AM$4:$AM$103)</f>
        <v>0</v>
      </c>
      <c r="E25" s="136" cm="1">
        <f t="array" ref="E25">SUMPRODUCT((BXL!$C$4:'BXL'!$C$103=A25)*BXL!$R$4:$R$103)+SUMPRODUCT((BXL!$AA$4:'BXL'!$AA$103=A25)*BXL!$AP$4:$AP$103)+SUMPRODUCT((BXL!$AB$4:'BXL'!$AB$103=A25)*BXL!$AP$4:$AP$103)</f>
        <v>0</v>
      </c>
      <c r="F25" s="136" cm="1">
        <f t="array" ref="F25">SUMPRODUCT((BXL!$C$4:'BXL'!$C$103=A25)*BXL!$V$4:$V$103)+SUMPRODUCT((BXL!$AA$4:'BXL'!$AA$103=A25)*BXL!$AS$4:$AS$103)+SUMPRODUCT((BXL!$AB$4:'BXL'!$AB$103=A25)*BXL!$AS$4:$AS$103)</f>
        <v>0</v>
      </c>
      <c r="G25" s="136" cm="1">
        <f t="array" ref="G25">SUMPRODUCT((BXL!$C$4:'BXL'!$C$103=A25)*BXL!$W$4:$W$103)+SUMPRODUCT((BXL!$AA$4:'BXL'!$AA$103=A25)*BXL!$AT$4:$AT$103)+SUMPRODUCT((BXL!$AB$4:'BXL'!$AB$103=A25)*BXL!$AT$4:$AT$103)</f>
        <v>0</v>
      </c>
      <c r="H25" s="115"/>
      <c r="I25" s="139">
        <f t="shared" si="3"/>
        <v>1030.3507999999999</v>
      </c>
      <c r="J25" s="136">
        <f t="shared" si="6"/>
        <v>185.06880000000001</v>
      </c>
      <c r="K25" s="136">
        <f t="shared" si="6"/>
        <v>845.28199999999993</v>
      </c>
      <c r="L25" s="136">
        <f t="shared" si="6"/>
        <v>37.247772631578954</v>
      </c>
      <c r="M25" s="136">
        <f t="shared" si="6"/>
        <v>15.63768</v>
      </c>
      <c r="N25" s="115"/>
      <c r="O25" s="131">
        <f>C25*ResourcesEmissions!B29</f>
        <v>0</v>
      </c>
      <c r="P25" s="131">
        <f>C25*ResourcesEmissions!C29</f>
        <v>0</v>
      </c>
      <c r="Q25" s="131">
        <f>C25*ResourcesEmissions!E29</f>
        <v>0</v>
      </c>
      <c r="R25" s="115"/>
      <c r="S25" s="131">
        <f t="shared" si="7"/>
        <v>1481.7693340588912</v>
      </c>
      <c r="T25" s="131">
        <f t="shared" si="7"/>
        <v>2003.4561748397805</v>
      </c>
      <c r="U25" s="131">
        <f t="shared" si="7"/>
        <v>21509.429723302361</v>
      </c>
      <c r="V25" s="115"/>
      <c r="W25" s="128"/>
      <c r="X25" s="128"/>
      <c r="Y25" s="128"/>
      <c r="Z25" s="115"/>
      <c r="AA25" s="126"/>
      <c r="AB25" s="126"/>
      <c r="AC25" s="126"/>
      <c r="AD25" s="115"/>
      <c r="AE25" s="126"/>
      <c r="AF25" s="126"/>
      <c r="AG25" s="126"/>
      <c r="AH25" s="115"/>
      <c r="AI25" s="128"/>
      <c r="AJ25" s="128"/>
      <c r="AK25" s="128"/>
      <c r="AL25" s="115"/>
      <c r="AM25" s="126"/>
      <c r="AN25" s="126"/>
      <c r="AO25" s="126"/>
      <c r="AP25" s="115"/>
      <c r="AQ25" s="126"/>
      <c r="AR25" s="126"/>
      <c r="AS25" s="126"/>
    </row>
    <row r="26" spans="1:45" x14ac:dyDescent="0.25">
      <c r="A26" s="94">
        <v>1971</v>
      </c>
      <c r="B26" s="139" cm="1">
        <f t="array" ref="B26">SUMPRODUCT((BXL!$C$4:'BXL'!$C$103=A26)*BXL!$X$4:$X$103)+SUMPRODUCT((BXL!$AA$4:'BXL'!$AA$103=A26)*BXL!$AQ$4:$AQ$103)+SUMPRODUCT((BXL!$AB$4:'BXL'!$AB$103=A26)*BXL!$AQ$4:$AQ$103)</f>
        <v>0</v>
      </c>
      <c r="C26" s="139" cm="1">
        <f t="array" ref="C26">SUMPRODUCT((BXL!$C$4:'BXL'!$C$103=A26)*BXL!$Y$4:$Y$103)+SUMPRODUCT((BXL!$AA$4:'BXL'!$AA$103=A26)*BXL!$AR$4:$AR$103)+SUMPRODUCT((BXL!$AB$4:'BXL'!$AB$103=A26)*BXL!$AR$4:$AR$103)</f>
        <v>0</v>
      </c>
      <c r="D26" s="136" cm="1">
        <f t="array" ref="D26">SUMPRODUCT((BXL!$C$4:'BXL'!$C$103=A26)*BXL!$O$4:$O$103)+SUMPRODUCT((BXL!$AA$4:'BXL'!$AA$103=A26)*BXL!$AM$4:$AM$103)+SUMPRODUCT((BXL!$AB$4:'BXL'!$AB$103=A26)*BXL!$AM$4:$AM$103)</f>
        <v>0</v>
      </c>
      <c r="E26" s="136" cm="1">
        <f t="array" ref="E26">SUMPRODUCT((BXL!$C$4:'BXL'!$C$103=A26)*BXL!$R$4:$R$103)+SUMPRODUCT((BXL!$AA$4:'BXL'!$AA$103=A26)*BXL!$AP$4:$AP$103)+SUMPRODUCT((BXL!$AB$4:'BXL'!$AB$103=A26)*BXL!$AP$4:$AP$103)</f>
        <v>0</v>
      </c>
      <c r="F26" s="136" cm="1">
        <f t="array" ref="F26">SUMPRODUCT((BXL!$C$4:'BXL'!$C$103=A26)*BXL!$V$4:$V$103)+SUMPRODUCT((BXL!$AA$4:'BXL'!$AA$103=A26)*BXL!$AS$4:$AS$103)+SUMPRODUCT((BXL!$AB$4:'BXL'!$AB$103=A26)*BXL!$AS$4:$AS$103)</f>
        <v>0</v>
      </c>
      <c r="G26" s="136" cm="1">
        <f t="array" ref="G26">SUMPRODUCT((BXL!$C$4:'BXL'!$C$103=A26)*BXL!$W$4:$W$103)+SUMPRODUCT((BXL!$AA$4:'BXL'!$AA$103=A26)*BXL!$AT$4:$AT$103)+SUMPRODUCT((BXL!$AB$4:'BXL'!$AB$103=A26)*BXL!$AT$4:$AT$103)</f>
        <v>0</v>
      </c>
      <c r="H26" s="115"/>
      <c r="I26" s="139">
        <f t="shared" si="3"/>
        <v>1030.3507999999999</v>
      </c>
      <c r="J26" s="136">
        <f t="shared" si="6"/>
        <v>185.06880000000001</v>
      </c>
      <c r="K26" s="136">
        <f t="shared" si="6"/>
        <v>845.28199999999993</v>
      </c>
      <c r="L26" s="136">
        <f t="shared" si="6"/>
        <v>37.247772631578954</v>
      </c>
      <c r="M26" s="136">
        <f t="shared" si="6"/>
        <v>15.63768</v>
      </c>
      <c r="N26" s="115"/>
      <c r="O26" s="131">
        <f>C26*ResourcesEmissions!B30</f>
        <v>0</v>
      </c>
      <c r="P26" s="131">
        <f>C26*ResourcesEmissions!C30</f>
        <v>0</v>
      </c>
      <c r="Q26" s="131">
        <f>C26*ResourcesEmissions!E30</f>
        <v>0</v>
      </c>
      <c r="R26" s="115"/>
      <c r="S26" s="131">
        <f t="shared" si="7"/>
        <v>1481.7693340588912</v>
      </c>
      <c r="T26" s="131">
        <f t="shared" si="7"/>
        <v>2003.4561748397805</v>
      </c>
      <c r="U26" s="131">
        <f t="shared" si="7"/>
        <v>21509.429723302361</v>
      </c>
      <c r="V26" s="115"/>
      <c r="W26" s="128"/>
      <c r="X26" s="128"/>
      <c r="Y26" s="128"/>
      <c r="Z26" s="115"/>
      <c r="AA26" s="126"/>
      <c r="AB26" s="126"/>
      <c r="AC26" s="126"/>
      <c r="AD26" s="115"/>
      <c r="AE26" s="126"/>
      <c r="AF26" s="126"/>
      <c r="AG26" s="126"/>
      <c r="AH26" s="115"/>
      <c r="AI26" s="128"/>
      <c r="AJ26" s="128"/>
      <c r="AK26" s="128"/>
      <c r="AL26" s="115"/>
      <c r="AM26" s="126"/>
      <c r="AN26" s="126"/>
      <c r="AO26" s="126"/>
      <c r="AP26" s="115"/>
      <c r="AQ26" s="126"/>
      <c r="AR26" s="126"/>
      <c r="AS26" s="126"/>
    </row>
    <row r="27" spans="1:45" x14ac:dyDescent="0.25">
      <c r="A27" s="94">
        <v>1972</v>
      </c>
      <c r="B27" s="139" cm="1">
        <f t="array" ref="B27">SUMPRODUCT((BXL!$C$4:'BXL'!$C$103=A27)*BXL!$X$4:$X$103)+SUMPRODUCT((BXL!$AA$4:'BXL'!$AA$103=A27)*BXL!$AQ$4:$AQ$103)+SUMPRODUCT((BXL!$AB$4:'BXL'!$AB$103=A27)*BXL!$AQ$4:$AQ$103)</f>
        <v>37434.074999999997</v>
      </c>
      <c r="C27" s="139" cm="1">
        <f t="array" ref="C27">SUMPRODUCT((BXL!$C$4:'BXL'!$C$103=A27)*BXL!$Y$4:$Y$103)+SUMPRODUCT((BXL!$AA$4:'BXL'!$AA$103=A27)*BXL!$AR$4:$AR$103)+SUMPRODUCT((BXL!$AB$4:'BXL'!$AB$103=A27)*BXL!$AR$4:$AR$103)</f>
        <v>831.80250000000001</v>
      </c>
      <c r="D27" s="136" cm="1">
        <f t="array" ref="D27">SUMPRODUCT((BXL!$C$4:'BXL'!$C$103=A27)*BXL!$O$4:$O$103)+SUMPRODUCT((BXL!$AA$4:'BXL'!$AA$103=A27)*BXL!$AM$4:$AM$103)+SUMPRODUCT((BXL!$AB$4:'BXL'!$AB$103=A27)*BXL!$AM$4:$AM$103)</f>
        <v>83.71350000000001</v>
      </c>
      <c r="E27" s="136" cm="1">
        <f t="array" ref="E27">SUMPRODUCT((BXL!$C$4:'BXL'!$C$103=A27)*BXL!$R$4:$R$103)+SUMPRODUCT((BXL!$AA$4:'BXL'!$AA$103=A27)*BXL!$AP$4:$AP$103)+SUMPRODUCT((BXL!$AB$4:'BXL'!$AB$103=A27)*BXL!$AP$4:$AP$103)</f>
        <v>748.08899999999994</v>
      </c>
      <c r="F27" s="136" cm="1">
        <f t="array" ref="F27">SUMPRODUCT((BXL!$C$4:'BXL'!$C$103=A27)*BXL!$V$4:$V$103)+SUMPRODUCT((BXL!$AA$4:'BXL'!$AA$103=A27)*BXL!$AS$4:$AS$103)+SUMPRODUCT((BXL!$AB$4:'BXL'!$AB$103=A27)*BXL!$AS$4:$AS$103)</f>
        <v>52.019000000000005</v>
      </c>
      <c r="G27" s="136" cm="1">
        <f t="array" ref="G27">SUMPRODUCT((BXL!$C$4:'BXL'!$C$103=A27)*BXL!$W$4:$W$103)+SUMPRODUCT((BXL!$AA$4:'BXL'!$AA$103=A27)*BXL!$AT$4:$AT$103)+SUMPRODUCT((BXL!$AB$4:'BXL'!$AB$103=A27)*BXL!$AT$4:$AT$103)</f>
        <v>38.376800000000003</v>
      </c>
      <c r="H27" s="115"/>
      <c r="I27" s="139">
        <f t="shared" si="3"/>
        <v>1862.1532999999999</v>
      </c>
      <c r="J27" s="136">
        <f t="shared" si="6"/>
        <v>268.78230000000002</v>
      </c>
      <c r="K27" s="136">
        <f t="shared" si="6"/>
        <v>1593.3709999999999</v>
      </c>
      <c r="L27" s="136">
        <f t="shared" si="6"/>
        <v>89.266772631578959</v>
      </c>
      <c r="M27" s="136">
        <f t="shared" si="6"/>
        <v>54.014480000000006</v>
      </c>
      <c r="N27" s="115"/>
      <c r="O27" s="131">
        <f>C27*ResourcesEmissions!B31</f>
        <v>1138.0811824385055</v>
      </c>
      <c r="P27" s="131">
        <f>C27*ResourcesEmissions!C31</f>
        <v>1223.5869502940168</v>
      </c>
      <c r="Q27" s="131">
        <f>C27*ResourcesEmissions!E31</f>
        <v>13392.055141114479</v>
      </c>
      <c r="R27" s="115"/>
      <c r="S27" s="131">
        <f t="shared" si="7"/>
        <v>2619.8505164973967</v>
      </c>
      <c r="T27" s="131">
        <f t="shared" si="7"/>
        <v>3227.0431251337973</v>
      </c>
      <c r="U27" s="131">
        <f t="shared" si="7"/>
        <v>34901.484864416838</v>
      </c>
      <c r="V27" s="115"/>
      <c r="W27" s="128"/>
      <c r="X27" s="128"/>
      <c r="Y27" s="128"/>
      <c r="Z27" s="115"/>
      <c r="AA27" s="126"/>
      <c r="AB27" s="126"/>
      <c r="AC27" s="126"/>
      <c r="AD27" s="115"/>
      <c r="AE27" s="126"/>
      <c r="AF27" s="126"/>
      <c r="AG27" s="126"/>
      <c r="AH27" s="115"/>
      <c r="AI27" s="128"/>
      <c r="AJ27" s="128"/>
      <c r="AK27" s="128"/>
      <c r="AL27" s="115"/>
      <c r="AM27" s="126"/>
      <c r="AN27" s="126"/>
      <c r="AO27" s="126"/>
      <c r="AP27" s="115"/>
      <c r="AQ27" s="126"/>
      <c r="AR27" s="126"/>
      <c r="AS27" s="126"/>
    </row>
    <row r="28" spans="1:45" x14ac:dyDescent="0.25">
      <c r="A28" s="94">
        <v>1973</v>
      </c>
      <c r="B28" s="139" cm="1">
        <f t="array" ref="B28">SUMPRODUCT((BXL!$C$4:'BXL'!$C$103=A28)*BXL!$X$4:$X$103)+SUMPRODUCT((BXL!$AA$4:'BXL'!$AA$103=A28)*BXL!$AQ$4:$AQ$103)+SUMPRODUCT((BXL!$AB$4:'BXL'!$AB$103=A28)*BXL!$AQ$4:$AQ$103)</f>
        <v>0</v>
      </c>
      <c r="C28" s="139" cm="1">
        <f t="array" ref="C28">SUMPRODUCT((BXL!$C$4:'BXL'!$C$103=A28)*BXL!$Y$4:$Y$103)+SUMPRODUCT((BXL!$AA$4:'BXL'!$AA$103=A28)*BXL!$AR$4:$AR$103)+SUMPRODUCT((BXL!$AB$4:'BXL'!$AB$103=A28)*BXL!$AR$4:$AR$103)</f>
        <v>0</v>
      </c>
      <c r="D28" s="136" cm="1">
        <f t="array" ref="D28">SUMPRODUCT((BXL!$C$4:'BXL'!$C$103=A28)*BXL!$O$4:$O$103)+SUMPRODUCT((BXL!$AA$4:'BXL'!$AA$103=A28)*BXL!$AM$4:$AM$103)+SUMPRODUCT((BXL!$AB$4:'BXL'!$AB$103=A28)*BXL!$AM$4:$AM$103)</f>
        <v>0</v>
      </c>
      <c r="E28" s="136" cm="1">
        <f t="array" ref="E28">SUMPRODUCT((BXL!$C$4:'BXL'!$C$103=A28)*BXL!$R$4:$R$103)+SUMPRODUCT((BXL!$AA$4:'BXL'!$AA$103=A28)*BXL!$AP$4:$AP$103)+SUMPRODUCT((BXL!$AB$4:'BXL'!$AB$103=A28)*BXL!$AP$4:$AP$103)</f>
        <v>0</v>
      </c>
      <c r="F28" s="136" cm="1">
        <f t="array" ref="F28">SUMPRODUCT((BXL!$C$4:'BXL'!$C$103=A28)*BXL!$V$4:$V$103)+SUMPRODUCT((BXL!$AA$4:'BXL'!$AA$103=A28)*BXL!$AS$4:$AS$103)+SUMPRODUCT((BXL!$AB$4:'BXL'!$AB$103=A28)*BXL!$AS$4:$AS$103)</f>
        <v>0</v>
      </c>
      <c r="G28" s="136" cm="1">
        <f t="array" ref="G28">SUMPRODUCT((BXL!$C$4:'BXL'!$C$103=A28)*BXL!$W$4:$W$103)+SUMPRODUCT((BXL!$AA$4:'BXL'!$AA$103=A28)*BXL!$AT$4:$AT$103)+SUMPRODUCT((BXL!$AB$4:'BXL'!$AB$103=A28)*BXL!$AT$4:$AT$103)</f>
        <v>0</v>
      </c>
      <c r="H28" s="115"/>
      <c r="I28" s="139">
        <f t="shared" si="3"/>
        <v>1862.1532999999999</v>
      </c>
      <c r="J28" s="136">
        <f t="shared" si="6"/>
        <v>268.78230000000002</v>
      </c>
      <c r="K28" s="136">
        <f t="shared" si="6"/>
        <v>1593.3709999999999</v>
      </c>
      <c r="L28" s="136">
        <f t="shared" si="6"/>
        <v>89.266772631578959</v>
      </c>
      <c r="M28" s="136">
        <f t="shared" si="6"/>
        <v>54.014480000000006</v>
      </c>
      <c r="N28" s="115"/>
      <c r="O28" s="131">
        <f>C28*ResourcesEmissions!B32</f>
        <v>0</v>
      </c>
      <c r="P28" s="131">
        <f>C28*ResourcesEmissions!C32</f>
        <v>0</v>
      </c>
      <c r="Q28" s="131">
        <f>C28*ResourcesEmissions!E32</f>
        <v>0</v>
      </c>
      <c r="R28" s="115"/>
      <c r="S28" s="131">
        <f t="shared" si="7"/>
        <v>2619.8505164973967</v>
      </c>
      <c r="T28" s="131">
        <f t="shared" si="7"/>
        <v>3227.0431251337973</v>
      </c>
      <c r="U28" s="131">
        <f t="shared" si="7"/>
        <v>34901.484864416838</v>
      </c>
      <c r="V28" s="115"/>
      <c r="W28" s="128"/>
      <c r="X28" s="128"/>
      <c r="Y28" s="128"/>
      <c r="Z28" s="115"/>
      <c r="AA28" s="126"/>
      <c r="AB28" s="126"/>
      <c r="AC28" s="126"/>
      <c r="AD28" s="115"/>
      <c r="AE28" s="126"/>
      <c r="AF28" s="126"/>
      <c r="AG28" s="126"/>
      <c r="AH28" s="115"/>
      <c r="AI28" s="128"/>
      <c r="AJ28" s="128"/>
      <c r="AK28" s="128"/>
      <c r="AL28" s="115"/>
      <c r="AM28" s="126"/>
      <c r="AN28" s="126"/>
      <c r="AO28" s="126"/>
      <c r="AP28" s="115"/>
      <c r="AQ28" s="126"/>
      <c r="AR28" s="126"/>
      <c r="AS28" s="126"/>
    </row>
    <row r="29" spans="1:45" x14ac:dyDescent="0.25">
      <c r="A29" s="94">
        <v>1974</v>
      </c>
      <c r="B29" s="139" cm="1">
        <f t="array" ref="B29">SUMPRODUCT((BXL!$C$4:'BXL'!$C$103=A29)*BXL!$X$4:$X$103)+SUMPRODUCT((BXL!$AA$4:'BXL'!$AA$103=A29)*BXL!$AQ$4:$AQ$103)+SUMPRODUCT((BXL!$AB$4:'BXL'!$AB$103=A29)*BXL!$AQ$4:$AQ$103)</f>
        <v>0</v>
      </c>
      <c r="C29" s="139" cm="1">
        <f t="array" ref="C29">SUMPRODUCT((BXL!$C$4:'BXL'!$C$103=A29)*BXL!$Y$4:$Y$103)+SUMPRODUCT((BXL!$AA$4:'BXL'!$AA$103=A29)*BXL!$AR$4:$AR$103)+SUMPRODUCT((BXL!$AB$4:'BXL'!$AB$103=A29)*BXL!$AR$4:$AR$103)</f>
        <v>0</v>
      </c>
      <c r="D29" s="136" cm="1">
        <f t="array" ref="D29">SUMPRODUCT((BXL!$C$4:'BXL'!$C$103=A29)*BXL!$O$4:$O$103)+SUMPRODUCT((BXL!$AA$4:'BXL'!$AA$103=A29)*BXL!$AM$4:$AM$103)+SUMPRODUCT((BXL!$AB$4:'BXL'!$AB$103=A29)*BXL!$AM$4:$AM$103)</f>
        <v>0</v>
      </c>
      <c r="E29" s="136" cm="1">
        <f t="array" ref="E29">SUMPRODUCT((BXL!$C$4:'BXL'!$C$103=A29)*BXL!$R$4:$R$103)+SUMPRODUCT((BXL!$AA$4:'BXL'!$AA$103=A29)*BXL!$AP$4:$AP$103)+SUMPRODUCT((BXL!$AB$4:'BXL'!$AB$103=A29)*BXL!$AP$4:$AP$103)</f>
        <v>0</v>
      </c>
      <c r="F29" s="136" cm="1">
        <f t="array" ref="F29">SUMPRODUCT((BXL!$C$4:'BXL'!$C$103=A29)*BXL!$V$4:$V$103)+SUMPRODUCT((BXL!$AA$4:'BXL'!$AA$103=A29)*BXL!$AS$4:$AS$103)+SUMPRODUCT((BXL!$AB$4:'BXL'!$AB$103=A29)*BXL!$AS$4:$AS$103)</f>
        <v>0</v>
      </c>
      <c r="G29" s="136" cm="1">
        <f t="array" ref="G29">SUMPRODUCT((BXL!$C$4:'BXL'!$C$103=A29)*BXL!$W$4:$W$103)+SUMPRODUCT((BXL!$AA$4:'BXL'!$AA$103=A29)*BXL!$AT$4:$AT$103)+SUMPRODUCT((BXL!$AB$4:'BXL'!$AB$103=A29)*BXL!$AT$4:$AT$103)</f>
        <v>0</v>
      </c>
      <c r="H29" s="115"/>
      <c r="I29" s="139">
        <f t="shared" si="3"/>
        <v>1862.1532999999999</v>
      </c>
      <c r="J29" s="136">
        <f t="shared" si="6"/>
        <v>268.78230000000002</v>
      </c>
      <c r="K29" s="136">
        <f t="shared" si="6"/>
        <v>1593.3709999999999</v>
      </c>
      <c r="L29" s="136">
        <f t="shared" si="6"/>
        <v>89.266772631578959</v>
      </c>
      <c r="M29" s="136">
        <f t="shared" si="6"/>
        <v>54.014480000000006</v>
      </c>
      <c r="N29" s="115"/>
      <c r="O29" s="131">
        <f>C29*ResourcesEmissions!B33</f>
        <v>0</v>
      </c>
      <c r="P29" s="131">
        <f>C29*ResourcesEmissions!C33</f>
        <v>0</v>
      </c>
      <c r="Q29" s="131">
        <f>C29*ResourcesEmissions!E33</f>
        <v>0</v>
      </c>
      <c r="R29" s="115"/>
      <c r="S29" s="131">
        <f t="shared" si="7"/>
        <v>2619.8505164973967</v>
      </c>
      <c r="T29" s="131">
        <f t="shared" si="7"/>
        <v>3227.0431251337973</v>
      </c>
      <c r="U29" s="131">
        <f t="shared" si="7"/>
        <v>34901.484864416838</v>
      </c>
      <c r="V29" s="115"/>
      <c r="W29" s="128"/>
      <c r="X29" s="128"/>
      <c r="Y29" s="128"/>
      <c r="Z29" s="115"/>
      <c r="AA29" s="126"/>
      <c r="AB29" s="126"/>
      <c r="AC29" s="126"/>
      <c r="AD29" s="115"/>
      <c r="AE29" s="126"/>
      <c r="AF29" s="126"/>
      <c r="AG29" s="126"/>
      <c r="AH29" s="115"/>
      <c r="AI29" s="128"/>
      <c r="AJ29" s="128"/>
      <c r="AK29" s="128"/>
      <c r="AL29" s="115"/>
      <c r="AM29" s="126"/>
      <c r="AN29" s="126"/>
      <c r="AO29" s="126"/>
      <c r="AP29" s="115"/>
      <c r="AQ29" s="126"/>
      <c r="AR29" s="126"/>
      <c r="AS29" s="126"/>
    </row>
    <row r="30" spans="1:45" x14ac:dyDescent="0.25">
      <c r="A30" s="94">
        <v>1975</v>
      </c>
      <c r="B30" s="139" cm="1">
        <f t="array" ref="B30">SUMPRODUCT((BXL!$C$4:'BXL'!$C$103=A30)*BXL!$X$4:$X$103)+SUMPRODUCT((BXL!$AA$4:'BXL'!$AA$103=A30)*BXL!$AQ$4:$AQ$103)+SUMPRODUCT((BXL!$AB$4:'BXL'!$AB$103=A30)*BXL!$AQ$4:$AQ$103)</f>
        <v>0</v>
      </c>
      <c r="C30" s="139" cm="1">
        <f t="array" ref="C30">SUMPRODUCT((BXL!$C$4:'BXL'!$C$103=A30)*BXL!$Y$4:$Y$103)+SUMPRODUCT((BXL!$AA$4:'BXL'!$AA$103=A30)*BXL!$AR$4:$AR$103)+SUMPRODUCT((BXL!$AB$4:'BXL'!$AB$103=A30)*BXL!$AR$4:$AR$103)</f>
        <v>0</v>
      </c>
      <c r="D30" s="136" cm="1">
        <f t="array" ref="D30">SUMPRODUCT((BXL!$C$4:'BXL'!$C$103=A30)*BXL!$O$4:$O$103)+SUMPRODUCT((BXL!$AA$4:'BXL'!$AA$103=A30)*BXL!$AM$4:$AM$103)+SUMPRODUCT((BXL!$AB$4:'BXL'!$AB$103=A30)*BXL!$AM$4:$AM$103)</f>
        <v>0</v>
      </c>
      <c r="E30" s="136" cm="1">
        <f t="array" ref="E30">SUMPRODUCT((BXL!$C$4:'BXL'!$C$103=A30)*BXL!$R$4:$R$103)+SUMPRODUCT((BXL!$AA$4:'BXL'!$AA$103=A30)*BXL!$AP$4:$AP$103)+SUMPRODUCT((BXL!$AB$4:'BXL'!$AB$103=A30)*BXL!$AP$4:$AP$103)</f>
        <v>0</v>
      </c>
      <c r="F30" s="136" cm="1">
        <f t="array" ref="F30">SUMPRODUCT((BXL!$C$4:'BXL'!$C$103=A30)*BXL!$V$4:$V$103)+SUMPRODUCT((BXL!$AA$4:'BXL'!$AA$103=A30)*BXL!$AS$4:$AS$103)+SUMPRODUCT((BXL!$AB$4:'BXL'!$AB$103=A30)*BXL!$AS$4:$AS$103)</f>
        <v>0</v>
      </c>
      <c r="G30" s="136" cm="1">
        <f t="array" ref="G30">SUMPRODUCT((BXL!$C$4:'BXL'!$C$103=A30)*BXL!$W$4:$W$103)+SUMPRODUCT((BXL!$AA$4:'BXL'!$AA$103=A30)*BXL!$AT$4:$AT$103)+SUMPRODUCT((BXL!$AB$4:'BXL'!$AB$103=A30)*BXL!$AT$4:$AT$103)</f>
        <v>0</v>
      </c>
      <c r="H30" s="115"/>
      <c r="I30" s="139">
        <f t="shared" si="3"/>
        <v>1862.1532999999999</v>
      </c>
      <c r="J30" s="136">
        <f t="shared" si="6"/>
        <v>268.78230000000002</v>
      </c>
      <c r="K30" s="136">
        <f t="shared" si="6"/>
        <v>1593.3709999999999</v>
      </c>
      <c r="L30" s="136">
        <f t="shared" si="6"/>
        <v>89.266772631578959</v>
      </c>
      <c r="M30" s="136">
        <f t="shared" si="6"/>
        <v>54.014480000000006</v>
      </c>
      <c r="N30" s="115"/>
      <c r="O30" s="131">
        <f>C30*ResourcesEmissions!B34</f>
        <v>0</v>
      </c>
      <c r="P30" s="131">
        <f>C30*ResourcesEmissions!C34</f>
        <v>0</v>
      </c>
      <c r="Q30" s="131">
        <f>C30*ResourcesEmissions!E34</f>
        <v>0</v>
      </c>
      <c r="R30" s="115"/>
      <c r="S30" s="131">
        <f t="shared" si="7"/>
        <v>2619.8505164973967</v>
      </c>
      <c r="T30" s="131">
        <f t="shared" si="7"/>
        <v>3227.0431251337973</v>
      </c>
      <c r="U30" s="131">
        <f t="shared" si="7"/>
        <v>34901.484864416838</v>
      </c>
      <c r="V30" s="115"/>
      <c r="W30" s="128"/>
      <c r="X30" s="128"/>
      <c r="Y30" s="128"/>
      <c r="Z30" s="115"/>
      <c r="AA30" s="126"/>
      <c r="AB30" s="126"/>
      <c r="AC30" s="126"/>
      <c r="AD30" s="115"/>
      <c r="AE30" s="126"/>
      <c r="AF30" s="126"/>
      <c r="AG30" s="126"/>
      <c r="AH30" s="115"/>
      <c r="AI30" s="128"/>
      <c r="AJ30" s="128"/>
      <c r="AK30" s="128"/>
      <c r="AL30" s="115"/>
      <c r="AM30" s="126"/>
      <c r="AN30" s="126"/>
      <c r="AO30" s="126"/>
      <c r="AP30" s="115"/>
      <c r="AQ30" s="126"/>
      <c r="AR30" s="126"/>
      <c r="AS30" s="126"/>
    </row>
    <row r="31" spans="1:45" x14ac:dyDescent="0.25">
      <c r="A31" s="94">
        <v>1976</v>
      </c>
      <c r="B31" s="139" cm="1">
        <f t="array" ref="B31">SUMPRODUCT((BXL!$C$4:'BXL'!$C$103=A31)*BXL!$X$4:$X$103)+SUMPRODUCT((BXL!$AA$4:'BXL'!$AA$103=A31)*BXL!$AQ$4:$AQ$103)+SUMPRODUCT((BXL!$AB$4:'BXL'!$AB$103=A31)*BXL!$AQ$4:$AQ$103)</f>
        <v>27232.875</v>
      </c>
      <c r="C31" s="139" cm="1">
        <f t="array" ref="C31">SUMPRODUCT((BXL!$C$4:'BXL'!$C$103=A31)*BXL!$Y$4:$Y$103)+SUMPRODUCT((BXL!$AA$4:'BXL'!$AA$103=A31)*BXL!$AR$4:$AR$103)+SUMPRODUCT((BXL!$AB$4:'BXL'!$AB$103=A31)*BXL!$AR$4:$AR$103)</f>
        <v>616.30874999999992</v>
      </c>
      <c r="D31" s="136" cm="1">
        <f t="array" ref="D31">SUMPRODUCT((BXL!$C$4:'BXL'!$C$103=A31)*BXL!$O$4:$O$103)+SUMPRODUCT((BXL!$AA$4:'BXL'!$AA$103=A31)*BXL!$AM$4:$AM$103)+SUMPRODUCT((BXL!$AB$4:'BXL'!$AB$103=A31)*BXL!$AM$4:$AM$103)</f>
        <v>118.15875000000001</v>
      </c>
      <c r="E31" s="136" cm="1">
        <f t="array" ref="E31">SUMPRODUCT((BXL!$C$4:'BXL'!$C$103=A31)*BXL!$R$4:$R$103)+SUMPRODUCT((BXL!$AA$4:'BXL'!$AA$103=A31)*BXL!$AP$4:$AP$103)+SUMPRODUCT((BXL!$AB$4:'BXL'!$AB$103=A31)*BXL!$AP$4:$AP$103)</f>
        <v>498.15</v>
      </c>
      <c r="F31" s="136" cm="1">
        <f t="array" ref="F31">SUMPRODUCT((BXL!$C$4:'BXL'!$C$103=A31)*BXL!$V$4:$V$103)+SUMPRODUCT((BXL!$AA$4:'BXL'!$AA$103=A31)*BXL!$AS$4:$AS$103)+SUMPRODUCT((BXL!$AB$4:'BXL'!$AB$103=A31)*BXL!$AS$4:$AS$103)</f>
        <v>49.295400000000001</v>
      </c>
      <c r="G31" s="136" cm="1">
        <f t="array" ref="G31">SUMPRODUCT((BXL!$C$4:'BXL'!$C$103=A31)*BXL!$W$4:$W$103)+SUMPRODUCT((BXL!$AA$4:'BXL'!$AA$103=A31)*BXL!$AT$4:$AT$103)+SUMPRODUCT((BXL!$AB$4:'BXL'!$AB$103=A31)*BXL!$AT$4:$AT$103)</f>
        <v>28.168799999999997</v>
      </c>
      <c r="H31" s="115"/>
      <c r="I31" s="139">
        <f t="shared" si="3"/>
        <v>2478.4620500000001</v>
      </c>
      <c r="J31" s="136">
        <f t="shared" si="6"/>
        <v>386.94105000000002</v>
      </c>
      <c r="K31" s="136">
        <f t="shared" si="6"/>
        <v>2091.5209999999997</v>
      </c>
      <c r="L31" s="136">
        <f t="shared" si="6"/>
        <v>138.56217263157896</v>
      </c>
      <c r="M31" s="136">
        <f t="shared" si="6"/>
        <v>82.183279999999996</v>
      </c>
      <c r="N31" s="115"/>
      <c r="O31" s="131">
        <f>C31*ResourcesEmissions!B35</f>
        <v>835.24511368689559</v>
      </c>
      <c r="P31" s="131">
        <f>C31*ResourcesEmissions!C35</f>
        <v>758.54743080545279</v>
      </c>
      <c r="Q31" s="131">
        <f>C31*ResourcesEmissions!E35</f>
        <v>8596.4986376276556</v>
      </c>
      <c r="R31" s="115"/>
      <c r="S31" s="131">
        <f t="shared" si="7"/>
        <v>3455.0956301842925</v>
      </c>
      <c r="T31" s="131">
        <f t="shared" si="7"/>
        <v>3985.59055593925</v>
      </c>
      <c r="U31" s="131">
        <f t="shared" si="7"/>
        <v>43497.983502044495</v>
      </c>
      <c r="V31" s="115"/>
      <c r="W31" s="128"/>
      <c r="X31" s="128"/>
      <c r="Y31" s="128"/>
      <c r="Z31" s="115"/>
      <c r="AA31" s="126"/>
      <c r="AB31" s="126"/>
      <c r="AC31" s="126"/>
      <c r="AD31" s="115"/>
      <c r="AE31" s="126"/>
      <c r="AF31" s="126"/>
      <c r="AG31" s="126"/>
      <c r="AH31" s="115"/>
      <c r="AI31" s="128"/>
      <c r="AJ31" s="128"/>
      <c r="AK31" s="128"/>
      <c r="AL31" s="115"/>
      <c r="AM31" s="126"/>
      <c r="AN31" s="126"/>
      <c r="AO31" s="126"/>
      <c r="AP31" s="115"/>
      <c r="AQ31" s="126"/>
      <c r="AR31" s="126"/>
      <c r="AS31" s="126"/>
    </row>
    <row r="32" spans="1:45" x14ac:dyDescent="0.25">
      <c r="A32" s="94">
        <v>1977</v>
      </c>
      <c r="B32" s="139" cm="1">
        <f t="array" ref="B32">SUMPRODUCT((BXL!$C$4:'BXL'!$C$103=A32)*BXL!$X$4:$X$103)+SUMPRODUCT((BXL!$AA$4:'BXL'!$AA$103=A32)*BXL!$AQ$4:$AQ$103)+SUMPRODUCT((BXL!$AB$4:'BXL'!$AB$103=A32)*BXL!$AQ$4:$AQ$103)</f>
        <v>0</v>
      </c>
      <c r="C32" s="139" cm="1">
        <f t="array" ref="C32">SUMPRODUCT((BXL!$C$4:'BXL'!$C$103=A32)*BXL!$Y$4:$Y$103)+SUMPRODUCT((BXL!$AA$4:'BXL'!$AA$103=A32)*BXL!$AR$4:$AR$103)+SUMPRODUCT((BXL!$AB$4:'BXL'!$AB$103=A32)*BXL!$AR$4:$AR$103)</f>
        <v>0</v>
      </c>
      <c r="D32" s="136" cm="1">
        <f t="array" ref="D32">SUMPRODUCT((BXL!$C$4:'BXL'!$C$103=A32)*BXL!$O$4:$O$103)+SUMPRODUCT((BXL!$AA$4:'BXL'!$AA$103=A32)*BXL!$AM$4:$AM$103)+SUMPRODUCT((BXL!$AB$4:'BXL'!$AB$103=A32)*BXL!$AM$4:$AM$103)</f>
        <v>0</v>
      </c>
      <c r="E32" s="136" cm="1">
        <f t="array" ref="E32">SUMPRODUCT((BXL!$C$4:'BXL'!$C$103=A32)*BXL!$R$4:$R$103)+SUMPRODUCT((BXL!$AA$4:'BXL'!$AA$103=A32)*BXL!$AP$4:$AP$103)+SUMPRODUCT((BXL!$AB$4:'BXL'!$AB$103=A32)*BXL!$AP$4:$AP$103)</f>
        <v>0</v>
      </c>
      <c r="F32" s="136" cm="1">
        <f t="array" ref="F32">SUMPRODUCT((BXL!$C$4:'BXL'!$C$103=A32)*BXL!$V$4:$V$103)+SUMPRODUCT((BXL!$AA$4:'BXL'!$AA$103=A32)*BXL!$AS$4:$AS$103)+SUMPRODUCT((BXL!$AB$4:'BXL'!$AB$103=A32)*BXL!$AS$4:$AS$103)</f>
        <v>0</v>
      </c>
      <c r="G32" s="136" cm="1">
        <f t="array" ref="G32">SUMPRODUCT((BXL!$C$4:'BXL'!$C$103=A32)*BXL!$W$4:$W$103)+SUMPRODUCT((BXL!$AA$4:'BXL'!$AA$103=A32)*BXL!$AT$4:$AT$103)+SUMPRODUCT((BXL!$AB$4:'BXL'!$AB$103=A32)*BXL!$AT$4:$AT$103)</f>
        <v>0</v>
      </c>
      <c r="H32" s="115"/>
      <c r="I32" s="139">
        <f t="shared" si="3"/>
        <v>2478.4620500000001</v>
      </c>
      <c r="J32" s="136">
        <f t="shared" si="6"/>
        <v>386.94105000000002</v>
      </c>
      <c r="K32" s="136">
        <f t="shared" si="6"/>
        <v>2091.5209999999997</v>
      </c>
      <c r="L32" s="136">
        <f t="shared" si="6"/>
        <v>138.56217263157896</v>
      </c>
      <c r="M32" s="136">
        <f t="shared" si="6"/>
        <v>82.183279999999996</v>
      </c>
      <c r="N32" s="115"/>
      <c r="O32" s="131">
        <f>C32*ResourcesEmissions!B36</f>
        <v>0</v>
      </c>
      <c r="P32" s="131">
        <f>C32*ResourcesEmissions!C36</f>
        <v>0</v>
      </c>
      <c r="Q32" s="131">
        <f>C32*ResourcesEmissions!E36</f>
        <v>0</v>
      </c>
      <c r="R32" s="115"/>
      <c r="S32" s="131">
        <f t="shared" si="7"/>
        <v>3455.0956301842925</v>
      </c>
      <c r="T32" s="131">
        <f t="shared" si="7"/>
        <v>3985.59055593925</v>
      </c>
      <c r="U32" s="131">
        <f t="shared" si="7"/>
        <v>43497.983502044495</v>
      </c>
      <c r="V32" s="115"/>
      <c r="W32" s="128"/>
      <c r="X32" s="128"/>
      <c r="Y32" s="128"/>
      <c r="Z32" s="115"/>
      <c r="AA32" s="126"/>
      <c r="AB32" s="126"/>
      <c r="AC32" s="126"/>
      <c r="AD32" s="115"/>
      <c r="AE32" s="126"/>
      <c r="AF32" s="126"/>
      <c r="AG32" s="126"/>
      <c r="AH32" s="115"/>
      <c r="AI32" s="128"/>
      <c r="AJ32" s="128"/>
      <c r="AK32" s="128"/>
      <c r="AL32" s="115"/>
      <c r="AM32" s="126"/>
      <c r="AN32" s="126"/>
      <c r="AO32" s="126"/>
      <c r="AP32" s="115"/>
      <c r="AQ32" s="126"/>
      <c r="AR32" s="126"/>
      <c r="AS32" s="126"/>
    </row>
    <row r="33" spans="1:45" x14ac:dyDescent="0.25">
      <c r="A33" s="94">
        <v>1978</v>
      </c>
      <c r="B33" s="139" cm="1">
        <f t="array" ref="B33">SUMPRODUCT((BXL!$C$4:'BXL'!$C$103=A33)*BXL!$X$4:$X$103)+SUMPRODUCT((BXL!$AA$4:'BXL'!$AA$103=A33)*BXL!$AQ$4:$AQ$103)+SUMPRODUCT((BXL!$AB$4:'BXL'!$AB$103=A33)*BXL!$AQ$4:$AQ$103)</f>
        <v>26565</v>
      </c>
      <c r="C33" s="139" cm="1">
        <f t="array" ref="C33">SUMPRODUCT((BXL!$C$4:'BXL'!$C$103=A33)*BXL!$Y$4:$Y$103)+SUMPRODUCT((BXL!$AA$4:'BXL'!$AA$103=A33)*BXL!$AR$4:$AR$103)+SUMPRODUCT((BXL!$AB$4:'BXL'!$AB$103=A33)*BXL!$AR$4:$AR$103)</f>
        <v>531.30000000000007</v>
      </c>
      <c r="D33" s="136" cm="1">
        <f t="array" ref="D33">SUMPRODUCT((BXL!$C$4:'BXL'!$C$103=A33)*BXL!$O$4:$O$103)+SUMPRODUCT((BXL!$AA$4:'BXL'!$AA$103=A33)*BXL!$AM$4:$AM$103)+SUMPRODUCT((BXL!$AB$4:'BXL'!$AB$103=A33)*BXL!$AM$4:$AM$103)</f>
        <v>0</v>
      </c>
      <c r="E33" s="136" cm="1">
        <f t="array" ref="E33">SUMPRODUCT((BXL!$C$4:'BXL'!$C$103=A33)*BXL!$R$4:$R$103)+SUMPRODUCT((BXL!$AA$4:'BXL'!$AA$103=A33)*BXL!$AP$4:$AP$103)+SUMPRODUCT((BXL!$AB$4:'BXL'!$AB$103=A33)*BXL!$AP$4:$AP$103)</f>
        <v>531.30000000000007</v>
      </c>
      <c r="F33" s="136" cm="1">
        <f t="array" ref="F33">SUMPRODUCT((BXL!$C$4:'BXL'!$C$103=A33)*BXL!$V$4:$V$103)+SUMPRODUCT((BXL!$AA$4:'BXL'!$AA$103=A33)*BXL!$AS$4:$AS$103)+SUMPRODUCT((BXL!$AB$4:'BXL'!$AB$103=A33)*BXL!$AS$4:$AS$103)</f>
        <v>36.225000000000001</v>
      </c>
      <c r="G33" s="136" cm="1">
        <f t="array" ref="G33">SUMPRODUCT((BXL!$C$4:'BXL'!$C$103=A33)*BXL!$W$4:$W$103)+SUMPRODUCT((BXL!$AA$4:'BXL'!$AA$103=A33)*BXL!$AT$4:$AT$103)+SUMPRODUCT((BXL!$AB$4:'BXL'!$AB$103=A33)*BXL!$AT$4:$AT$103)</f>
        <v>36.225000000000001</v>
      </c>
      <c r="H33" s="115"/>
      <c r="I33" s="139">
        <f t="shared" si="3"/>
        <v>3009.7620500000003</v>
      </c>
      <c r="J33" s="136">
        <f t="shared" si="6"/>
        <v>386.94105000000002</v>
      </c>
      <c r="K33" s="136">
        <f t="shared" si="6"/>
        <v>2622.8209999999999</v>
      </c>
      <c r="L33" s="136">
        <f t="shared" si="6"/>
        <v>174.78717263157895</v>
      </c>
      <c r="M33" s="136">
        <f t="shared" si="6"/>
        <v>118.40827999999999</v>
      </c>
      <c r="N33" s="115"/>
      <c r="O33" s="131">
        <f>C33*ResourcesEmissions!B37</f>
        <v>712.94865643405501</v>
      </c>
      <c r="P33" s="131">
        <f>C33*ResourcesEmissions!C37</f>
        <v>606.59622239999624</v>
      </c>
      <c r="Q33" s="131">
        <f>C33*ResourcesEmissions!E37</f>
        <v>6963.0044333489041</v>
      </c>
      <c r="R33" s="115"/>
      <c r="S33" s="131">
        <f t="shared" si="7"/>
        <v>4168.0442866183475</v>
      </c>
      <c r="T33" s="131">
        <f t="shared" si="7"/>
        <v>4592.1867783392463</v>
      </c>
      <c r="U33" s="131">
        <f t="shared" si="7"/>
        <v>50460.987935393401</v>
      </c>
      <c r="V33" s="115"/>
      <c r="W33" s="128"/>
      <c r="X33" s="128"/>
      <c r="Y33" s="128"/>
      <c r="Z33" s="115"/>
      <c r="AA33" s="126"/>
      <c r="AB33" s="126"/>
      <c r="AC33" s="126"/>
      <c r="AD33" s="115"/>
      <c r="AE33" s="126"/>
      <c r="AF33" s="126"/>
      <c r="AG33" s="126"/>
      <c r="AH33" s="115"/>
      <c r="AI33" s="128"/>
      <c r="AJ33" s="128"/>
      <c r="AK33" s="128"/>
      <c r="AL33" s="115"/>
      <c r="AM33" s="126"/>
      <c r="AN33" s="126"/>
      <c r="AO33" s="126"/>
      <c r="AP33" s="115"/>
      <c r="AQ33" s="126"/>
      <c r="AR33" s="126"/>
      <c r="AS33" s="126"/>
    </row>
    <row r="34" spans="1:45" x14ac:dyDescent="0.25">
      <c r="A34" s="94">
        <v>1979</v>
      </c>
      <c r="B34" s="139" cm="1">
        <f t="array" ref="B34">SUMPRODUCT((BXL!$C$4:'BXL'!$C$103=A34)*BXL!$X$4:$X$103)+SUMPRODUCT((BXL!$AA$4:'BXL'!$AA$103=A34)*BXL!$AQ$4:$AQ$103)+SUMPRODUCT((BXL!$AB$4:'BXL'!$AB$103=A34)*BXL!$AQ$4:$AQ$103)</f>
        <v>0</v>
      </c>
      <c r="C34" s="139" cm="1">
        <f t="array" ref="C34">SUMPRODUCT((BXL!$C$4:'BXL'!$C$103=A34)*BXL!$Y$4:$Y$103)+SUMPRODUCT((BXL!$AA$4:'BXL'!$AA$103=A34)*BXL!$AR$4:$AR$103)+SUMPRODUCT((BXL!$AB$4:'BXL'!$AB$103=A34)*BXL!$AR$4:$AR$103)</f>
        <v>0</v>
      </c>
      <c r="D34" s="136" cm="1">
        <f t="array" ref="D34">SUMPRODUCT((BXL!$C$4:'BXL'!$C$103=A34)*BXL!$O$4:$O$103)+SUMPRODUCT((BXL!$AA$4:'BXL'!$AA$103=A34)*BXL!$AM$4:$AM$103)+SUMPRODUCT((BXL!$AB$4:'BXL'!$AB$103=A34)*BXL!$AM$4:$AM$103)</f>
        <v>0</v>
      </c>
      <c r="E34" s="136" cm="1">
        <f t="array" ref="E34">SUMPRODUCT((BXL!$C$4:'BXL'!$C$103=A34)*BXL!$R$4:$R$103)+SUMPRODUCT((BXL!$AA$4:'BXL'!$AA$103=A34)*BXL!$AP$4:$AP$103)+SUMPRODUCT((BXL!$AB$4:'BXL'!$AB$103=A34)*BXL!$AP$4:$AP$103)</f>
        <v>0</v>
      </c>
      <c r="F34" s="136" cm="1">
        <f t="array" ref="F34">SUMPRODUCT((BXL!$C$4:'BXL'!$C$103=A34)*BXL!$V$4:$V$103)+SUMPRODUCT((BXL!$AA$4:'BXL'!$AA$103=A34)*BXL!$AS$4:$AS$103)+SUMPRODUCT((BXL!$AB$4:'BXL'!$AB$103=A34)*BXL!$AS$4:$AS$103)</f>
        <v>0</v>
      </c>
      <c r="G34" s="136" cm="1">
        <f t="array" ref="G34">SUMPRODUCT((BXL!$C$4:'BXL'!$C$103=A34)*BXL!$W$4:$W$103)+SUMPRODUCT((BXL!$AA$4:'BXL'!$AA$103=A34)*BXL!$AT$4:$AT$103)+SUMPRODUCT((BXL!$AB$4:'BXL'!$AB$103=A34)*BXL!$AT$4:$AT$103)</f>
        <v>0</v>
      </c>
      <c r="H34" s="115"/>
      <c r="I34" s="139">
        <f t="shared" si="3"/>
        <v>3009.7620500000003</v>
      </c>
      <c r="J34" s="136">
        <f t="shared" si="6"/>
        <v>386.94105000000002</v>
      </c>
      <c r="K34" s="136">
        <f t="shared" si="6"/>
        <v>2622.8209999999999</v>
      </c>
      <c r="L34" s="136">
        <f t="shared" si="6"/>
        <v>174.78717263157895</v>
      </c>
      <c r="M34" s="136">
        <f t="shared" si="6"/>
        <v>118.40827999999999</v>
      </c>
      <c r="N34" s="115"/>
      <c r="O34" s="131">
        <f>C34*ResourcesEmissions!B38</f>
        <v>0</v>
      </c>
      <c r="P34" s="131">
        <f>C34*ResourcesEmissions!C38</f>
        <v>0</v>
      </c>
      <c r="Q34" s="131">
        <f>C34*ResourcesEmissions!E38</f>
        <v>0</v>
      </c>
      <c r="R34" s="115"/>
      <c r="S34" s="131">
        <f t="shared" si="7"/>
        <v>4168.0442866183475</v>
      </c>
      <c r="T34" s="131">
        <f t="shared" si="7"/>
        <v>4592.1867783392463</v>
      </c>
      <c r="U34" s="131">
        <f t="shared" si="7"/>
        <v>50460.987935393401</v>
      </c>
      <c r="V34" s="115"/>
      <c r="W34" s="128"/>
      <c r="X34" s="128"/>
      <c r="Y34" s="128"/>
      <c r="Z34" s="115"/>
      <c r="AA34" s="126"/>
      <c r="AB34" s="126"/>
      <c r="AC34" s="126"/>
      <c r="AD34" s="115"/>
      <c r="AE34" s="126"/>
      <c r="AF34" s="126"/>
      <c r="AG34" s="126"/>
      <c r="AH34" s="115"/>
      <c r="AI34" s="128"/>
      <c r="AJ34" s="128"/>
      <c r="AK34" s="128"/>
      <c r="AL34" s="115"/>
      <c r="AM34" s="126"/>
      <c r="AN34" s="126"/>
      <c r="AO34" s="126"/>
      <c r="AP34" s="115"/>
      <c r="AQ34" s="126"/>
      <c r="AR34" s="126"/>
      <c r="AS34" s="126"/>
    </row>
    <row r="35" spans="1:45" x14ac:dyDescent="0.25">
      <c r="A35" s="94">
        <v>1980</v>
      </c>
      <c r="B35" s="139" cm="1">
        <f t="array" ref="B35">SUMPRODUCT((BXL!$C$4:'BXL'!$C$103=A35)*BXL!$X$4:$X$103)+SUMPRODUCT((BXL!$AA$4:'BXL'!$AA$103=A35)*BXL!$AQ$4:$AQ$103)+SUMPRODUCT((BXL!$AB$4:'BXL'!$AB$103=A35)*BXL!$AQ$4:$AQ$103)</f>
        <v>0</v>
      </c>
      <c r="C35" s="139" cm="1">
        <f t="array" ref="C35">SUMPRODUCT((BXL!$C$4:'BXL'!$C$103=A35)*BXL!$Y$4:$Y$103)+SUMPRODUCT((BXL!$AA$4:'BXL'!$AA$103=A35)*BXL!$AR$4:$AR$103)+SUMPRODUCT((BXL!$AB$4:'BXL'!$AB$103=A35)*BXL!$AR$4:$AR$103)</f>
        <v>0</v>
      </c>
      <c r="D35" s="136" cm="1">
        <f t="array" ref="D35">SUMPRODUCT((BXL!$C$4:'BXL'!$C$103=A35)*BXL!$O$4:$O$103)+SUMPRODUCT((BXL!$AA$4:'BXL'!$AA$103=A35)*BXL!$AM$4:$AM$103)+SUMPRODUCT((BXL!$AB$4:'BXL'!$AB$103=A35)*BXL!$AM$4:$AM$103)</f>
        <v>0</v>
      </c>
      <c r="E35" s="136" cm="1">
        <f t="array" ref="E35">SUMPRODUCT((BXL!$C$4:'BXL'!$C$103=A35)*BXL!$R$4:$R$103)+SUMPRODUCT((BXL!$AA$4:'BXL'!$AA$103=A35)*BXL!$AP$4:$AP$103)+SUMPRODUCT((BXL!$AB$4:'BXL'!$AB$103=A35)*BXL!$AP$4:$AP$103)</f>
        <v>0</v>
      </c>
      <c r="F35" s="136" cm="1">
        <f t="array" ref="F35">SUMPRODUCT((BXL!$C$4:'BXL'!$C$103=A35)*BXL!$V$4:$V$103)+SUMPRODUCT((BXL!$AA$4:'BXL'!$AA$103=A35)*BXL!$AS$4:$AS$103)+SUMPRODUCT((BXL!$AB$4:'BXL'!$AB$103=A35)*BXL!$AS$4:$AS$103)</f>
        <v>0</v>
      </c>
      <c r="G35" s="136" cm="1">
        <f t="array" ref="G35">SUMPRODUCT((BXL!$C$4:'BXL'!$C$103=A35)*BXL!$W$4:$W$103)+SUMPRODUCT((BXL!$AA$4:'BXL'!$AA$103=A35)*BXL!$AT$4:$AT$103)+SUMPRODUCT((BXL!$AB$4:'BXL'!$AB$103=A35)*BXL!$AT$4:$AT$103)</f>
        <v>0</v>
      </c>
      <c r="H35" s="115"/>
      <c r="I35" s="139">
        <f t="shared" si="3"/>
        <v>3009.7620500000003</v>
      </c>
      <c r="J35" s="136">
        <f t="shared" si="6"/>
        <v>386.94105000000002</v>
      </c>
      <c r="K35" s="136">
        <f t="shared" si="6"/>
        <v>2622.8209999999999</v>
      </c>
      <c r="L35" s="136">
        <f t="shared" si="6"/>
        <v>174.78717263157895</v>
      </c>
      <c r="M35" s="136">
        <f t="shared" si="6"/>
        <v>118.40827999999999</v>
      </c>
      <c r="N35" s="115"/>
      <c r="O35" s="131">
        <f>C35*ResourcesEmissions!B39</f>
        <v>0</v>
      </c>
      <c r="P35" s="131">
        <f>C35*ResourcesEmissions!C39</f>
        <v>0</v>
      </c>
      <c r="Q35" s="131">
        <f>C35*ResourcesEmissions!E39</f>
        <v>0</v>
      </c>
      <c r="R35" s="115"/>
      <c r="S35" s="131">
        <f t="shared" si="7"/>
        <v>4168.0442866183475</v>
      </c>
      <c r="T35" s="131">
        <f t="shared" si="7"/>
        <v>4592.1867783392463</v>
      </c>
      <c r="U35" s="131">
        <f t="shared" si="7"/>
        <v>50460.987935393401</v>
      </c>
      <c r="V35" s="115"/>
      <c r="W35" s="128"/>
      <c r="X35" s="128"/>
      <c r="Y35" s="128"/>
      <c r="Z35" s="115"/>
      <c r="AA35" s="126"/>
      <c r="AB35" s="126"/>
      <c r="AC35" s="126"/>
      <c r="AD35" s="115"/>
      <c r="AE35" s="126"/>
      <c r="AF35" s="126"/>
      <c r="AG35" s="126"/>
      <c r="AH35" s="115"/>
      <c r="AI35" s="128"/>
      <c r="AJ35" s="128"/>
      <c r="AK35" s="128"/>
      <c r="AL35" s="115"/>
      <c r="AM35" s="126"/>
      <c r="AN35" s="126"/>
      <c r="AO35" s="126"/>
      <c r="AP35" s="115"/>
      <c r="AQ35" s="126"/>
      <c r="AR35" s="126"/>
      <c r="AS35" s="126"/>
    </row>
    <row r="36" spans="1:45" x14ac:dyDescent="0.25">
      <c r="A36" s="94">
        <v>1981</v>
      </c>
      <c r="B36" s="139" cm="1">
        <f t="array" ref="B36">SUMPRODUCT((BXL!$C$4:'BXL'!$C$103=A36)*BXL!$X$4:$X$103)+SUMPRODUCT((BXL!$AA$4:'BXL'!$AA$103=A36)*BXL!$AQ$4:$AQ$103)+SUMPRODUCT((BXL!$AB$4:'BXL'!$AB$103=A36)*BXL!$AQ$4:$AQ$103)</f>
        <v>0</v>
      </c>
      <c r="C36" s="139" cm="1">
        <f t="array" ref="C36">SUMPRODUCT((BXL!$C$4:'BXL'!$C$103=A36)*BXL!$Y$4:$Y$103)+SUMPRODUCT((BXL!$AA$4:'BXL'!$AA$103=A36)*BXL!$AR$4:$AR$103)+SUMPRODUCT((BXL!$AB$4:'BXL'!$AB$103=A36)*BXL!$AR$4:$AR$103)</f>
        <v>0</v>
      </c>
      <c r="D36" s="136" cm="1">
        <f t="array" ref="D36">SUMPRODUCT((BXL!$C$4:'BXL'!$C$103=A36)*BXL!$O$4:$O$103)+SUMPRODUCT((BXL!$AA$4:'BXL'!$AA$103=A36)*BXL!$AM$4:$AM$103)+SUMPRODUCT((BXL!$AB$4:'BXL'!$AB$103=A36)*BXL!$AM$4:$AM$103)</f>
        <v>0</v>
      </c>
      <c r="E36" s="136" cm="1">
        <f t="array" ref="E36">SUMPRODUCT((BXL!$C$4:'BXL'!$C$103=A36)*BXL!$R$4:$R$103)+SUMPRODUCT((BXL!$AA$4:'BXL'!$AA$103=A36)*BXL!$AP$4:$AP$103)+SUMPRODUCT((BXL!$AB$4:'BXL'!$AB$103=A36)*BXL!$AP$4:$AP$103)</f>
        <v>0</v>
      </c>
      <c r="F36" s="136" cm="1">
        <f t="array" ref="F36">SUMPRODUCT((BXL!$C$4:'BXL'!$C$103=A36)*BXL!$V$4:$V$103)+SUMPRODUCT((BXL!$AA$4:'BXL'!$AA$103=A36)*BXL!$AS$4:$AS$103)+SUMPRODUCT((BXL!$AB$4:'BXL'!$AB$103=A36)*BXL!$AS$4:$AS$103)</f>
        <v>0</v>
      </c>
      <c r="G36" s="136" cm="1">
        <f t="array" ref="G36">SUMPRODUCT((BXL!$C$4:'BXL'!$C$103=A36)*BXL!$W$4:$W$103)+SUMPRODUCT((BXL!$AA$4:'BXL'!$AA$103=A36)*BXL!$AT$4:$AT$103)+SUMPRODUCT((BXL!$AB$4:'BXL'!$AB$103=A36)*BXL!$AT$4:$AT$103)</f>
        <v>0</v>
      </c>
      <c r="H36" s="115"/>
      <c r="I36" s="139">
        <f t="shared" si="3"/>
        <v>3009.7620500000003</v>
      </c>
      <c r="J36" s="136">
        <f t="shared" si="6"/>
        <v>386.94105000000002</v>
      </c>
      <c r="K36" s="136">
        <f t="shared" si="6"/>
        <v>2622.8209999999999</v>
      </c>
      <c r="L36" s="136">
        <f t="shared" si="6"/>
        <v>174.78717263157895</v>
      </c>
      <c r="M36" s="136">
        <f t="shared" si="6"/>
        <v>118.40827999999999</v>
      </c>
      <c r="N36" s="115"/>
      <c r="O36" s="131">
        <f>C36*ResourcesEmissions!B40</f>
        <v>0</v>
      </c>
      <c r="P36" s="131">
        <f>C36*ResourcesEmissions!C40</f>
        <v>0</v>
      </c>
      <c r="Q36" s="131">
        <f>C36*ResourcesEmissions!E40</f>
        <v>0</v>
      </c>
      <c r="R36" s="115"/>
      <c r="S36" s="131">
        <f t="shared" si="7"/>
        <v>4168.0442866183475</v>
      </c>
      <c r="T36" s="131">
        <f t="shared" si="7"/>
        <v>4592.1867783392463</v>
      </c>
      <c r="U36" s="131">
        <f t="shared" si="7"/>
        <v>50460.987935393401</v>
      </c>
      <c r="V36" s="115"/>
      <c r="W36" s="128"/>
      <c r="X36" s="128"/>
      <c r="Y36" s="128"/>
      <c r="Z36" s="115"/>
      <c r="AA36" s="126"/>
      <c r="AB36" s="126"/>
      <c r="AC36" s="126"/>
      <c r="AD36" s="115"/>
      <c r="AE36" s="126"/>
      <c r="AF36" s="126"/>
      <c r="AG36" s="126"/>
      <c r="AH36" s="115"/>
      <c r="AI36" s="128"/>
      <c r="AJ36" s="128"/>
      <c r="AK36" s="128"/>
      <c r="AL36" s="115"/>
      <c r="AM36" s="126"/>
      <c r="AN36" s="126"/>
      <c r="AO36" s="126"/>
      <c r="AP36" s="115"/>
      <c r="AQ36" s="126"/>
      <c r="AR36" s="126"/>
      <c r="AS36" s="126"/>
    </row>
    <row r="37" spans="1:45" x14ac:dyDescent="0.25">
      <c r="A37" s="94">
        <v>1982</v>
      </c>
      <c r="B37" s="139" cm="1">
        <f t="array" ref="B37">SUMPRODUCT((BXL!$C$4:'BXL'!$C$103=A37)*BXL!$X$4:$X$103)+SUMPRODUCT((BXL!$AA$4:'BXL'!$AA$103=A37)*BXL!$AQ$4:$AQ$103)+SUMPRODUCT((BXL!$AB$4:'BXL'!$AB$103=A37)*BXL!$AQ$4:$AQ$103)</f>
        <v>0</v>
      </c>
      <c r="C37" s="139" cm="1">
        <f t="array" ref="C37">SUMPRODUCT((BXL!$C$4:'BXL'!$C$103=A37)*BXL!$Y$4:$Y$103)+SUMPRODUCT((BXL!$AA$4:'BXL'!$AA$103=A37)*BXL!$AR$4:$AR$103)+SUMPRODUCT((BXL!$AB$4:'BXL'!$AB$103=A37)*BXL!$AR$4:$AR$103)</f>
        <v>0</v>
      </c>
      <c r="D37" s="136" cm="1">
        <f t="array" ref="D37">SUMPRODUCT((BXL!$C$4:'BXL'!$C$103=A37)*BXL!$O$4:$O$103)+SUMPRODUCT((BXL!$AA$4:'BXL'!$AA$103=A37)*BXL!$AM$4:$AM$103)+SUMPRODUCT((BXL!$AB$4:'BXL'!$AB$103=A37)*BXL!$AM$4:$AM$103)</f>
        <v>0</v>
      </c>
      <c r="E37" s="136" cm="1">
        <f t="array" ref="E37">SUMPRODUCT((BXL!$C$4:'BXL'!$C$103=A37)*BXL!$R$4:$R$103)+SUMPRODUCT((BXL!$AA$4:'BXL'!$AA$103=A37)*BXL!$AP$4:$AP$103)+SUMPRODUCT((BXL!$AB$4:'BXL'!$AB$103=A37)*BXL!$AP$4:$AP$103)</f>
        <v>0</v>
      </c>
      <c r="F37" s="136" cm="1">
        <f t="array" ref="F37">SUMPRODUCT((BXL!$C$4:'BXL'!$C$103=A37)*BXL!$V$4:$V$103)+SUMPRODUCT((BXL!$AA$4:'BXL'!$AA$103=A37)*BXL!$AS$4:$AS$103)+SUMPRODUCT((BXL!$AB$4:'BXL'!$AB$103=A37)*BXL!$AS$4:$AS$103)</f>
        <v>0</v>
      </c>
      <c r="G37" s="136" cm="1">
        <f t="array" ref="G37">SUMPRODUCT((BXL!$C$4:'BXL'!$C$103=A37)*BXL!$W$4:$W$103)+SUMPRODUCT((BXL!$AA$4:'BXL'!$AA$103=A37)*BXL!$AT$4:$AT$103)+SUMPRODUCT((BXL!$AB$4:'BXL'!$AB$103=A37)*BXL!$AT$4:$AT$103)</f>
        <v>0</v>
      </c>
      <c r="H37" s="115"/>
      <c r="I37" s="139">
        <f t="shared" si="3"/>
        <v>3009.7620500000003</v>
      </c>
      <c r="J37" s="136">
        <f t="shared" si="6"/>
        <v>386.94105000000002</v>
      </c>
      <c r="K37" s="136">
        <f t="shared" si="6"/>
        <v>2622.8209999999999</v>
      </c>
      <c r="L37" s="136">
        <f t="shared" si="6"/>
        <v>174.78717263157895</v>
      </c>
      <c r="M37" s="136">
        <f t="shared" si="6"/>
        <v>118.40827999999999</v>
      </c>
      <c r="N37" s="115"/>
      <c r="O37" s="131">
        <f>C37*ResourcesEmissions!B41</f>
        <v>0</v>
      </c>
      <c r="P37" s="131">
        <f>C37*ResourcesEmissions!C41</f>
        <v>0</v>
      </c>
      <c r="Q37" s="131">
        <f>C37*ResourcesEmissions!E41</f>
        <v>0</v>
      </c>
      <c r="R37" s="115"/>
      <c r="S37" s="131">
        <f t="shared" si="7"/>
        <v>4168.0442866183475</v>
      </c>
      <c r="T37" s="131">
        <f t="shared" si="7"/>
        <v>4592.1867783392463</v>
      </c>
      <c r="U37" s="131">
        <f t="shared" si="7"/>
        <v>50460.987935393401</v>
      </c>
      <c r="V37" s="115"/>
      <c r="W37" s="128"/>
      <c r="X37" s="128"/>
      <c r="Y37" s="128"/>
      <c r="Z37" s="115"/>
      <c r="AA37" s="126"/>
      <c r="AB37" s="126"/>
      <c r="AC37" s="126"/>
      <c r="AD37" s="115"/>
      <c r="AE37" s="126"/>
      <c r="AF37" s="126"/>
      <c r="AG37" s="126"/>
      <c r="AH37" s="115"/>
      <c r="AI37" s="128"/>
      <c r="AJ37" s="128"/>
      <c r="AK37" s="128"/>
      <c r="AL37" s="115"/>
      <c r="AM37" s="126"/>
      <c r="AN37" s="126"/>
      <c r="AO37" s="126"/>
      <c r="AP37" s="115"/>
      <c r="AQ37" s="126"/>
      <c r="AR37" s="126"/>
      <c r="AS37" s="126"/>
    </row>
    <row r="38" spans="1:45" x14ac:dyDescent="0.25">
      <c r="A38" s="94">
        <v>1983</v>
      </c>
      <c r="B38" s="139" cm="1">
        <f t="array" ref="B38">SUMPRODUCT((BXL!$C$4:'BXL'!$C$103=A38)*BXL!$X$4:$X$103)+SUMPRODUCT((BXL!$AA$4:'BXL'!$AA$103=A38)*BXL!$AQ$4:$AQ$103)+SUMPRODUCT((BXL!$AB$4:'BXL'!$AB$103=A38)*BXL!$AQ$4:$AQ$103)</f>
        <v>19068.075000000001</v>
      </c>
      <c r="C38" s="139" cm="1">
        <f t="array" ref="C38">SUMPRODUCT((BXL!$C$4:'BXL'!$C$103=A38)*BXL!$Y$4:$Y$103)+SUMPRODUCT((BXL!$AA$4:'BXL'!$AA$103=A38)*BXL!$AR$4:$AR$103)+SUMPRODUCT((BXL!$AB$4:'BXL'!$AB$103=A38)*BXL!$AR$4:$AR$103)</f>
        <v>418.5675</v>
      </c>
      <c r="D38" s="136" cm="1">
        <f t="array" ref="D38">SUMPRODUCT((BXL!$C$4:'BXL'!$C$103=A38)*BXL!$O$4:$O$103)+SUMPRODUCT((BXL!$AA$4:'BXL'!$AA$103=A38)*BXL!$AM$4:$AM$103)+SUMPRODUCT((BXL!$AB$4:'BXL'!$AB$103=A38)*BXL!$AM$4:$AM$103)</f>
        <v>83.71350000000001</v>
      </c>
      <c r="E38" s="136" cm="1">
        <f t="array" ref="E38">SUMPRODUCT((BXL!$C$4:'BXL'!$C$103=A38)*BXL!$R$4:$R$103)+SUMPRODUCT((BXL!$AA$4:'BXL'!$AA$103=A38)*BXL!$AP$4:$AP$103)+SUMPRODUCT((BXL!$AB$4:'BXL'!$AB$103=A38)*BXL!$AP$4:$AP$103)</f>
        <v>334.85399999999998</v>
      </c>
      <c r="F38" s="136" cm="1">
        <f t="array" ref="F38">SUMPRODUCT((BXL!$C$4:'BXL'!$C$103=A38)*BXL!$V$4:$V$103)+SUMPRODUCT((BXL!$AA$4:'BXL'!$AA$103=A38)*BXL!$AS$4:$AS$103)+SUMPRODUCT((BXL!$AB$4:'BXL'!$AB$103=A38)*BXL!$AS$4:$AS$103)</f>
        <v>31.831800000000001</v>
      </c>
      <c r="G38" s="136" cm="1">
        <f t="array" ref="G38">SUMPRODUCT((BXL!$C$4:'BXL'!$C$103=A38)*BXL!$W$4:$W$103)+SUMPRODUCT((BXL!$AA$4:'BXL'!$AA$103=A38)*BXL!$AT$4:$AT$103)+SUMPRODUCT((BXL!$AB$4:'BXL'!$AB$103=A38)*BXL!$AT$4:$AT$103)</f>
        <v>18.189599999999999</v>
      </c>
      <c r="H38" s="115"/>
      <c r="I38" s="139">
        <f t="shared" si="3"/>
        <v>3428.3295500000004</v>
      </c>
      <c r="J38" s="136">
        <f t="shared" si="6"/>
        <v>470.65455000000003</v>
      </c>
      <c r="K38" s="136">
        <f t="shared" si="6"/>
        <v>2957.6749999999997</v>
      </c>
      <c r="L38" s="136">
        <f t="shared" si="6"/>
        <v>206.61897263157897</v>
      </c>
      <c r="M38" s="136">
        <f t="shared" si="6"/>
        <v>136.59787999999998</v>
      </c>
      <c r="N38" s="115"/>
      <c r="O38" s="131">
        <f>C38*ResourcesEmissions!B42</f>
        <v>540.93411696449891</v>
      </c>
      <c r="P38" s="131">
        <f>C38*ResourcesEmissions!C42</f>
        <v>416.70461587418146</v>
      </c>
      <c r="Q38" s="131">
        <f>C38*ResourcesEmissions!E42</f>
        <v>5189.080944954675</v>
      </c>
      <c r="R38" s="115"/>
      <c r="S38" s="131">
        <f t="shared" si="7"/>
        <v>4708.9784035828461</v>
      </c>
      <c r="T38" s="131">
        <f t="shared" si="7"/>
        <v>5008.8913942134277</v>
      </c>
      <c r="U38" s="131">
        <f t="shared" si="7"/>
        <v>55650.068880348073</v>
      </c>
      <c r="V38" s="115"/>
      <c r="W38" s="128"/>
      <c r="X38" s="128"/>
      <c r="Y38" s="128"/>
      <c r="Z38" s="115"/>
      <c r="AA38" s="126"/>
      <c r="AB38" s="126"/>
      <c r="AC38" s="126"/>
      <c r="AD38" s="115"/>
      <c r="AE38" s="126"/>
      <c r="AF38" s="126"/>
      <c r="AG38" s="126"/>
      <c r="AH38" s="115"/>
      <c r="AI38" s="128"/>
      <c r="AJ38" s="128"/>
      <c r="AK38" s="128"/>
      <c r="AL38" s="115"/>
      <c r="AM38" s="126"/>
      <c r="AN38" s="126"/>
      <c r="AO38" s="126"/>
      <c r="AP38" s="115"/>
      <c r="AQ38" s="126"/>
      <c r="AR38" s="126"/>
      <c r="AS38" s="126"/>
    </row>
    <row r="39" spans="1:45" x14ac:dyDescent="0.25">
      <c r="A39" s="94">
        <v>1984</v>
      </c>
      <c r="B39" s="139" cm="1">
        <f t="array" ref="B39">SUMPRODUCT((BXL!$C$4:'BXL'!$C$103=A39)*BXL!$X$4:$X$103)+SUMPRODUCT((BXL!$AA$4:'BXL'!$AA$103=A39)*BXL!$AQ$4:$AQ$103)+SUMPRODUCT((BXL!$AB$4:'BXL'!$AB$103=A39)*BXL!$AQ$4:$AQ$103)</f>
        <v>0</v>
      </c>
      <c r="C39" s="139" cm="1">
        <f t="array" ref="C39">SUMPRODUCT((BXL!$C$4:'BXL'!$C$103=A39)*BXL!$Y$4:$Y$103)+SUMPRODUCT((BXL!$AA$4:'BXL'!$AA$103=A39)*BXL!$AR$4:$AR$103)+SUMPRODUCT((BXL!$AB$4:'BXL'!$AB$103=A39)*BXL!$AR$4:$AR$103)</f>
        <v>0</v>
      </c>
      <c r="D39" s="136" cm="1">
        <f t="array" ref="D39">SUMPRODUCT((BXL!$C$4:'BXL'!$C$103=A39)*BXL!$O$4:$O$103)+SUMPRODUCT((BXL!$AA$4:'BXL'!$AA$103=A39)*BXL!$AM$4:$AM$103)+SUMPRODUCT((BXL!$AB$4:'BXL'!$AB$103=A39)*BXL!$AM$4:$AM$103)</f>
        <v>0</v>
      </c>
      <c r="E39" s="136" cm="1">
        <f t="array" ref="E39">SUMPRODUCT((BXL!$C$4:'BXL'!$C$103=A39)*BXL!$R$4:$R$103)+SUMPRODUCT((BXL!$AA$4:'BXL'!$AA$103=A39)*BXL!$AP$4:$AP$103)+SUMPRODUCT((BXL!$AB$4:'BXL'!$AB$103=A39)*BXL!$AP$4:$AP$103)</f>
        <v>0</v>
      </c>
      <c r="F39" s="136" cm="1">
        <f t="array" ref="F39">SUMPRODUCT((BXL!$C$4:'BXL'!$C$103=A39)*BXL!$V$4:$V$103)+SUMPRODUCT((BXL!$AA$4:'BXL'!$AA$103=A39)*BXL!$AS$4:$AS$103)+SUMPRODUCT((BXL!$AB$4:'BXL'!$AB$103=A39)*BXL!$AS$4:$AS$103)</f>
        <v>0</v>
      </c>
      <c r="G39" s="136" cm="1">
        <f t="array" ref="G39">SUMPRODUCT((BXL!$C$4:'BXL'!$C$103=A39)*BXL!$W$4:$W$103)+SUMPRODUCT((BXL!$AA$4:'BXL'!$AA$103=A39)*BXL!$AT$4:$AT$103)+SUMPRODUCT((BXL!$AB$4:'BXL'!$AB$103=A39)*BXL!$AT$4:$AT$103)</f>
        <v>0</v>
      </c>
      <c r="H39" s="115"/>
      <c r="I39" s="139">
        <f t="shared" ref="I39:I70" si="8">C39+I38</f>
        <v>3428.3295500000004</v>
      </c>
      <c r="J39" s="136">
        <f t="shared" ref="J39:M54" si="9">D39+J38</f>
        <v>470.65455000000003</v>
      </c>
      <c r="K39" s="136">
        <f t="shared" si="9"/>
        <v>2957.6749999999997</v>
      </c>
      <c r="L39" s="136">
        <f t="shared" si="9"/>
        <v>206.61897263157897</v>
      </c>
      <c r="M39" s="136">
        <f t="shared" si="9"/>
        <v>136.59787999999998</v>
      </c>
      <c r="N39" s="115"/>
      <c r="O39" s="131">
        <f>C39*ResourcesEmissions!B43</f>
        <v>0</v>
      </c>
      <c r="P39" s="131">
        <f>C39*ResourcesEmissions!C43</f>
        <v>0</v>
      </c>
      <c r="Q39" s="131">
        <f>C39*ResourcesEmissions!E43</f>
        <v>0</v>
      </c>
      <c r="R39" s="115"/>
      <c r="S39" s="131">
        <f t="shared" ref="S39:U54" si="10">O39+S38</f>
        <v>4708.9784035828461</v>
      </c>
      <c r="T39" s="131">
        <f t="shared" si="10"/>
        <v>5008.8913942134277</v>
      </c>
      <c r="U39" s="131">
        <f t="shared" si="10"/>
        <v>55650.068880348073</v>
      </c>
      <c r="V39" s="115"/>
      <c r="W39" s="128"/>
      <c r="X39" s="128"/>
      <c r="Y39" s="128"/>
      <c r="Z39" s="115"/>
      <c r="AA39" s="126"/>
      <c r="AB39" s="126"/>
      <c r="AC39" s="126"/>
      <c r="AD39" s="115"/>
      <c r="AE39" s="126"/>
      <c r="AF39" s="126"/>
      <c r="AG39" s="126"/>
      <c r="AH39" s="115"/>
      <c r="AI39" s="128"/>
      <c r="AJ39" s="128"/>
      <c r="AK39" s="128"/>
      <c r="AL39" s="115"/>
      <c r="AM39" s="126"/>
      <c r="AN39" s="126"/>
      <c r="AO39" s="126"/>
      <c r="AP39" s="115"/>
      <c r="AQ39" s="126"/>
      <c r="AR39" s="126"/>
      <c r="AS39" s="126"/>
    </row>
    <row r="40" spans="1:45" x14ac:dyDescent="0.25">
      <c r="A40" s="94">
        <v>1985</v>
      </c>
      <c r="B40" s="139" cm="1">
        <f t="array" ref="B40">SUMPRODUCT((BXL!$C$4:'BXL'!$C$103=A40)*BXL!$X$4:$X$103)+SUMPRODUCT((BXL!$AA$4:'BXL'!$AA$103=A40)*BXL!$AQ$4:$AQ$103)+SUMPRODUCT((BXL!$AB$4:'BXL'!$AB$103=A40)*BXL!$AQ$4:$AQ$103)</f>
        <v>0</v>
      </c>
      <c r="C40" s="139" cm="1">
        <f t="array" ref="C40">SUMPRODUCT((BXL!$C$4:'BXL'!$C$103=A40)*BXL!$Y$4:$Y$103)+SUMPRODUCT((BXL!$AA$4:'BXL'!$AA$103=A40)*BXL!$AR$4:$AR$103)+SUMPRODUCT((BXL!$AB$4:'BXL'!$AB$103=A40)*BXL!$AR$4:$AR$103)</f>
        <v>0</v>
      </c>
      <c r="D40" s="136" cm="1">
        <f t="array" ref="D40">SUMPRODUCT((BXL!$C$4:'BXL'!$C$103=A40)*BXL!$O$4:$O$103)+SUMPRODUCT((BXL!$AA$4:'BXL'!$AA$103=A40)*BXL!$AM$4:$AM$103)+SUMPRODUCT((BXL!$AB$4:'BXL'!$AB$103=A40)*BXL!$AM$4:$AM$103)</f>
        <v>0</v>
      </c>
      <c r="E40" s="136" cm="1">
        <f t="array" ref="E40">SUMPRODUCT((BXL!$C$4:'BXL'!$C$103=A40)*BXL!$R$4:$R$103)+SUMPRODUCT((BXL!$AA$4:'BXL'!$AA$103=A40)*BXL!$AP$4:$AP$103)+SUMPRODUCT((BXL!$AB$4:'BXL'!$AB$103=A40)*BXL!$AP$4:$AP$103)</f>
        <v>0</v>
      </c>
      <c r="F40" s="136" cm="1">
        <f t="array" ref="F40">SUMPRODUCT((BXL!$C$4:'BXL'!$C$103=A40)*BXL!$V$4:$V$103)+SUMPRODUCT((BXL!$AA$4:'BXL'!$AA$103=A40)*BXL!$AS$4:$AS$103)+SUMPRODUCT((BXL!$AB$4:'BXL'!$AB$103=A40)*BXL!$AS$4:$AS$103)</f>
        <v>0</v>
      </c>
      <c r="G40" s="136" cm="1">
        <f t="array" ref="G40">SUMPRODUCT((BXL!$C$4:'BXL'!$C$103=A40)*BXL!$W$4:$W$103)+SUMPRODUCT((BXL!$AA$4:'BXL'!$AA$103=A40)*BXL!$AT$4:$AT$103)+SUMPRODUCT((BXL!$AB$4:'BXL'!$AB$103=A40)*BXL!$AT$4:$AT$103)</f>
        <v>0</v>
      </c>
      <c r="H40" s="115"/>
      <c r="I40" s="139">
        <f t="shared" si="8"/>
        <v>3428.3295500000004</v>
      </c>
      <c r="J40" s="136">
        <f t="shared" si="9"/>
        <v>470.65455000000003</v>
      </c>
      <c r="K40" s="136">
        <f t="shared" si="9"/>
        <v>2957.6749999999997</v>
      </c>
      <c r="L40" s="136">
        <f t="shared" si="9"/>
        <v>206.61897263157897</v>
      </c>
      <c r="M40" s="136">
        <f t="shared" si="9"/>
        <v>136.59787999999998</v>
      </c>
      <c r="N40" s="115"/>
      <c r="O40" s="131">
        <f>C40*ResourcesEmissions!B44</f>
        <v>0</v>
      </c>
      <c r="P40" s="131">
        <f>C40*ResourcesEmissions!C44</f>
        <v>0</v>
      </c>
      <c r="Q40" s="131">
        <f>C40*ResourcesEmissions!E44</f>
        <v>0</v>
      </c>
      <c r="R40" s="115"/>
      <c r="S40" s="131">
        <f t="shared" si="10"/>
        <v>4708.9784035828461</v>
      </c>
      <c r="T40" s="131">
        <f t="shared" si="10"/>
        <v>5008.8913942134277</v>
      </c>
      <c r="U40" s="131">
        <f t="shared" si="10"/>
        <v>55650.068880348073</v>
      </c>
      <c r="V40" s="115"/>
      <c r="W40" s="128"/>
      <c r="X40" s="128"/>
      <c r="Y40" s="128"/>
      <c r="Z40" s="115"/>
      <c r="AA40" s="126"/>
      <c r="AB40" s="126"/>
      <c r="AC40" s="126"/>
      <c r="AD40" s="115"/>
      <c r="AE40" s="126"/>
      <c r="AF40" s="126"/>
      <c r="AG40" s="126"/>
      <c r="AH40" s="115"/>
      <c r="AI40" s="128"/>
      <c r="AJ40" s="128"/>
      <c r="AK40" s="128"/>
      <c r="AL40" s="115"/>
      <c r="AM40" s="126"/>
      <c r="AN40" s="126"/>
      <c r="AO40" s="126"/>
      <c r="AP40" s="115"/>
      <c r="AQ40" s="126"/>
      <c r="AR40" s="126"/>
      <c r="AS40" s="126"/>
    </row>
    <row r="41" spans="1:45" x14ac:dyDescent="0.25">
      <c r="A41" s="94">
        <v>1986</v>
      </c>
      <c r="B41" s="139" cm="1">
        <f t="array" ref="B41">SUMPRODUCT((BXL!$C$4:'BXL'!$C$103=A41)*BXL!$X$4:$X$103)+SUMPRODUCT((BXL!$AA$4:'BXL'!$AA$103=A41)*BXL!$AQ$4:$AQ$103)+SUMPRODUCT((BXL!$AB$4:'BXL'!$AB$103=A41)*BXL!$AQ$4:$AQ$103)</f>
        <v>0</v>
      </c>
      <c r="C41" s="139" cm="1">
        <f t="array" ref="C41">SUMPRODUCT((BXL!$C$4:'BXL'!$C$103=A41)*BXL!$Y$4:$Y$103)+SUMPRODUCT((BXL!$AA$4:'BXL'!$AA$103=A41)*BXL!$AR$4:$AR$103)+SUMPRODUCT((BXL!$AB$4:'BXL'!$AB$103=A41)*BXL!$AR$4:$AR$103)</f>
        <v>0</v>
      </c>
      <c r="D41" s="136" cm="1">
        <f t="array" ref="D41">SUMPRODUCT((BXL!$C$4:'BXL'!$C$103=A41)*BXL!$O$4:$O$103)+SUMPRODUCT((BXL!$AA$4:'BXL'!$AA$103=A41)*BXL!$AM$4:$AM$103)+SUMPRODUCT((BXL!$AB$4:'BXL'!$AB$103=A41)*BXL!$AM$4:$AM$103)</f>
        <v>0</v>
      </c>
      <c r="E41" s="136" cm="1">
        <f t="array" ref="E41">SUMPRODUCT((BXL!$C$4:'BXL'!$C$103=A41)*BXL!$R$4:$R$103)+SUMPRODUCT((BXL!$AA$4:'BXL'!$AA$103=A41)*BXL!$AP$4:$AP$103)+SUMPRODUCT((BXL!$AB$4:'BXL'!$AB$103=A41)*BXL!$AP$4:$AP$103)</f>
        <v>0</v>
      </c>
      <c r="F41" s="136" cm="1">
        <f t="array" ref="F41">SUMPRODUCT((BXL!$C$4:'BXL'!$C$103=A41)*BXL!$V$4:$V$103)+SUMPRODUCT((BXL!$AA$4:'BXL'!$AA$103=A41)*BXL!$AS$4:$AS$103)+SUMPRODUCT((BXL!$AB$4:'BXL'!$AB$103=A41)*BXL!$AS$4:$AS$103)</f>
        <v>0</v>
      </c>
      <c r="G41" s="136" cm="1">
        <f t="array" ref="G41">SUMPRODUCT((BXL!$C$4:'BXL'!$C$103=A41)*BXL!$W$4:$W$103)+SUMPRODUCT((BXL!$AA$4:'BXL'!$AA$103=A41)*BXL!$AT$4:$AT$103)+SUMPRODUCT((BXL!$AB$4:'BXL'!$AB$103=A41)*BXL!$AT$4:$AT$103)</f>
        <v>0</v>
      </c>
      <c r="H41" s="115"/>
      <c r="I41" s="139">
        <f t="shared" si="8"/>
        <v>3428.3295500000004</v>
      </c>
      <c r="J41" s="136">
        <f t="shared" si="9"/>
        <v>470.65455000000003</v>
      </c>
      <c r="K41" s="136">
        <f t="shared" si="9"/>
        <v>2957.6749999999997</v>
      </c>
      <c r="L41" s="136">
        <f t="shared" si="9"/>
        <v>206.61897263157897</v>
      </c>
      <c r="M41" s="136">
        <f t="shared" si="9"/>
        <v>136.59787999999998</v>
      </c>
      <c r="N41" s="115"/>
      <c r="O41" s="131">
        <f>C41*ResourcesEmissions!B45</f>
        <v>0</v>
      </c>
      <c r="P41" s="131">
        <f>C41*ResourcesEmissions!C45</f>
        <v>0</v>
      </c>
      <c r="Q41" s="131">
        <f>C41*ResourcesEmissions!E45</f>
        <v>0</v>
      </c>
      <c r="R41" s="115"/>
      <c r="S41" s="131">
        <f t="shared" si="10"/>
        <v>4708.9784035828461</v>
      </c>
      <c r="T41" s="131">
        <f t="shared" si="10"/>
        <v>5008.8913942134277</v>
      </c>
      <c r="U41" s="131">
        <f t="shared" si="10"/>
        <v>55650.068880348073</v>
      </c>
      <c r="V41" s="115"/>
      <c r="W41" s="128"/>
      <c r="X41" s="128"/>
      <c r="Y41" s="128"/>
      <c r="Z41" s="115"/>
      <c r="AA41" s="126"/>
      <c r="AB41" s="126"/>
      <c r="AC41" s="126"/>
      <c r="AD41" s="115"/>
      <c r="AE41" s="126"/>
      <c r="AF41" s="126"/>
      <c r="AG41" s="126"/>
      <c r="AH41" s="115"/>
      <c r="AI41" s="128"/>
      <c r="AJ41" s="128"/>
      <c r="AK41" s="128"/>
      <c r="AL41" s="115"/>
      <c r="AM41" s="126"/>
      <c r="AN41" s="126"/>
      <c r="AO41" s="126"/>
      <c r="AP41" s="115"/>
      <c r="AQ41" s="126"/>
      <c r="AR41" s="126"/>
      <c r="AS41" s="126"/>
    </row>
    <row r="42" spans="1:45" x14ac:dyDescent="0.25">
      <c r="A42" s="94">
        <v>1987</v>
      </c>
      <c r="B42" s="139" cm="1">
        <f t="array" ref="B42">SUMPRODUCT((BXL!$C$4:'BXL'!$C$103=A42)*BXL!$X$4:$X$103)+SUMPRODUCT((BXL!$AA$4:'BXL'!$AA$103=A42)*BXL!$AQ$4:$AQ$103)+SUMPRODUCT((BXL!$AB$4:'BXL'!$AB$103=A42)*BXL!$AQ$4:$AQ$103)</f>
        <v>0</v>
      </c>
      <c r="C42" s="139" cm="1">
        <f t="array" ref="C42">SUMPRODUCT((BXL!$C$4:'BXL'!$C$103=A42)*BXL!$Y$4:$Y$103)+SUMPRODUCT((BXL!$AA$4:'BXL'!$AA$103=A42)*BXL!$AR$4:$AR$103)+SUMPRODUCT((BXL!$AB$4:'BXL'!$AB$103=A42)*BXL!$AR$4:$AR$103)</f>
        <v>0</v>
      </c>
      <c r="D42" s="136" cm="1">
        <f t="array" ref="D42">SUMPRODUCT((BXL!$C$4:'BXL'!$C$103=A42)*BXL!$O$4:$O$103)+SUMPRODUCT((BXL!$AA$4:'BXL'!$AA$103=A42)*BXL!$AM$4:$AM$103)+SUMPRODUCT((BXL!$AB$4:'BXL'!$AB$103=A42)*BXL!$AM$4:$AM$103)</f>
        <v>0</v>
      </c>
      <c r="E42" s="136" cm="1">
        <f t="array" ref="E42">SUMPRODUCT((BXL!$C$4:'BXL'!$C$103=A42)*BXL!$R$4:$R$103)+SUMPRODUCT((BXL!$AA$4:'BXL'!$AA$103=A42)*BXL!$AP$4:$AP$103)+SUMPRODUCT((BXL!$AB$4:'BXL'!$AB$103=A42)*BXL!$AP$4:$AP$103)</f>
        <v>0</v>
      </c>
      <c r="F42" s="136" cm="1">
        <f t="array" ref="F42">SUMPRODUCT((BXL!$C$4:'BXL'!$C$103=A42)*BXL!$V$4:$V$103)+SUMPRODUCT((BXL!$AA$4:'BXL'!$AA$103=A42)*BXL!$AS$4:$AS$103)+SUMPRODUCT((BXL!$AB$4:'BXL'!$AB$103=A42)*BXL!$AS$4:$AS$103)</f>
        <v>0</v>
      </c>
      <c r="G42" s="136" cm="1">
        <f t="array" ref="G42">SUMPRODUCT((BXL!$C$4:'BXL'!$C$103=A42)*BXL!$W$4:$W$103)+SUMPRODUCT((BXL!$AA$4:'BXL'!$AA$103=A42)*BXL!$AT$4:$AT$103)+SUMPRODUCT((BXL!$AB$4:'BXL'!$AB$103=A42)*BXL!$AT$4:$AT$103)</f>
        <v>0</v>
      </c>
      <c r="H42" s="115"/>
      <c r="I42" s="139">
        <f t="shared" si="8"/>
        <v>3428.3295500000004</v>
      </c>
      <c r="J42" s="136">
        <f t="shared" si="9"/>
        <v>470.65455000000003</v>
      </c>
      <c r="K42" s="136">
        <f t="shared" si="9"/>
        <v>2957.6749999999997</v>
      </c>
      <c r="L42" s="136">
        <f t="shared" si="9"/>
        <v>206.61897263157897</v>
      </c>
      <c r="M42" s="136">
        <f t="shared" si="9"/>
        <v>136.59787999999998</v>
      </c>
      <c r="N42" s="115"/>
      <c r="O42" s="131">
        <f>C42*ResourcesEmissions!B46</f>
        <v>0</v>
      </c>
      <c r="P42" s="131">
        <f>C42*ResourcesEmissions!C46</f>
        <v>0</v>
      </c>
      <c r="Q42" s="131">
        <f>C42*ResourcesEmissions!E46</f>
        <v>0</v>
      </c>
      <c r="R42" s="115"/>
      <c r="S42" s="131">
        <f t="shared" si="10"/>
        <v>4708.9784035828461</v>
      </c>
      <c r="T42" s="131">
        <f t="shared" si="10"/>
        <v>5008.8913942134277</v>
      </c>
      <c r="U42" s="131">
        <f t="shared" si="10"/>
        <v>55650.068880348073</v>
      </c>
      <c r="V42" s="115"/>
      <c r="W42" s="128"/>
      <c r="X42" s="128"/>
      <c r="Y42" s="128"/>
      <c r="Z42" s="115"/>
      <c r="AA42" s="126"/>
      <c r="AB42" s="126"/>
      <c r="AC42" s="126"/>
      <c r="AD42" s="115"/>
      <c r="AE42" s="126"/>
      <c r="AF42" s="126"/>
      <c r="AG42" s="126"/>
      <c r="AH42" s="115"/>
      <c r="AI42" s="128"/>
      <c r="AJ42" s="128"/>
      <c r="AK42" s="128"/>
      <c r="AL42" s="115"/>
      <c r="AM42" s="126"/>
      <c r="AN42" s="126"/>
      <c r="AO42" s="126"/>
      <c r="AP42" s="115"/>
      <c r="AQ42" s="126"/>
      <c r="AR42" s="126"/>
      <c r="AS42" s="126"/>
    </row>
    <row r="43" spans="1:45" x14ac:dyDescent="0.25">
      <c r="A43" s="94">
        <v>1988</v>
      </c>
      <c r="B43" s="139" cm="1">
        <f t="array" ref="B43">SUMPRODUCT((BXL!$C$4:'BXL'!$C$103=A43)*BXL!$X$4:$X$103)+SUMPRODUCT((BXL!$AA$4:'BXL'!$AA$103=A43)*BXL!$AQ$4:$AQ$103)+SUMPRODUCT((BXL!$AB$4:'BXL'!$AB$103=A43)*BXL!$AQ$4:$AQ$103)</f>
        <v>0</v>
      </c>
      <c r="C43" s="139" cm="1">
        <f t="array" ref="C43">SUMPRODUCT((BXL!$C$4:'BXL'!$C$103=A43)*BXL!$Y$4:$Y$103)+SUMPRODUCT((BXL!$AA$4:'BXL'!$AA$103=A43)*BXL!$AR$4:$AR$103)+SUMPRODUCT((BXL!$AB$4:'BXL'!$AB$103=A43)*BXL!$AR$4:$AR$103)</f>
        <v>0</v>
      </c>
      <c r="D43" s="136" cm="1">
        <f t="array" ref="D43">SUMPRODUCT((BXL!$C$4:'BXL'!$C$103=A43)*BXL!$O$4:$O$103)+SUMPRODUCT((BXL!$AA$4:'BXL'!$AA$103=A43)*BXL!$AM$4:$AM$103)+SUMPRODUCT((BXL!$AB$4:'BXL'!$AB$103=A43)*BXL!$AM$4:$AM$103)</f>
        <v>0</v>
      </c>
      <c r="E43" s="136" cm="1">
        <f t="array" ref="E43">SUMPRODUCT((BXL!$C$4:'BXL'!$C$103=A43)*BXL!$R$4:$R$103)+SUMPRODUCT((BXL!$AA$4:'BXL'!$AA$103=A43)*BXL!$AP$4:$AP$103)+SUMPRODUCT((BXL!$AB$4:'BXL'!$AB$103=A43)*BXL!$AP$4:$AP$103)</f>
        <v>0</v>
      </c>
      <c r="F43" s="136" cm="1">
        <f t="array" ref="F43">SUMPRODUCT((BXL!$C$4:'BXL'!$C$103=A43)*BXL!$V$4:$V$103)+SUMPRODUCT((BXL!$AA$4:'BXL'!$AA$103=A43)*BXL!$AS$4:$AS$103)+SUMPRODUCT((BXL!$AB$4:'BXL'!$AB$103=A43)*BXL!$AS$4:$AS$103)</f>
        <v>0</v>
      </c>
      <c r="G43" s="136" cm="1">
        <f t="array" ref="G43">SUMPRODUCT((BXL!$C$4:'BXL'!$C$103=A43)*BXL!$W$4:$W$103)+SUMPRODUCT((BXL!$AA$4:'BXL'!$AA$103=A43)*BXL!$AT$4:$AT$103)+SUMPRODUCT((BXL!$AB$4:'BXL'!$AB$103=A43)*BXL!$AT$4:$AT$103)</f>
        <v>0</v>
      </c>
      <c r="H43" s="115"/>
      <c r="I43" s="139">
        <f t="shared" si="8"/>
        <v>3428.3295500000004</v>
      </c>
      <c r="J43" s="136">
        <f t="shared" si="9"/>
        <v>470.65455000000003</v>
      </c>
      <c r="K43" s="136">
        <f t="shared" si="9"/>
        <v>2957.6749999999997</v>
      </c>
      <c r="L43" s="136">
        <f t="shared" si="9"/>
        <v>206.61897263157897</v>
      </c>
      <c r="M43" s="136">
        <f t="shared" si="9"/>
        <v>136.59787999999998</v>
      </c>
      <c r="N43" s="115"/>
      <c r="O43" s="131">
        <f>C43*ResourcesEmissions!B47</f>
        <v>0</v>
      </c>
      <c r="P43" s="131">
        <f>C43*ResourcesEmissions!C47</f>
        <v>0</v>
      </c>
      <c r="Q43" s="131">
        <f>C43*ResourcesEmissions!E47</f>
        <v>0</v>
      </c>
      <c r="R43" s="115"/>
      <c r="S43" s="131">
        <f t="shared" si="10"/>
        <v>4708.9784035828461</v>
      </c>
      <c r="T43" s="131">
        <f t="shared" si="10"/>
        <v>5008.8913942134277</v>
      </c>
      <c r="U43" s="131">
        <f t="shared" si="10"/>
        <v>55650.068880348073</v>
      </c>
      <c r="V43" s="115"/>
      <c r="W43" s="128"/>
      <c r="X43" s="128"/>
      <c r="Y43" s="128"/>
      <c r="Z43" s="115"/>
      <c r="AA43" s="126"/>
      <c r="AB43" s="126"/>
      <c r="AC43" s="126"/>
      <c r="AD43" s="115"/>
      <c r="AE43" s="126"/>
      <c r="AF43" s="126"/>
      <c r="AG43" s="126"/>
      <c r="AH43" s="115"/>
      <c r="AI43" s="128"/>
      <c r="AJ43" s="128"/>
      <c r="AK43" s="128"/>
      <c r="AL43" s="115"/>
      <c r="AM43" s="126"/>
      <c r="AN43" s="126"/>
      <c r="AO43" s="126"/>
      <c r="AP43" s="115"/>
      <c r="AQ43" s="126"/>
      <c r="AR43" s="126"/>
      <c r="AS43" s="126"/>
    </row>
    <row r="44" spans="1:45" x14ac:dyDescent="0.25">
      <c r="A44" s="94">
        <v>1989</v>
      </c>
      <c r="B44" s="139" cm="1">
        <f t="array" ref="B44">SUMPRODUCT((BXL!$C$4:'BXL'!$C$103=A44)*BXL!$X$4:$X$103)+SUMPRODUCT((BXL!$AA$4:'BXL'!$AA$103=A44)*BXL!$AQ$4:$AQ$103)+SUMPRODUCT((BXL!$AB$4:'BXL'!$AB$103=A44)*BXL!$AQ$4:$AQ$103)</f>
        <v>0</v>
      </c>
      <c r="C44" s="139" cm="1">
        <f t="array" ref="C44">SUMPRODUCT((BXL!$C$4:'BXL'!$C$103=A44)*BXL!$Y$4:$Y$103)+SUMPRODUCT((BXL!$AA$4:'BXL'!$AA$103=A44)*BXL!$AR$4:$AR$103)+SUMPRODUCT((BXL!$AB$4:'BXL'!$AB$103=A44)*BXL!$AR$4:$AR$103)</f>
        <v>0</v>
      </c>
      <c r="D44" s="136" cm="1">
        <f t="array" ref="D44">SUMPRODUCT((BXL!$C$4:'BXL'!$C$103=A44)*BXL!$O$4:$O$103)+SUMPRODUCT((BXL!$AA$4:'BXL'!$AA$103=A44)*BXL!$AM$4:$AM$103)+SUMPRODUCT((BXL!$AB$4:'BXL'!$AB$103=A44)*BXL!$AM$4:$AM$103)</f>
        <v>0</v>
      </c>
      <c r="E44" s="136" cm="1">
        <f t="array" ref="E44">SUMPRODUCT((BXL!$C$4:'BXL'!$C$103=A44)*BXL!$R$4:$R$103)+SUMPRODUCT((BXL!$AA$4:'BXL'!$AA$103=A44)*BXL!$AP$4:$AP$103)+SUMPRODUCT((BXL!$AB$4:'BXL'!$AB$103=A44)*BXL!$AP$4:$AP$103)</f>
        <v>0</v>
      </c>
      <c r="F44" s="136" cm="1">
        <f t="array" ref="F44">SUMPRODUCT((BXL!$C$4:'BXL'!$C$103=A44)*BXL!$V$4:$V$103)+SUMPRODUCT((BXL!$AA$4:'BXL'!$AA$103=A44)*BXL!$AS$4:$AS$103)+SUMPRODUCT((BXL!$AB$4:'BXL'!$AB$103=A44)*BXL!$AS$4:$AS$103)</f>
        <v>0</v>
      </c>
      <c r="G44" s="136" cm="1">
        <f t="array" ref="G44">SUMPRODUCT((BXL!$C$4:'BXL'!$C$103=A44)*BXL!$W$4:$W$103)+SUMPRODUCT((BXL!$AA$4:'BXL'!$AA$103=A44)*BXL!$AT$4:$AT$103)+SUMPRODUCT((BXL!$AB$4:'BXL'!$AB$103=A44)*BXL!$AT$4:$AT$103)</f>
        <v>0</v>
      </c>
      <c r="H44" s="115"/>
      <c r="I44" s="139">
        <f t="shared" si="8"/>
        <v>3428.3295500000004</v>
      </c>
      <c r="J44" s="136">
        <f t="shared" si="9"/>
        <v>470.65455000000003</v>
      </c>
      <c r="K44" s="136">
        <f t="shared" si="9"/>
        <v>2957.6749999999997</v>
      </c>
      <c r="L44" s="136">
        <f t="shared" si="9"/>
        <v>206.61897263157897</v>
      </c>
      <c r="M44" s="136">
        <f t="shared" si="9"/>
        <v>136.59787999999998</v>
      </c>
      <c r="N44" s="115"/>
      <c r="O44" s="131">
        <f>C44*ResourcesEmissions!B48</f>
        <v>0</v>
      </c>
      <c r="P44" s="131">
        <f>C44*ResourcesEmissions!C48</f>
        <v>0</v>
      </c>
      <c r="Q44" s="131">
        <f>C44*ResourcesEmissions!E48</f>
        <v>0</v>
      </c>
      <c r="R44" s="115"/>
      <c r="S44" s="131">
        <f t="shared" si="10"/>
        <v>4708.9784035828461</v>
      </c>
      <c r="T44" s="131">
        <f t="shared" si="10"/>
        <v>5008.8913942134277</v>
      </c>
      <c r="U44" s="131">
        <f t="shared" si="10"/>
        <v>55650.068880348073</v>
      </c>
      <c r="V44" s="115"/>
      <c r="W44" s="128"/>
      <c r="X44" s="128"/>
      <c r="Y44" s="128"/>
      <c r="Z44" s="115"/>
      <c r="AA44" s="126"/>
      <c r="AB44" s="126"/>
      <c r="AC44" s="126"/>
      <c r="AD44" s="115"/>
      <c r="AE44" s="126"/>
      <c r="AF44" s="126"/>
      <c r="AG44" s="126"/>
      <c r="AH44" s="115"/>
      <c r="AI44" s="128"/>
      <c r="AJ44" s="128"/>
      <c r="AK44" s="128"/>
      <c r="AL44" s="115"/>
      <c r="AM44" s="126"/>
      <c r="AN44" s="126"/>
      <c r="AO44" s="126"/>
      <c r="AP44" s="115"/>
      <c r="AQ44" s="126"/>
      <c r="AR44" s="126"/>
      <c r="AS44" s="126"/>
    </row>
    <row r="45" spans="1:45" x14ac:dyDescent="0.25">
      <c r="A45" s="94">
        <v>1990</v>
      </c>
      <c r="B45" s="139" cm="1">
        <f t="array" ref="B45">SUMPRODUCT((BXL!$C$4:'BXL'!$C$103=A45)*BXL!$X$4:$X$103)+SUMPRODUCT((BXL!$AA$4:'BXL'!$AA$103=A45)*BXL!$AQ$4:$AQ$103)+SUMPRODUCT((BXL!$AB$4:'BXL'!$AB$103=A45)*BXL!$AQ$4:$AQ$103)</f>
        <v>0</v>
      </c>
      <c r="C45" s="139" cm="1">
        <f t="array" ref="C45">SUMPRODUCT((BXL!$C$4:'BXL'!$C$103=A45)*BXL!$Y$4:$Y$103)+SUMPRODUCT((BXL!$AA$4:'BXL'!$AA$103=A45)*BXL!$AR$4:$AR$103)+SUMPRODUCT((BXL!$AB$4:'BXL'!$AB$103=A45)*BXL!$AR$4:$AR$103)</f>
        <v>0</v>
      </c>
      <c r="D45" s="136" cm="1">
        <f t="array" ref="D45">SUMPRODUCT((BXL!$C$4:'BXL'!$C$103=A45)*BXL!$O$4:$O$103)+SUMPRODUCT((BXL!$AA$4:'BXL'!$AA$103=A45)*BXL!$AM$4:$AM$103)+SUMPRODUCT((BXL!$AB$4:'BXL'!$AB$103=A45)*BXL!$AM$4:$AM$103)</f>
        <v>0</v>
      </c>
      <c r="E45" s="136" cm="1">
        <f t="array" ref="E45">SUMPRODUCT((BXL!$C$4:'BXL'!$C$103=A45)*BXL!$R$4:$R$103)+SUMPRODUCT((BXL!$AA$4:'BXL'!$AA$103=A45)*BXL!$AP$4:$AP$103)+SUMPRODUCT((BXL!$AB$4:'BXL'!$AB$103=A45)*BXL!$AP$4:$AP$103)</f>
        <v>0</v>
      </c>
      <c r="F45" s="136" cm="1">
        <f t="array" ref="F45">SUMPRODUCT((BXL!$C$4:'BXL'!$C$103=A45)*BXL!$V$4:$V$103)+SUMPRODUCT((BXL!$AA$4:'BXL'!$AA$103=A45)*BXL!$AS$4:$AS$103)+SUMPRODUCT((BXL!$AB$4:'BXL'!$AB$103=A45)*BXL!$AS$4:$AS$103)</f>
        <v>0</v>
      </c>
      <c r="G45" s="136" cm="1">
        <f t="array" ref="G45">SUMPRODUCT((BXL!$C$4:'BXL'!$C$103=A45)*BXL!$W$4:$W$103)+SUMPRODUCT((BXL!$AA$4:'BXL'!$AA$103=A45)*BXL!$AT$4:$AT$103)+SUMPRODUCT((BXL!$AB$4:'BXL'!$AB$103=A45)*BXL!$AT$4:$AT$103)</f>
        <v>0</v>
      </c>
      <c r="H45" s="115"/>
      <c r="I45" s="139">
        <f t="shared" si="8"/>
        <v>3428.3295500000004</v>
      </c>
      <c r="J45" s="136">
        <f t="shared" si="9"/>
        <v>470.65455000000003</v>
      </c>
      <c r="K45" s="136">
        <f t="shared" si="9"/>
        <v>2957.6749999999997</v>
      </c>
      <c r="L45" s="136">
        <f t="shared" si="9"/>
        <v>206.61897263157897</v>
      </c>
      <c r="M45" s="136">
        <f t="shared" si="9"/>
        <v>136.59787999999998</v>
      </c>
      <c r="N45" s="115"/>
      <c r="O45" s="131">
        <f>C45*ResourcesEmissions!B49</f>
        <v>0</v>
      </c>
      <c r="P45" s="131">
        <f>C45*ResourcesEmissions!C49</f>
        <v>0</v>
      </c>
      <c r="Q45" s="131">
        <f>C45*ResourcesEmissions!E49</f>
        <v>0</v>
      </c>
      <c r="R45" s="115"/>
      <c r="S45" s="131">
        <f t="shared" si="10"/>
        <v>4708.9784035828461</v>
      </c>
      <c r="T45" s="131">
        <f t="shared" si="10"/>
        <v>5008.8913942134277</v>
      </c>
      <c r="U45" s="131">
        <f t="shared" si="10"/>
        <v>55650.068880348073</v>
      </c>
      <c r="V45" s="115"/>
      <c r="W45" s="128"/>
      <c r="X45" s="128"/>
      <c r="Y45" s="128"/>
      <c r="Z45" s="115"/>
      <c r="AA45" s="126"/>
      <c r="AB45" s="126"/>
      <c r="AC45" s="126"/>
      <c r="AD45" s="115"/>
      <c r="AE45" s="126"/>
      <c r="AF45" s="126"/>
      <c r="AG45" s="126"/>
      <c r="AH45" s="115"/>
      <c r="AI45" s="128"/>
      <c r="AJ45" s="128"/>
      <c r="AK45" s="128"/>
      <c r="AL45" s="115"/>
      <c r="AM45" s="126"/>
      <c r="AN45" s="126"/>
      <c r="AO45" s="126"/>
      <c r="AP45" s="115"/>
      <c r="AQ45" s="126"/>
      <c r="AR45" s="126"/>
      <c r="AS45" s="126"/>
    </row>
    <row r="46" spans="1:45" x14ac:dyDescent="0.25">
      <c r="A46" s="94">
        <v>1991</v>
      </c>
      <c r="B46" s="139" cm="1">
        <f t="array" ref="B46">SUMPRODUCT((BXL!$C$4:'BXL'!$C$103=A46)*BXL!$X$4:$X$103)+SUMPRODUCT((BXL!$AA$4:'BXL'!$AA$103=A46)*BXL!$AQ$4:$AQ$103)+SUMPRODUCT((BXL!$AB$4:'BXL'!$AB$103=A46)*BXL!$AQ$4:$AQ$103)</f>
        <v>0</v>
      </c>
      <c r="C46" s="139" cm="1">
        <f t="array" ref="C46">SUMPRODUCT((BXL!$C$4:'BXL'!$C$103=A46)*BXL!$Y$4:$Y$103)+SUMPRODUCT((BXL!$AA$4:'BXL'!$AA$103=A46)*BXL!$AR$4:$AR$103)+SUMPRODUCT((BXL!$AB$4:'BXL'!$AB$103=A46)*BXL!$AR$4:$AR$103)</f>
        <v>0</v>
      </c>
      <c r="D46" s="136" cm="1">
        <f t="array" ref="D46">SUMPRODUCT((BXL!$C$4:'BXL'!$C$103=A46)*BXL!$O$4:$O$103)+SUMPRODUCT((BXL!$AA$4:'BXL'!$AA$103=A46)*BXL!$AM$4:$AM$103)+SUMPRODUCT((BXL!$AB$4:'BXL'!$AB$103=A46)*BXL!$AM$4:$AM$103)</f>
        <v>0</v>
      </c>
      <c r="E46" s="136" cm="1">
        <f t="array" ref="E46">SUMPRODUCT((BXL!$C$4:'BXL'!$C$103=A46)*BXL!$R$4:$R$103)+SUMPRODUCT((BXL!$AA$4:'BXL'!$AA$103=A46)*BXL!$AP$4:$AP$103)+SUMPRODUCT((BXL!$AB$4:'BXL'!$AB$103=A46)*BXL!$AP$4:$AP$103)</f>
        <v>0</v>
      </c>
      <c r="F46" s="136" cm="1">
        <f t="array" ref="F46">SUMPRODUCT((BXL!$C$4:'BXL'!$C$103=A46)*BXL!$V$4:$V$103)+SUMPRODUCT((BXL!$AA$4:'BXL'!$AA$103=A46)*BXL!$AS$4:$AS$103)+SUMPRODUCT((BXL!$AB$4:'BXL'!$AB$103=A46)*BXL!$AS$4:$AS$103)</f>
        <v>0</v>
      </c>
      <c r="G46" s="136" cm="1">
        <f t="array" ref="G46">SUMPRODUCT((BXL!$C$4:'BXL'!$C$103=A46)*BXL!$W$4:$W$103)+SUMPRODUCT((BXL!$AA$4:'BXL'!$AA$103=A46)*BXL!$AT$4:$AT$103)+SUMPRODUCT((BXL!$AB$4:'BXL'!$AB$103=A46)*BXL!$AT$4:$AT$103)</f>
        <v>0</v>
      </c>
      <c r="H46" s="115"/>
      <c r="I46" s="139">
        <f t="shared" si="8"/>
        <v>3428.3295500000004</v>
      </c>
      <c r="J46" s="136">
        <f t="shared" si="9"/>
        <v>470.65455000000003</v>
      </c>
      <c r="K46" s="136">
        <f t="shared" si="9"/>
        <v>2957.6749999999997</v>
      </c>
      <c r="L46" s="136">
        <f t="shared" si="9"/>
        <v>206.61897263157897</v>
      </c>
      <c r="M46" s="136">
        <f t="shared" si="9"/>
        <v>136.59787999999998</v>
      </c>
      <c r="N46" s="115"/>
      <c r="O46" s="131">
        <f>C46*ResourcesEmissions!B50</f>
        <v>0</v>
      </c>
      <c r="P46" s="131">
        <f>C46*ResourcesEmissions!C50</f>
        <v>0</v>
      </c>
      <c r="Q46" s="131">
        <f>C46*ResourcesEmissions!E50</f>
        <v>0</v>
      </c>
      <c r="R46" s="115"/>
      <c r="S46" s="131">
        <f t="shared" si="10"/>
        <v>4708.9784035828461</v>
      </c>
      <c r="T46" s="131">
        <f t="shared" si="10"/>
        <v>5008.8913942134277</v>
      </c>
      <c r="U46" s="131">
        <f t="shared" si="10"/>
        <v>55650.068880348073</v>
      </c>
      <c r="V46" s="115"/>
      <c r="W46" s="128"/>
      <c r="X46" s="128"/>
      <c r="Y46" s="128"/>
      <c r="Z46" s="115"/>
      <c r="AA46" s="126"/>
      <c r="AB46" s="126"/>
      <c r="AC46" s="126"/>
      <c r="AD46" s="115"/>
      <c r="AE46" s="126"/>
      <c r="AF46" s="126"/>
      <c r="AG46" s="126"/>
      <c r="AH46" s="115"/>
      <c r="AI46" s="128"/>
      <c r="AJ46" s="128"/>
      <c r="AK46" s="128"/>
      <c r="AL46" s="115"/>
      <c r="AM46" s="126"/>
      <c r="AN46" s="126"/>
      <c r="AO46" s="126"/>
      <c r="AP46" s="115"/>
      <c r="AQ46" s="126"/>
      <c r="AR46" s="126"/>
      <c r="AS46" s="126"/>
    </row>
    <row r="47" spans="1:45" x14ac:dyDescent="0.25">
      <c r="A47" s="94">
        <v>1992</v>
      </c>
      <c r="B47" s="139" cm="1">
        <f t="array" ref="B47">SUMPRODUCT((BXL!$C$4:'BXL'!$C$103=A47)*BXL!$X$4:$X$103)+SUMPRODUCT((BXL!$AA$4:'BXL'!$AA$103=A47)*BXL!$AQ$4:$AQ$103)+SUMPRODUCT((BXL!$AB$4:'BXL'!$AB$103=A47)*BXL!$AQ$4:$AQ$103)</f>
        <v>0</v>
      </c>
      <c r="C47" s="139" cm="1">
        <f t="array" ref="C47">SUMPRODUCT((BXL!$C$4:'BXL'!$C$103=A47)*BXL!$Y$4:$Y$103)+SUMPRODUCT((BXL!$AA$4:'BXL'!$AA$103=A47)*BXL!$AR$4:$AR$103)+SUMPRODUCT((BXL!$AB$4:'BXL'!$AB$103=A47)*BXL!$AR$4:$AR$103)</f>
        <v>0</v>
      </c>
      <c r="D47" s="136" cm="1">
        <f t="array" ref="D47">SUMPRODUCT((BXL!$C$4:'BXL'!$C$103=A47)*BXL!$O$4:$O$103)+SUMPRODUCT((BXL!$AA$4:'BXL'!$AA$103=A47)*BXL!$AM$4:$AM$103)+SUMPRODUCT((BXL!$AB$4:'BXL'!$AB$103=A47)*BXL!$AM$4:$AM$103)</f>
        <v>0</v>
      </c>
      <c r="E47" s="136" cm="1">
        <f t="array" ref="E47">SUMPRODUCT((BXL!$C$4:'BXL'!$C$103=A47)*BXL!$R$4:$R$103)+SUMPRODUCT((BXL!$AA$4:'BXL'!$AA$103=A47)*BXL!$AP$4:$AP$103)+SUMPRODUCT((BXL!$AB$4:'BXL'!$AB$103=A47)*BXL!$AP$4:$AP$103)</f>
        <v>0</v>
      </c>
      <c r="F47" s="136" cm="1">
        <f t="array" ref="F47">SUMPRODUCT((BXL!$C$4:'BXL'!$C$103=A47)*BXL!$V$4:$V$103)+SUMPRODUCT((BXL!$AA$4:'BXL'!$AA$103=A47)*BXL!$AS$4:$AS$103)+SUMPRODUCT((BXL!$AB$4:'BXL'!$AB$103=A47)*BXL!$AS$4:$AS$103)</f>
        <v>0</v>
      </c>
      <c r="G47" s="136" cm="1">
        <f t="array" ref="G47">SUMPRODUCT((BXL!$C$4:'BXL'!$C$103=A47)*BXL!$W$4:$W$103)+SUMPRODUCT((BXL!$AA$4:'BXL'!$AA$103=A47)*BXL!$AT$4:$AT$103)+SUMPRODUCT((BXL!$AB$4:'BXL'!$AB$103=A47)*BXL!$AT$4:$AT$103)</f>
        <v>0</v>
      </c>
      <c r="H47" s="115"/>
      <c r="I47" s="139">
        <f t="shared" si="8"/>
        <v>3428.3295500000004</v>
      </c>
      <c r="J47" s="136">
        <f t="shared" si="9"/>
        <v>470.65455000000003</v>
      </c>
      <c r="K47" s="136">
        <f t="shared" si="9"/>
        <v>2957.6749999999997</v>
      </c>
      <c r="L47" s="136">
        <f t="shared" si="9"/>
        <v>206.61897263157897</v>
      </c>
      <c r="M47" s="136">
        <f t="shared" si="9"/>
        <v>136.59787999999998</v>
      </c>
      <c r="N47" s="115"/>
      <c r="O47" s="131">
        <f>C47*ResourcesEmissions!B51</f>
        <v>0</v>
      </c>
      <c r="P47" s="131">
        <f>C47*ResourcesEmissions!C51</f>
        <v>0</v>
      </c>
      <c r="Q47" s="131">
        <f>C47*ResourcesEmissions!E51</f>
        <v>0</v>
      </c>
      <c r="R47" s="115"/>
      <c r="S47" s="131">
        <f t="shared" si="10"/>
        <v>4708.9784035828461</v>
      </c>
      <c r="T47" s="131">
        <f t="shared" si="10"/>
        <v>5008.8913942134277</v>
      </c>
      <c r="U47" s="131">
        <f t="shared" si="10"/>
        <v>55650.068880348073</v>
      </c>
      <c r="V47" s="115"/>
      <c r="W47" s="128"/>
      <c r="X47" s="128"/>
      <c r="Y47" s="128"/>
      <c r="Z47" s="115"/>
      <c r="AA47" s="126"/>
      <c r="AB47" s="126"/>
      <c r="AC47" s="126"/>
      <c r="AD47" s="115"/>
      <c r="AE47" s="126"/>
      <c r="AF47" s="126"/>
      <c r="AG47" s="126"/>
      <c r="AH47" s="115"/>
      <c r="AI47" s="128"/>
      <c r="AJ47" s="128"/>
      <c r="AK47" s="128"/>
      <c r="AL47" s="115"/>
      <c r="AM47" s="126"/>
      <c r="AN47" s="126"/>
      <c r="AO47" s="126"/>
      <c r="AP47" s="115"/>
      <c r="AQ47" s="126"/>
      <c r="AR47" s="126"/>
      <c r="AS47" s="126"/>
    </row>
    <row r="48" spans="1:45" x14ac:dyDescent="0.25">
      <c r="A48" s="94">
        <v>1993</v>
      </c>
      <c r="B48" s="139" cm="1">
        <f t="array" ref="B48">SUMPRODUCT((BXL!$C$4:'BXL'!$C$103=A48)*BXL!$X$4:$X$103)+SUMPRODUCT((BXL!$AA$4:'BXL'!$AA$103=A48)*BXL!$AQ$4:$AQ$103)+SUMPRODUCT((BXL!$AB$4:'BXL'!$AB$103=A48)*BXL!$AQ$4:$AQ$103)</f>
        <v>0</v>
      </c>
      <c r="C48" s="139" cm="1">
        <f t="array" ref="C48">SUMPRODUCT((BXL!$C$4:'BXL'!$C$103=A48)*BXL!$Y$4:$Y$103)+SUMPRODUCT((BXL!$AA$4:'BXL'!$AA$103=A48)*BXL!$AR$4:$AR$103)+SUMPRODUCT((BXL!$AB$4:'BXL'!$AB$103=A48)*BXL!$AR$4:$AR$103)</f>
        <v>0</v>
      </c>
      <c r="D48" s="136" cm="1">
        <f t="array" ref="D48">SUMPRODUCT((BXL!$C$4:'BXL'!$C$103=A48)*BXL!$O$4:$O$103)+SUMPRODUCT((BXL!$AA$4:'BXL'!$AA$103=A48)*BXL!$AM$4:$AM$103)+SUMPRODUCT((BXL!$AB$4:'BXL'!$AB$103=A48)*BXL!$AM$4:$AM$103)</f>
        <v>0</v>
      </c>
      <c r="E48" s="136" cm="1">
        <f t="array" ref="E48">SUMPRODUCT((BXL!$C$4:'BXL'!$C$103=A48)*BXL!$R$4:$R$103)+SUMPRODUCT((BXL!$AA$4:'BXL'!$AA$103=A48)*BXL!$AP$4:$AP$103)+SUMPRODUCT((BXL!$AB$4:'BXL'!$AB$103=A48)*BXL!$AP$4:$AP$103)</f>
        <v>0</v>
      </c>
      <c r="F48" s="136" cm="1">
        <f t="array" ref="F48">SUMPRODUCT((BXL!$C$4:'BXL'!$C$103=A48)*BXL!$V$4:$V$103)+SUMPRODUCT((BXL!$AA$4:'BXL'!$AA$103=A48)*BXL!$AS$4:$AS$103)+SUMPRODUCT((BXL!$AB$4:'BXL'!$AB$103=A48)*BXL!$AS$4:$AS$103)</f>
        <v>0</v>
      </c>
      <c r="G48" s="136" cm="1">
        <f t="array" ref="G48">SUMPRODUCT((BXL!$C$4:'BXL'!$C$103=A48)*BXL!$W$4:$W$103)+SUMPRODUCT((BXL!$AA$4:'BXL'!$AA$103=A48)*BXL!$AT$4:$AT$103)+SUMPRODUCT((BXL!$AB$4:'BXL'!$AB$103=A48)*BXL!$AT$4:$AT$103)</f>
        <v>0</v>
      </c>
      <c r="H48" s="115"/>
      <c r="I48" s="139">
        <f t="shared" si="8"/>
        <v>3428.3295500000004</v>
      </c>
      <c r="J48" s="136">
        <f t="shared" si="9"/>
        <v>470.65455000000003</v>
      </c>
      <c r="K48" s="136">
        <f t="shared" si="9"/>
        <v>2957.6749999999997</v>
      </c>
      <c r="L48" s="136">
        <f t="shared" si="9"/>
        <v>206.61897263157897</v>
      </c>
      <c r="M48" s="136">
        <f t="shared" si="9"/>
        <v>136.59787999999998</v>
      </c>
      <c r="N48" s="115"/>
      <c r="O48" s="131">
        <f>C48*ResourcesEmissions!B52</f>
        <v>0</v>
      </c>
      <c r="P48" s="131">
        <f>C48*ResourcesEmissions!C52</f>
        <v>0</v>
      </c>
      <c r="Q48" s="131">
        <f>C48*ResourcesEmissions!E52</f>
        <v>0</v>
      </c>
      <c r="R48" s="115"/>
      <c r="S48" s="131">
        <f t="shared" si="10"/>
        <v>4708.9784035828461</v>
      </c>
      <c r="T48" s="131">
        <f t="shared" si="10"/>
        <v>5008.8913942134277</v>
      </c>
      <c r="U48" s="131">
        <f t="shared" si="10"/>
        <v>55650.068880348073</v>
      </c>
      <c r="V48" s="115"/>
      <c r="W48" s="128"/>
      <c r="X48" s="128"/>
      <c r="Y48" s="128"/>
      <c r="Z48" s="115"/>
      <c r="AA48" s="126"/>
      <c r="AB48" s="126"/>
      <c r="AC48" s="126"/>
      <c r="AD48" s="115"/>
      <c r="AE48" s="126"/>
      <c r="AF48" s="126"/>
      <c r="AG48" s="126"/>
      <c r="AH48" s="115"/>
      <c r="AI48" s="128"/>
      <c r="AJ48" s="128"/>
      <c r="AK48" s="128"/>
      <c r="AL48" s="115"/>
      <c r="AM48" s="126"/>
      <c r="AN48" s="126"/>
      <c r="AO48" s="126"/>
      <c r="AP48" s="115"/>
      <c r="AQ48" s="126"/>
      <c r="AR48" s="126"/>
      <c r="AS48" s="126"/>
    </row>
    <row r="49" spans="1:45" x14ac:dyDescent="0.25">
      <c r="A49" s="94">
        <v>1994</v>
      </c>
      <c r="B49" s="139" cm="1">
        <f t="array" ref="B49">SUMPRODUCT((BXL!$C$4:'BXL'!$C$103=A49)*BXL!$X$4:$X$103)+SUMPRODUCT((BXL!$AA$4:'BXL'!$AA$103=A49)*BXL!$AQ$4:$AQ$103)+SUMPRODUCT((BXL!$AB$4:'BXL'!$AB$103=A49)*BXL!$AQ$4:$AQ$103)</f>
        <v>22564.799999999999</v>
      </c>
      <c r="C49" s="139" cm="1">
        <f t="array" ref="C49">SUMPRODUCT((BXL!$C$4:'BXL'!$C$103=A49)*BXL!$Y$4:$Y$103)+SUMPRODUCT((BXL!$AA$4:'BXL'!$AA$103=A49)*BXL!$AR$4:$AR$103)+SUMPRODUCT((BXL!$AB$4:'BXL'!$AB$103=A49)*BXL!$AR$4:$AR$103)</f>
        <v>451.29599999999994</v>
      </c>
      <c r="D49" s="136" cm="1">
        <f t="array" ref="D49">SUMPRODUCT((BXL!$C$4:'BXL'!$C$103=A49)*BXL!$O$4:$O$103)+SUMPRODUCT((BXL!$AA$4:'BXL'!$AA$103=A49)*BXL!$AM$4:$AM$103)+SUMPRODUCT((BXL!$AB$4:'BXL'!$AB$103=A49)*BXL!$AM$4:$AM$103)</f>
        <v>0</v>
      </c>
      <c r="E49" s="136" cm="1">
        <f t="array" ref="E49">SUMPRODUCT((BXL!$C$4:'BXL'!$C$103=A49)*BXL!$R$4:$R$103)+SUMPRODUCT((BXL!$AA$4:'BXL'!$AA$103=A49)*BXL!$AP$4:$AP$103)+SUMPRODUCT((BXL!$AB$4:'BXL'!$AB$103=A49)*BXL!$AP$4:$AP$103)</f>
        <v>451.29599999999994</v>
      </c>
      <c r="F49" s="136" cm="1">
        <f t="array" ref="F49">SUMPRODUCT((BXL!$C$4:'BXL'!$C$103=A49)*BXL!$V$4:$V$103)+SUMPRODUCT((BXL!$AA$4:'BXL'!$AA$103=A49)*BXL!$AS$4:$AS$103)+SUMPRODUCT((BXL!$AB$4:'BXL'!$AB$103=A49)*BXL!$AS$4:$AS$103)</f>
        <v>26.325600000000001</v>
      </c>
      <c r="G49" s="136" cm="1">
        <f t="array" ref="G49">SUMPRODUCT((BXL!$C$4:'BXL'!$C$103=A49)*BXL!$W$4:$W$103)+SUMPRODUCT((BXL!$AA$4:'BXL'!$AA$103=A49)*BXL!$AT$4:$AT$103)+SUMPRODUCT((BXL!$AB$4:'BXL'!$AB$103=A49)*BXL!$AT$4:$AT$103)</f>
        <v>26.325600000000001</v>
      </c>
      <c r="H49" s="115"/>
      <c r="I49" s="139">
        <f t="shared" si="8"/>
        <v>3879.6255500000002</v>
      </c>
      <c r="J49" s="136">
        <f t="shared" si="9"/>
        <v>470.65455000000003</v>
      </c>
      <c r="K49" s="136">
        <f t="shared" si="9"/>
        <v>3408.9709999999995</v>
      </c>
      <c r="L49" s="136">
        <f t="shared" si="9"/>
        <v>232.94457263157898</v>
      </c>
      <c r="M49" s="136">
        <f t="shared" si="9"/>
        <v>162.92347999999998</v>
      </c>
      <c r="N49" s="115"/>
      <c r="O49" s="131">
        <f>C49*ResourcesEmissions!B53</f>
        <v>533.47448875661371</v>
      </c>
      <c r="P49" s="131">
        <f>C49*ResourcesEmissions!C53</f>
        <v>380.17175039999989</v>
      </c>
      <c r="Q49" s="131">
        <f>C49*ResourcesEmissions!E53</f>
        <v>4548.0580836384643</v>
      </c>
      <c r="R49" s="115"/>
      <c r="S49" s="131">
        <f t="shared" si="10"/>
        <v>5242.45289233946</v>
      </c>
      <c r="T49" s="131">
        <f t="shared" si="10"/>
        <v>5389.0631446134275</v>
      </c>
      <c r="U49" s="131">
        <f t="shared" si="10"/>
        <v>60198.126963986535</v>
      </c>
      <c r="V49" s="115"/>
      <c r="W49" s="128"/>
      <c r="X49" s="128"/>
      <c r="Y49" s="128"/>
      <c r="Z49" s="115"/>
      <c r="AA49" s="126"/>
      <c r="AB49" s="126"/>
      <c r="AC49" s="126"/>
      <c r="AD49" s="115"/>
      <c r="AE49" s="126"/>
      <c r="AF49" s="126"/>
      <c r="AG49" s="126"/>
      <c r="AH49" s="115"/>
      <c r="AI49" s="128"/>
      <c r="AJ49" s="128"/>
      <c r="AK49" s="128"/>
      <c r="AL49" s="115"/>
      <c r="AM49" s="126"/>
      <c r="AN49" s="126"/>
      <c r="AO49" s="126"/>
      <c r="AP49" s="115"/>
      <c r="AQ49" s="126"/>
      <c r="AR49" s="126"/>
      <c r="AS49" s="126"/>
    </row>
    <row r="50" spans="1:45" x14ac:dyDescent="0.25">
      <c r="A50" s="94">
        <v>1995</v>
      </c>
      <c r="B50" s="139" cm="1">
        <f t="array" ref="B50">SUMPRODUCT((BXL!$C$4:'BXL'!$C$103=A50)*BXL!$X$4:$X$103)+SUMPRODUCT((BXL!$AA$4:'BXL'!$AA$103=A50)*BXL!$AQ$4:$AQ$103)+SUMPRODUCT((BXL!$AB$4:'BXL'!$AB$103=A50)*BXL!$AQ$4:$AQ$103)</f>
        <v>0</v>
      </c>
      <c r="C50" s="139" cm="1">
        <f t="array" ref="C50">SUMPRODUCT((BXL!$C$4:'BXL'!$C$103=A50)*BXL!$Y$4:$Y$103)+SUMPRODUCT((BXL!$AA$4:'BXL'!$AA$103=A50)*BXL!$AR$4:$AR$103)+SUMPRODUCT((BXL!$AB$4:'BXL'!$AB$103=A50)*BXL!$AR$4:$AR$103)</f>
        <v>0</v>
      </c>
      <c r="D50" s="136" cm="1">
        <f t="array" ref="D50">SUMPRODUCT((BXL!$C$4:'BXL'!$C$103=A50)*BXL!$O$4:$O$103)+SUMPRODUCT((BXL!$AA$4:'BXL'!$AA$103=A50)*BXL!$AM$4:$AM$103)+SUMPRODUCT((BXL!$AB$4:'BXL'!$AB$103=A50)*BXL!$AM$4:$AM$103)</f>
        <v>0</v>
      </c>
      <c r="E50" s="136" cm="1">
        <f t="array" ref="E50">SUMPRODUCT((BXL!$C$4:'BXL'!$C$103=A50)*BXL!$R$4:$R$103)+SUMPRODUCT((BXL!$AA$4:'BXL'!$AA$103=A50)*BXL!$AP$4:$AP$103)+SUMPRODUCT((BXL!$AB$4:'BXL'!$AB$103=A50)*BXL!$AP$4:$AP$103)</f>
        <v>0</v>
      </c>
      <c r="F50" s="136" cm="1">
        <f t="array" ref="F50">SUMPRODUCT((BXL!$C$4:'BXL'!$C$103=A50)*BXL!$V$4:$V$103)+SUMPRODUCT((BXL!$AA$4:'BXL'!$AA$103=A50)*BXL!$AS$4:$AS$103)+SUMPRODUCT((BXL!$AB$4:'BXL'!$AB$103=A50)*BXL!$AS$4:$AS$103)</f>
        <v>0</v>
      </c>
      <c r="G50" s="136" cm="1">
        <f t="array" ref="G50">SUMPRODUCT((BXL!$C$4:'BXL'!$C$103=A50)*BXL!$W$4:$W$103)+SUMPRODUCT((BXL!$AA$4:'BXL'!$AA$103=A50)*BXL!$AT$4:$AT$103)+SUMPRODUCT((BXL!$AB$4:'BXL'!$AB$103=A50)*BXL!$AT$4:$AT$103)</f>
        <v>0</v>
      </c>
      <c r="H50" s="115"/>
      <c r="I50" s="139">
        <f t="shared" si="8"/>
        <v>3879.6255500000002</v>
      </c>
      <c r="J50" s="136">
        <f t="shared" si="9"/>
        <v>470.65455000000003</v>
      </c>
      <c r="K50" s="136">
        <f t="shared" si="9"/>
        <v>3408.9709999999995</v>
      </c>
      <c r="L50" s="136">
        <f t="shared" si="9"/>
        <v>232.94457263157898</v>
      </c>
      <c r="M50" s="136">
        <f t="shared" si="9"/>
        <v>162.92347999999998</v>
      </c>
      <c r="N50" s="115"/>
      <c r="O50" s="131">
        <f>C50*ResourcesEmissions!B54</f>
        <v>0</v>
      </c>
      <c r="P50" s="131">
        <f>C50*ResourcesEmissions!C54</f>
        <v>0</v>
      </c>
      <c r="Q50" s="131">
        <f>C50*ResourcesEmissions!E54</f>
        <v>0</v>
      </c>
      <c r="R50" s="115"/>
      <c r="S50" s="131">
        <f t="shared" si="10"/>
        <v>5242.45289233946</v>
      </c>
      <c r="T50" s="131">
        <f t="shared" si="10"/>
        <v>5389.0631446134275</v>
      </c>
      <c r="U50" s="131">
        <f t="shared" si="10"/>
        <v>60198.126963986535</v>
      </c>
      <c r="V50" s="115"/>
      <c r="W50" s="128"/>
      <c r="X50" s="128"/>
      <c r="Y50" s="128"/>
      <c r="Z50" s="115"/>
      <c r="AA50" s="126"/>
      <c r="AB50" s="126"/>
      <c r="AC50" s="126"/>
      <c r="AD50" s="115"/>
      <c r="AE50" s="126"/>
      <c r="AF50" s="126"/>
      <c r="AG50" s="126"/>
      <c r="AH50" s="115"/>
      <c r="AI50" s="128"/>
      <c r="AJ50" s="128"/>
      <c r="AK50" s="128"/>
      <c r="AL50" s="115"/>
      <c r="AM50" s="126"/>
      <c r="AN50" s="126"/>
      <c r="AO50" s="126"/>
      <c r="AP50" s="115"/>
      <c r="AQ50" s="126"/>
      <c r="AR50" s="126"/>
      <c r="AS50" s="126"/>
    </row>
    <row r="51" spans="1:45" x14ac:dyDescent="0.25">
      <c r="A51" s="94">
        <v>1996</v>
      </c>
      <c r="B51" s="139" cm="1">
        <f t="array" ref="B51">SUMPRODUCT((BXL!$C$4:'BXL'!$C$103=A51)*BXL!$X$4:$X$103)+SUMPRODUCT((BXL!$AA$4:'BXL'!$AA$103=A51)*BXL!$AQ$4:$AQ$103)+SUMPRODUCT((BXL!$AB$4:'BXL'!$AB$103=A51)*BXL!$AQ$4:$AQ$103)</f>
        <v>80134.272000000012</v>
      </c>
      <c r="C51" s="139" cm="1">
        <f t="array" ref="C51">SUMPRODUCT((BXL!$C$4:'BXL'!$C$103=A51)*BXL!$Y$4:$Y$103)+SUMPRODUCT((BXL!$AA$4:'BXL'!$AA$103=A51)*BXL!$AR$4:$AR$103)+SUMPRODUCT((BXL!$AB$4:'BXL'!$AB$103=A51)*BXL!$AR$4:$AR$103)</f>
        <v>1803.0211200000003</v>
      </c>
      <c r="D51" s="136" cm="1">
        <f t="array" ref="D51">SUMPRODUCT((BXL!$C$4:'BXL'!$C$103=A51)*BXL!$O$4:$O$103)+SUMPRODUCT((BXL!$AA$4:'BXL'!$AA$103=A51)*BXL!$AM$4:$AM$103)+SUMPRODUCT((BXL!$AB$4:'BXL'!$AB$103=A51)*BXL!$AM$4:$AM$103)</f>
        <v>0</v>
      </c>
      <c r="E51" s="136" cm="1">
        <f t="array" ref="E51">SUMPRODUCT((BXL!$C$4:'BXL'!$C$103=A51)*BXL!$R$4:$R$103)+SUMPRODUCT((BXL!$AA$4:'BXL'!$AA$103=A51)*BXL!$AP$4:$AP$103)+SUMPRODUCT((BXL!$AB$4:'BXL'!$AB$103=A51)*BXL!$AP$4:$AP$103)</f>
        <v>1803.0211200000003</v>
      </c>
      <c r="F51" s="136" cm="1">
        <f t="array" ref="F51">SUMPRODUCT((BXL!$C$4:'BXL'!$C$103=A51)*BXL!$V$4:$V$103)+SUMPRODUCT((BXL!$AA$4:'BXL'!$AA$103=A51)*BXL!$AS$4:$AS$103)+SUMPRODUCT((BXL!$AB$4:'BXL'!$AB$103=A51)*BXL!$AS$4:$AS$103)</f>
        <v>106.845696</v>
      </c>
      <c r="G51" s="136" cm="1">
        <f t="array" ref="G51">SUMPRODUCT((BXL!$C$4:'BXL'!$C$103=A51)*BXL!$W$4:$W$103)+SUMPRODUCT((BXL!$AA$4:'BXL'!$AA$103=A51)*BXL!$AT$4:$AT$103)+SUMPRODUCT((BXL!$AB$4:'BXL'!$AB$103=A51)*BXL!$AT$4:$AT$103)</f>
        <v>106.845696</v>
      </c>
      <c r="H51" s="115"/>
      <c r="I51" s="139">
        <f t="shared" si="8"/>
        <v>5682.6466700000001</v>
      </c>
      <c r="J51" s="136">
        <f t="shared" si="9"/>
        <v>470.65455000000003</v>
      </c>
      <c r="K51" s="136">
        <f t="shared" si="9"/>
        <v>5211.9921199999999</v>
      </c>
      <c r="L51" s="136">
        <f t="shared" si="9"/>
        <v>339.79026863157901</v>
      </c>
      <c r="M51" s="136">
        <f t="shared" si="9"/>
        <v>269.76917600000002</v>
      </c>
      <c r="N51" s="115"/>
      <c r="O51" s="131">
        <f>C51*ResourcesEmissions!B55</f>
        <v>2107.3486966427308</v>
      </c>
      <c r="P51" s="131">
        <f>C51*ResourcesEmissions!C55</f>
        <v>1504.1779304163097</v>
      </c>
      <c r="Q51" s="131">
        <f>C51*ResourcesEmissions!E55</f>
        <v>17782.574219664111</v>
      </c>
      <c r="R51" s="115"/>
      <c r="S51" s="131">
        <f t="shared" si="10"/>
        <v>7349.8015889821909</v>
      </c>
      <c r="T51" s="131">
        <f t="shared" si="10"/>
        <v>6893.2410750297367</v>
      </c>
      <c r="U51" s="131">
        <f t="shared" si="10"/>
        <v>77980.701183650643</v>
      </c>
      <c r="V51" s="115"/>
      <c r="W51" s="128"/>
      <c r="X51" s="128"/>
      <c r="Y51" s="128"/>
      <c r="Z51" s="115"/>
      <c r="AA51" s="126"/>
      <c r="AB51" s="126"/>
      <c r="AC51" s="126"/>
      <c r="AD51" s="115"/>
      <c r="AE51" s="126"/>
      <c r="AF51" s="126"/>
      <c r="AG51" s="126"/>
      <c r="AH51" s="115"/>
      <c r="AI51" s="128"/>
      <c r="AJ51" s="128"/>
      <c r="AK51" s="128"/>
      <c r="AL51" s="115"/>
      <c r="AM51" s="126"/>
      <c r="AN51" s="126"/>
      <c r="AO51" s="126"/>
      <c r="AP51" s="115"/>
      <c r="AQ51" s="126"/>
      <c r="AR51" s="126"/>
      <c r="AS51" s="126"/>
    </row>
    <row r="52" spans="1:45" x14ac:dyDescent="0.25">
      <c r="A52" s="94">
        <v>1997</v>
      </c>
      <c r="B52" s="139" cm="1">
        <f t="array" ref="B52">SUMPRODUCT((BXL!$C$4:'BXL'!$C$103=A52)*BXL!$X$4:$X$103)+SUMPRODUCT((BXL!$AA$4:'BXL'!$AA$103=A52)*BXL!$AQ$4:$AQ$103)+SUMPRODUCT((BXL!$AB$4:'BXL'!$AB$103=A52)*BXL!$AQ$4:$AQ$103)</f>
        <v>19785.599999999999</v>
      </c>
      <c r="C52" s="139" cm="1">
        <f t="array" ref="C52">SUMPRODUCT((BXL!$C$4:'BXL'!$C$103=A52)*BXL!$Y$4:$Y$103)+SUMPRODUCT((BXL!$AA$4:'BXL'!$AA$103=A52)*BXL!$AR$4:$AR$103)+SUMPRODUCT((BXL!$AB$4:'BXL'!$AB$103=A52)*BXL!$AR$4:$AR$103)</f>
        <v>395.71199999999999</v>
      </c>
      <c r="D52" s="136" cm="1">
        <f t="array" ref="D52">SUMPRODUCT((BXL!$C$4:'BXL'!$C$103=A52)*BXL!$O$4:$O$103)+SUMPRODUCT((BXL!$AA$4:'BXL'!$AA$103=A52)*BXL!$AM$4:$AM$103)+SUMPRODUCT((BXL!$AB$4:'BXL'!$AB$103=A52)*BXL!$AM$4:$AM$103)</f>
        <v>0</v>
      </c>
      <c r="E52" s="136" cm="1">
        <f t="array" ref="E52">SUMPRODUCT((BXL!$C$4:'BXL'!$C$103=A52)*BXL!$R$4:$R$103)+SUMPRODUCT((BXL!$AA$4:'BXL'!$AA$103=A52)*BXL!$AP$4:$AP$103)+SUMPRODUCT((BXL!$AB$4:'BXL'!$AB$103=A52)*BXL!$AP$4:$AP$103)</f>
        <v>395.71199999999999</v>
      </c>
      <c r="F52" s="136" cm="1">
        <f t="array" ref="F52">SUMPRODUCT((BXL!$C$4:'BXL'!$C$103=A52)*BXL!$V$4:$V$103)+SUMPRODUCT((BXL!$AA$4:'BXL'!$AA$103=A52)*BXL!$AS$4:$AS$103)+SUMPRODUCT((BXL!$AB$4:'BXL'!$AB$103=A52)*BXL!$AS$4:$AS$103)</f>
        <v>26.380799999999997</v>
      </c>
      <c r="G52" s="136" cm="1">
        <f t="array" ref="G52">SUMPRODUCT((BXL!$C$4:'BXL'!$C$103=A52)*BXL!$W$4:$W$103)+SUMPRODUCT((BXL!$AA$4:'BXL'!$AA$103=A52)*BXL!$AT$4:$AT$103)+SUMPRODUCT((BXL!$AB$4:'BXL'!$AB$103=A52)*BXL!$AT$4:$AT$103)</f>
        <v>26.380799999999997</v>
      </c>
      <c r="H52" s="115"/>
      <c r="I52" s="139">
        <f t="shared" si="8"/>
        <v>6078.3586699999996</v>
      </c>
      <c r="J52" s="136">
        <f t="shared" si="9"/>
        <v>470.65455000000003</v>
      </c>
      <c r="K52" s="136">
        <f t="shared" si="9"/>
        <v>5607.7041200000003</v>
      </c>
      <c r="L52" s="136">
        <f t="shared" si="9"/>
        <v>366.17106863157903</v>
      </c>
      <c r="M52" s="136">
        <f t="shared" si="9"/>
        <v>296.14997600000004</v>
      </c>
      <c r="N52" s="115"/>
      <c r="O52" s="131">
        <f>C52*ResourcesEmissions!B56</f>
        <v>459.87777331221406</v>
      </c>
      <c r="P52" s="131">
        <f>C52*ResourcesEmissions!C56</f>
        <v>319.72048871225797</v>
      </c>
      <c r="Q52" s="131">
        <f>C52*ResourcesEmissions!E56</f>
        <v>3863.5939657505191</v>
      </c>
      <c r="R52" s="115"/>
      <c r="S52" s="131">
        <f t="shared" si="10"/>
        <v>7809.6793622944051</v>
      </c>
      <c r="T52" s="131">
        <f t="shared" si="10"/>
        <v>7212.9615637419947</v>
      </c>
      <c r="U52" s="131">
        <f t="shared" si="10"/>
        <v>81844.295149401165</v>
      </c>
      <c r="V52" s="115"/>
      <c r="W52" s="128"/>
      <c r="X52" s="128"/>
      <c r="Y52" s="128"/>
      <c r="Z52" s="115"/>
      <c r="AA52" s="126"/>
      <c r="AB52" s="126"/>
      <c r="AC52" s="126"/>
      <c r="AD52" s="115"/>
      <c r="AE52" s="126"/>
      <c r="AF52" s="126"/>
      <c r="AG52" s="126"/>
      <c r="AH52" s="115"/>
      <c r="AI52" s="128"/>
      <c r="AJ52" s="128"/>
      <c r="AK52" s="128"/>
      <c r="AL52" s="115"/>
      <c r="AM52" s="126"/>
      <c r="AN52" s="126"/>
      <c r="AO52" s="126"/>
      <c r="AP52" s="115"/>
      <c r="AQ52" s="126"/>
      <c r="AR52" s="126"/>
      <c r="AS52" s="126"/>
    </row>
    <row r="53" spans="1:45" x14ac:dyDescent="0.25">
      <c r="A53" s="94">
        <v>1998</v>
      </c>
      <c r="B53" s="139" cm="1">
        <f t="array" ref="B53">SUMPRODUCT((BXL!$C$4:'BXL'!$C$103=A53)*BXL!$X$4:$X$103)+SUMPRODUCT((BXL!$AA$4:'BXL'!$AA$103=A53)*BXL!$AQ$4:$AQ$103)+SUMPRODUCT((BXL!$AB$4:'BXL'!$AB$103=A53)*BXL!$AQ$4:$AQ$103)</f>
        <v>16027.199999999999</v>
      </c>
      <c r="C53" s="139" cm="1">
        <f t="array" ref="C53">SUMPRODUCT((BXL!$C$4:'BXL'!$C$103=A53)*BXL!$Y$4:$Y$103)+SUMPRODUCT((BXL!$AA$4:'BXL'!$AA$103=A53)*BXL!$AR$4:$AR$103)+SUMPRODUCT((BXL!$AB$4:'BXL'!$AB$103=A53)*BXL!$AR$4:$AR$103)</f>
        <v>320.54399999999998</v>
      </c>
      <c r="D53" s="136" cm="1">
        <f t="array" ref="D53">SUMPRODUCT((BXL!$C$4:'BXL'!$C$103=A53)*BXL!$O$4:$O$103)+SUMPRODUCT((BXL!$AA$4:'BXL'!$AA$103=A53)*BXL!$AM$4:$AM$103)+SUMPRODUCT((BXL!$AB$4:'BXL'!$AB$103=A53)*BXL!$AM$4:$AM$103)</f>
        <v>0</v>
      </c>
      <c r="E53" s="136" cm="1">
        <f t="array" ref="E53">SUMPRODUCT((BXL!$C$4:'BXL'!$C$103=A53)*BXL!$R$4:$R$103)+SUMPRODUCT((BXL!$AA$4:'BXL'!$AA$103=A53)*BXL!$AP$4:$AP$103)+SUMPRODUCT((BXL!$AB$4:'BXL'!$AB$103=A53)*BXL!$AP$4:$AP$103)</f>
        <v>320.54399999999998</v>
      </c>
      <c r="F53" s="136" cm="1">
        <f t="array" ref="F53">SUMPRODUCT((BXL!$C$4:'BXL'!$C$103=A53)*BXL!$V$4:$V$103)+SUMPRODUCT((BXL!$AA$4:'BXL'!$AA$103=A53)*BXL!$AS$4:$AS$103)+SUMPRODUCT((BXL!$AB$4:'BXL'!$AB$103=A53)*BXL!$AS$4:$AS$103)</f>
        <v>21.369599999999998</v>
      </c>
      <c r="G53" s="136" cm="1">
        <f t="array" ref="G53">SUMPRODUCT((BXL!$C$4:'BXL'!$C$103=A53)*BXL!$W$4:$W$103)+SUMPRODUCT((BXL!$AA$4:'BXL'!$AA$103=A53)*BXL!$AT$4:$AT$103)+SUMPRODUCT((BXL!$AB$4:'BXL'!$AB$103=A53)*BXL!$AT$4:$AT$103)</f>
        <v>21.369599999999998</v>
      </c>
      <c r="H53" s="115"/>
      <c r="I53" s="139">
        <f t="shared" si="8"/>
        <v>6398.9026699999995</v>
      </c>
      <c r="J53" s="136">
        <f t="shared" si="9"/>
        <v>470.65455000000003</v>
      </c>
      <c r="K53" s="136">
        <f t="shared" si="9"/>
        <v>5928.2481200000002</v>
      </c>
      <c r="L53" s="136">
        <f t="shared" si="9"/>
        <v>387.54066863157902</v>
      </c>
      <c r="M53" s="136">
        <f t="shared" si="9"/>
        <v>317.51957600000003</v>
      </c>
      <c r="N53" s="115"/>
      <c r="O53" s="131">
        <f>C53*ResourcesEmissions!B57</f>
        <v>370.42528731246574</v>
      </c>
      <c r="P53" s="131">
        <f>C53*ResourcesEmissions!C57</f>
        <v>248.43566257548355</v>
      </c>
      <c r="Q53" s="131">
        <f>C53*ResourcesEmissions!E57</f>
        <v>3099.8651321998314</v>
      </c>
      <c r="R53" s="115"/>
      <c r="S53" s="131">
        <f t="shared" si="10"/>
        <v>8180.1046496068711</v>
      </c>
      <c r="T53" s="131">
        <f t="shared" si="10"/>
        <v>7461.3972263174783</v>
      </c>
      <c r="U53" s="131">
        <f t="shared" si="10"/>
        <v>84944.160281600998</v>
      </c>
      <c r="V53" s="115"/>
      <c r="W53" s="128"/>
      <c r="X53" s="128"/>
      <c r="Y53" s="128"/>
      <c r="Z53" s="115"/>
      <c r="AA53" s="126"/>
      <c r="AB53" s="126"/>
      <c r="AC53" s="126"/>
      <c r="AD53" s="115"/>
      <c r="AE53" s="126"/>
      <c r="AF53" s="126"/>
      <c r="AG53" s="126"/>
      <c r="AH53" s="115"/>
      <c r="AI53" s="128"/>
      <c r="AJ53" s="128"/>
      <c r="AK53" s="128"/>
      <c r="AL53" s="115"/>
      <c r="AM53" s="126"/>
      <c r="AN53" s="126"/>
      <c r="AO53" s="126"/>
      <c r="AP53" s="115"/>
      <c r="AQ53" s="126"/>
      <c r="AR53" s="126"/>
      <c r="AS53" s="126"/>
    </row>
    <row r="54" spans="1:45" x14ac:dyDescent="0.25">
      <c r="A54" s="94">
        <v>1999</v>
      </c>
      <c r="B54" s="139" cm="1">
        <f t="array" ref="B54">SUMPRODUCT((BXL!$C$4:'BXL'!$C$103=A54)*BXL!$X$4:$X$103)+SUMPRODUCT((BXL!$AA$4:'BXL'!$AA$103=A54)*BXL!$AQ$4:$AQ$103)+SUMPRODUCT((BXL!$AB$4:'BXL'!$AB$103=A54)*BXL!$AQ$4:$AQ$103)</f>
        <v>0</v>
      </c>
      <c r="C54" s="139" cm="1">
        <f t="array" ref="C54">SUMPRODUCT((BXL!$C$4:'BXL'!$C$103=A54)*BXL!$Y$4:$Y$103)+SUMPRODUCT((BXL!$AA$4:'BXL'!$AA$103=A54)*BXL!$AR$4:$AR$103)+SUMPRODUCT((BXL!$AB$4:'BXL'!$AB$103=A54)*BXL!$AR$4:$AR$103)</f>
        <v>0</v>
      </c>
      <c r="D54" s="136" cm="1">
        <f t="array" ref="D54">SUMPRODUCT((BXL!$C$4:'BXL'!$C$103=A54)*BXL!$O$4:$O$103)+SUMPRODUCT((BXL!$AA$4:'BXL'!$AA$103=A54)*BXL!$AM$4:$AM$103)+SUMPRODUCT((BXL!$AB$4:'BXL'!$AB$103=A54)*BXL!$AM$4:$AM$103)</f>
        <v>0</v>
      </c>
      <c r="E54" s="136" cm="1">
        <f t="array" ref="E54">SUMPRODUCT((BXL!$C$4:'BXL'!$C$103=A54)*BXL!$R$4:$R$103)+SUMPRODUCT((BXL!$AA$4:'BXL'!$AA$103=A54)*BXL!$AP$4:$AP$103)+SUMPRODUCT((BXL!$AB$4:'BXL'!$AB$103=A54)*BXL!$AP$4:$AP$103)</f>
        <v>0</v>
      </c>
      <c r="F54" s="136" cm="1">
        <f t="array" ref="F54">SUMPRODUCT((BXL!$C$4:'BXL'!$C$103=A54)*BXL!$V$4:$V$103)+SUMPRODUCT((BXL!$AA$4:'BXL'!$AA$103=A54)*BXL!$AS$4:$AS$103)+SUMPRODUCT((BXL!$AB$4:'BXL'!$AB$103=A54)*BXL!$AS$4:$AS$103)</f>
        <v>0</v>
      </c>
      <c r="G54" s="136" cm="1">
        <f t="array" ref="G54">SUMPRODUCT((BXL!$C$4:'BXL'!$C$103=A54)*BXL!$W$4:$W$103)+SUMPRODUCT((BXL!$AA$4:'BXL'!$AA$103=A54)*BXL!$AT$4:$AT$103)+SUMPRODUCT((BXL!$AB$4:'BXL'!$AB$103=A54)*BXL!$AT$4:$AT$103)</f>
        <v>0</v>
      </c>
      <c r="H54" s="115"/>
      <c r="I54" s="139">
        <f t="shared" si="8"/>
        <v>6398.9026699999995</v>
      </c>
      <c r="J54" s="136">
        <f t="shared" si="9"/>
        <v>470.65455000000003</v>
      </c>
      <c r="K54" s="136">
        <f t="shared" si="9"/>
        <v>5928.2481200000002</v>
      </c>
      <c r="L54" s="136">
        <f t="shared" si="9"/>
        <v>387.54066863157902</v>
      </c>
      <c r="M54" s="136">
        <f t="shared" si="9"/>
        <v>317.51957600000003</v>
      </c>
      <c r="N54" s="115"/>
      <c r="O54" s="131">
        <f>C54*ResourcesEmissions!B58</f>
        <v>0</v>
      </c>
      <c r="P54" s="131">
        <f>C54*ResourcesEmissions!C58</f>
        <v>0</v>
      </c>
      <c r="Q54" s="131">
        <f>C54*ResourcesEmissions!E58</f>
        <v>0</v>
      </c>
      <c r="R54" s="115"/>
      <c r="S54" s="131">
        <f t="shared" si="10"/>
        <v>8180.1046496068711</v>
      </c>
      <c r="T54" s="131">
        <f t="shared" si="10"/>
        <v>7461.3972263174783</v>
      </c>
      <c r="U54" s="131">
        <f t="shared" si="10"/>
        <v>84944.160281600998</v>
      </c>
      <c r="V54" s="115"/>
      <c r="W54" s="128"/>
      <c r="X54" s="128"/>
      <c r="Y54" s="128"/>
      <c r="Z54" s="115"/>
      <c r="AA54" s="126"/>
      <c r="AB54" s="126"/>
      <c r="AC54" s="126"/>
      <c r="AD54" s="115"/>
      <c r="AE54" s="126"/>
      <c r="AF54" s="126"/>
      <c r="AG54" s="126"/>
      <c r="AH54" s="115"/>
      <c r="AI54" s="128"/>
      <c r="AJ54" s="128"/>
      <c r="AK54" s="128"/>
      <c r="AL54" s="115"/>
      <c r="AM54" s="126"/>
      <c r="AN54" s="126"/>
      <c r="AO54" s="126"/>
      <c r="AP54" s="115"/>
      <c r="AQ54" s="126"/>
      <c r="AR54" s="126"/>
      <c r="AS54" s="126"/>
    </row>
    <row r="55" spans="1:45" x14ac:dyDescent="0.25">
      <c r="A55" s="94">
        <v>2000</v>
      </c>
      <c r="B55" s="139" cm="1">
        <f t="array" ref="B55">SUMPRODUCT((BXL!$C$4:'BXL'!$C$103=A55)*BXL!$X$4:$X$103)+SUMPRODUCT((BXL!$AA$4:'BXL'!$AA$103=A55)*BXL!$AQ$4:$AQ$103)+SUMPRODUCT((BXL!$AB$4:'BXL'!$AB$103=A55)*BXL!$AQ$4:$AQ$103)</f>
        <v>20044.8</v>
      </c>
      <c r="C55" s="139" cm="1">
        <f t="array" ref="C55">SUMPRODUCT((BXL!$C$4:'BXL'!$C$103=A55)*BXL!$Y$4:$Y$103)+SUMPRODUCT((BXL!$AA$4:'BXL'!$AA$103=A55)*BXL!$AR$4:$AR$103)+SUMPRODUCT((BXL!$AB$4:'BXL'!$AB$103=A55)*BXL!$AR$4:$AR$103)</f>
        <v>400.89599999999996</v>
      </c>
      <c r="D55" s="136" cm="1">
        <f t="array" ref="D55">SUMPRODUCT((BXL!$C$4:'BXL'!$C$103=A55)*BXL!$O$4:$O$103)+SUMPRODUCT((BXL!$AA$4:'BXL'!$AA$103=A55)*BXL!$AM$4:$AM$103)+SUMPRODUCT((BXL!$AB$4:'BXL'!$AB$103=A55)*BXL!$AM$4:$AM$103)</f>
        <v>0</v>
      </c>
      <c r="E55" s="136" cm="1">
        <f t="array" ref="E55">SUMPRODUCT((BXL!$C$4:'BXL'!$C$103=A55)*BXL!$R$4:$R$103)+SUMPRODUCT((BXL!$AA$4:'BXL'!$AA$103=A55)*BXL!$AP$4:$AP$103)+SUMPRODUCT((BXL!$AB$4:'BXL'!$AB$103=A55)*BXL!$AP$4:$AP$103)</f>
        <v>400.89599999999996</v>
      </c>
      <c r="F55" s="136" cm="1">
        <f t="array" ref="F55">SUMPRODUCT((BXL!$C$4:'BXL'!$C$103=A55)*BXL!$V$4:$V$103)+SUMPRODUCT((BXL!$AA$4:'BXL'!$AA$103=A55)*BXL!$AS$4:$AS$103)+SUMPRODUCT((BXL!$AB$4:'BXL'!$AB$103=A55)*BXL!$AS$4:$AS$103)</f>
        <v>26.726399999999998</v>
      </c>
      <c r="G55" s="136" cm="1">
        <f t="array" ref="G55">SUMPRODUCT((BXL!$C$4:'BXL'!$C$103=A55)*BXL!$W$4:$W$103)+SUMPRODUCT((BXL!$AA$4:'BXL'!$AA$103=A55)*BXL!$AT$4:$AT$103)+SUMPRODUCT((BXL!$AB$4:'BXL'!$AB$103=A55)*BXL!$AT$4:$AT$103)</f>
        <v>26.726399999999998</v>
      </c>
      <c r="H55" s="115"/>
      <c r="I55" s="139">
        <f t="shared" si="8"/>
        <v>6799.7986699999992</v>
      </c>
      <c r="J55" s="136">
        <f t="shared" ref="J55:M70" si="11">D55+J54</f>
        <v>470.65455000000003</v>
      </c>
      <c r="K55" s="136">
        <f t="shared" si="11"/>
        <v>6329.1441199999999</v>
      </c>
      <c r="L55" s="136">
        <f t="shared" si="11"/>
        <v>414.26706863157904</v>
      </c>
      <c r="M55" s="136">
        <f t="shared" si="11"/>
        <v>344.24597600000004</v>
      </c>
      <c r="N55" s="115"/>
      <c r="O55" s="131">
        <f>C55*ResourcesEmissions!B59</f>
        <v>458.25650129150375</v>
      </c>
      <c r="P55" s="131">
        <f>C55*ResourcesEmissions!C59</f>
        <v>290.64959999999996</v>
      </c>
      <c r="Q55" s="131">
        <f>C55*ResourcesEmissions!E59</f>
        <v>3809.8926891599872</v>
      </c>
      <c r="R55" s="115"/>
      <c r="S55" s="131">
        <f t="shared" ref="S55:U70" si="12">O55+S54</f>
        <v>8638.361150898374</v>
      </c>
      <c r="T55" s="131">
        <f t="shared" si="12"/>
        <v>7752.046826317478</v>
      </c>
      <c r="U55" s="131">
        <f t="shared" si="12"/>
        <v>88754.052970760982</v>
      </c>
      <c r="V55" s="115"/>
      <c r="W55" s="128"/>
      <c r="X55" s="128"/>
      <c r="Y55" s="128"/>
      <c r="Z55" s="115"/>
      <c r="AA55" s="126"/>
      <c r="AB55" s="126"/>
      <c r="AC55" s="126"/>
      <c r="AD55" s="115"/>
      <c r="AE55" s="126"/>
      <c r="AF55" s="126"/>
      <c r="AG55" s="126"/>
      <c r="AH55" s="115"/>
      <c r="AI55" s="128"/>
      <c r="AJ55" s="128"/>
      <c r="AK55" s="128"/>
      <c r="AL55" s="115"/>
      <c r="AM55" s="126"/>
      <c r="AN55" s="126"/>
      <c r="AO55" s="126"/>
      <c r="AP55" s="115"/>
      <c r="AQ55" s="126"/>
      <c r="AR55" s="126"/>
      <c r="AS55" s="126"/>
    </row>
    <row r="56" spans="1:45" x14ac:dyDescent="0.25">
      <c r="A56" s="94">
        <v>2001</v>
      </c>
      <c r="B56" s="139" cm="1">
        <f t="array" ref="B56">SUMPRODUCT((BXL!$C$4:'BXL'!$C$103=A56)*BXL!$X$4:$X$103)+SUMPRODUCT((BXL!$AA$4:'BXL'!$AA$103=A56)*BXL!$AQ$4:$AQ$103)+SUMPRODUCT((BXL!$AB$4:'BXL'!$AB$103=A56)*BXL!$AQ$4:$AQ$103)</f>
        <v>0</v>
      </c>
      <c r="C56" s="139" cm="1">
        <f t="array" ref="C56">SUMPRODUCT((BXL!$C$4:'BXL'!$C$103=A56)*BXL!$Y$4:$Y$103)+SUMPRODUCT((BXL!$AA$4:'BXL'!$AA$103=A56)*BXL!$AR$4:$AR$103)+SUMPRODUCT((BXL!$AB$4:'BXL'!$AB$103=A56)*BXL!$AR$4:$AR$103)</f>
        <v>0</v>
      </c>
      <c r="D56" s="136" cm="1">
        <f t="array" ref="D56">SUMPRODUCT((BXL!$C$4:'BXL'!$C$103=A56)*BXL!$O$4:$O$103)+SUMPRODUCT((BXL!$AA$4:'BXL'!$AA$103=A56)*BXL!$AM$4:$AM$103)+SUMPRODUCT((BXL!$AB$4:'BXL'!$AB$103=A56)*BXL!$AM$4:$AM$103)</f>
        <v>0</v>
      </c>
      <c r="E56" s="136" cm="1">
        <f t="array" ref="E56">SUMPRODUCT((BXL!$C$4:'BXL'!$C$103=A56)*BXL!$R$4:$R$103)+SUMPRODUCT((BXL!$AA$4:'BXL'!$AA$103=A56)*BXL!$AP$4:$AP$103)+SUMPRODUCT((BXL!$AB$4:'BXL'!$AB$103=A56)*BXL!$AP$4:$AP$103)</f>
        <v>0</v>
      </c>
      <c r="F56" s="136" cm="1">
        <f t="array" ref="F56">SUMPRODUCT((BXL!$C$4:'BXL'!$C$103=A56)*BXL!$V$4:$V$103)+SUMPRODUCT((BXL!$AA$4:'BXL'!$AA$103=A56)*BXL!$AS$4:$AS$103)+SUMPRODUCT((BXL!$AB$4:'BXL'!$AB$103=A56)*BXL!$AS$4:$AS$103)</f>
        <v>0</v>
      </c>
      <c r="G56" s="136" cm="1">
        <f t="array" ref="G56">SUMPRODUCT((BXL!$C$4:'BXL'!$C$103=A56)*BXL!$W$4:$W$103)+SUMPRODUCT((BXL!$AA$4:'BXL'!$AA$103=A56)*BXL!$AT$4:$AT$103)+SUMPRODUCT((BXL!$AB$4:'BXL'!$AB$103=A56)*BXL!$AT$4:$AT$103)</f>
        <v>0</v>
      </c>
      <c r="H56" s="115"/>
      <c r="I56" s="139">
        <f t="shared" si="8"/>
        <v>6799.7986699999992</v>
      </c>
      <c r="J56" s="136">
        <f t="shared" si="11"/>
        <v>470.65455000000003</v>
      </c>
      <c r="K56" s="136">
        <f t="shared" si="11"/>
        <v>6329.1441199999999</v>
      </c>
      <c r="L56" s="136">
        <f t="shared" si="11"/>
        <v>414.26706863157904</v>
      </c>
      <c r="M56" s="136">
        <f t="shared" si="11"/>
        <v>344.24597600000004</v>
      </c>
      <c r="N56" s="115"/>
      <c r="O56" s="131">
        <f>C56*ResourcesEmissions!B60</f>
        <v>0</v>
      </c>
      <c r="P56" s="131">
        <f>C56*ResourcesEmissions!C60</f>
        <v>0</v>
      </c>
      <c r="Q56" s="131">
        <f>C56*ResourcesEmissions!E60</f>
        <v>0</v>
      </c>
      <c r="R56" s="115"/>
      <c r="S56" s="131">
        <f t="shared" si="12"/>
        <v>8638.361150898374</v>
      </c>
      <c r="T56" s="131">
        <f t="shared" si="12"/>
        <v>7752.046826317478</v>
      </c>
      <c r="U56" s="131">
        <f t="shared" si="12"/>
        <v>88754.052970760982</v>
      </c>
      <c r="V56" s="115"/>
      <c r="W56" s="128"/>
      <c r="X56" s="128"/>
      <c r="Y56" s="128"/>
      <c r="Z56" s="115"/>
      <c r="AA56" s="126"/>
      <c r="AB56" s="126"/>
      <c r="AC56" s="126"/>
      <c r="AD56" s="115"/>
      <c r="AE56" s="126"/>
      <c r="AF56" s="126"/>
      <c r="AG56" s="126"/>
      <c r="AH56" s="115"/>
      <c r="AI56" s="128"/>
      <c r="AJ56" s="128"/>
      <c r="AK56" s="128"/>
      <c r="AL56" s="115"/>
      <c r="AM56" s="126"/>
      <c r="AN56" s="126"/>
      <c r="AO56" s="126"/>
      <c r="AP56" s="115"/>
      <c r="AQ56" s="126"/>
      <c r="AR56" s="126"/>
      <c r="AS56" s="126"/>
    </row>
    <row r="57" spans="1:45" x14ac:dyDescent="0.25">
      <c r="A57" s="94">
        <v>2002</v>
      </c>
      <c r="B57" s="139" cm="1">
        <f t="array" ref="B57">SUMPRODUCT((BXL!$C$4:'BXL'!$C$103=A57)*BXL!$X$4:$X$103)+SUMPRODUCT((BXL!$AA$4:'BXL'!$AA$103=A57)*BXL!$AQ$4:$AQ$103)+SUMPRODUCT((BXL!$AB$4:'BXL'!$AB$103=A57)*BXL!$AQ$4:$AQ$103)</f>
        <v>0</v>
      </c>
      <c r="C57" s="139" cm="1">
        <f t="array" ref="C57">SUMPRODUCT((BXL!$C$4:'BXL'!$C$103=A57)*BXL!$Y$4:$Y$103)+SUMPRODUCT((BXL!$AA$4:'BXL'!$AA$103=A57)*BXL!$AR$4:$AR$103)+SUMPRODUCT((BXL!$AB$4:'BXL'!$AB$103=A57)*BXL!$AR$4:$AR$103)</f>
        <v>0</v>
      </c>
      <c r="D57" s="136" cm="1">
        <f t="array" ref="D57">SUMPRODUCT((BXL!$C$4:'BXL'!$C$103=A57)*BXL!$O$4:$O$103)+SUMPRODUCT((BXL!$AA$4:'BXL'!$AA$103=A57)*BXL!$AM$4:$AM$103)+SUMPRODUCT((BXL!$AB$4:'BXL'!$AB$103=A57)*BXL!$AM$4:$AM$103)</f>
        <v>0</v>
      </c>
      <c r="E57" s="136" cm="1">
        <f t="array" ref="E57">SUMPRODUCT((BXL!$C$4:'BXL'!$C$103=A57)*BXL!$R$4:$R$103)+SUMPRODUCT((BXL!$AA$4:'BXL'!$AA$103=A57)*BXL!$AP$4:$AP$103)+SUMPRODUCT((BXL!$AB$4:'BXL'!$AB$103=A57)*BXL!$AP$4:$AP$103)</f>
        <v>0</v>
      </c>
      <c r="F57" s="136" cm="1">
        <f t="array" ref="F57">SUMPRODUCT((BXL!$C$4:'BXL'!$C$103=A57)*BXL!$V$4:$V$103)+SUMPRODUCT((BXL!$AA$4:'BXL'!$AA$103=A57)*BXL!$AS$4:$AS$103)+SUMPRODUCT((BXL!$AB$4:'BXL'!$AB$103=A57)*BXL!$AS$4:$AS$103)</f>
        <v>0</v>
      </c>
      <c r="G57" s="136" cm="1">
        <f t="array" ref="G57">SUMPRODUCT((BXL!$C$4:'BXL'!$C$103=A57)*BXL!$W$4:$W$103)+SUMPRODUCT((BXL!$AA$4:'BXL'!$AA$103=A57)*BXL!$AT$4:$AT$103)+SUMPRODUCT((BXL!$AB$4:'BXL'!$AB$103=A57)*BXL!$AT$4:$AT$103)</f>
        <v>0</v>
      </c>
      <c r="H57" s="115"/>
      <c r="I57" s="139">
        <f t="shared" si="8"/>
        <v>6799.7986699999992</v>
      </c>
      <c r="J57" s="136">
        <f t="shared" si="11"/>
        <v>470.65455000000003</v>
      </c>
      <c r="K57" s="136">
        <f t="shared" si="11"/>
        <v>6329.1441199999999</v>
      </c>
      <c r="L57" s="136">
        <f t="shared" si="11"/>
        <v>414.26706863157904</v>
      </c>
      <c r="M57" s="136">
        <f t="shared" si="11"/>
        <v>344.24597600000004</v>
      </c>
      <c r="N57" s="115"/>
      <c r="O57" s="131">
        <f>C57*ResourcesEmissions!B61</f>
        <v>0</v>
      </c>
      <c r="P57" s="131">
        <f>C57*ResourcesEmissions!C61</f>
        <v>0</v>
      </c>
      <c r="Q57" s="131">
        <f>C57*ResourcesEmissions!E61</f>
        <v>0</v>
      </c>
      <c r="R57" s="115"/>
      <c r="S57" s="131">
        <f t="shared" si="12"/>
        <v>8638.361150898374</v>
      </c>
      <c r="T57" s="131">
        <f t="shared" si="12"/>
        <v>7752.046826317478</v>
      </c>
      <c r="U57" s="131">
        <f t="shared" si="12"/>
        <v>88754.052970760982</v>
      </c>
      <c r="V57" s="115"/>
      <c r="W57" s="128"/>
      <c r="X57" s="128"/>
      <c r="Y57" s="128"/>
      <c r="Z57" s="115"/>
      <c r="AA57" s="126"/>
      <c r="AB57" s="126"/>
      <c r="AC57" s="126"/>
      <c r="AD57" s="115"/>
      <c r="AE57" s="126"/>
      <c r="AF57" s="126"/>
      <c r="AG57" s="126"/>
      <c r="AH57" s="115"/>
      <c r="AI57" s="128"/>
      <c r="AJ57" s="128"/>
      <c r="AK57" s="128"/>
      <c r="AL57" s="115"/>
      <c r="AM57" s="126"/>
      <c r="AN57" s="126"/>
      <c r="AO57" s="126"/>
      <c r="AP57" s="115"/>
      <c r="AQ57" s="126"/>
      <c r="AR57" s="126"/>
      <c r="AS57" s="126"/>
    </row>
    <row r="58" spans="1:45" x14ac:dyDescent="0.25">
      <c r="A58" s="94">
        <v>2003</v>
      </c>
      <c r="B58" s="139" cm="1">
        <f t="array" ref="B58">SUMPRODUCT((BXL!$C$4:'BXL'!$C$103=A58)*BXL!$X$4:$X$103)+SUMPRODUCT((BXL!$AA$4:'BXL'!$AA$103=A58)*BXL!$AQ$4:$AQ$103)+SUMPRODUCT((BXL!$AB$4:'BXL'!$AB$103=A58)*BXL!$AQ$4:$AQ$103)</f>
        <v>0</v>
      </c>
      <c r="C58" s="139" cm="1">
        <f t="array" ref="C58">SUMPRODUCT((BXL!$C$4:'BXL'!$C$103=A58)*BXL!$Y$4:$Y$103)+SUMPRODUCT((BXL!$AA$4:'BXL'!$AA$103=A58)*BXL!$AR$4:$AR$103)+SUMPRODUCT((BXL!$AB$4:'BXL'!$AB$103=A58)*BXL!$AR$4:$AR$103)</f>
        <v>0</v>
      </c>
      <c r="D58" s="136" cm="1">
        <f t="array" ref="D58">SUMPRODUCT((BXL!$C$4:'BXL'!$C$103=A58)*BXL!$O$4:$O$103)+SUMPRODUCT((BXL!$AA$4:'BXL'!$AA$103=A58)*BXL!$AM$4:$AM$103)+SUMPRODUCT((BXL!$AB$4:'BXL'!$AB$103=A58)*BXL!$AM$4:$AM$103)</f>
        <v>0</v>
      </c>
      <c r="E58" s="136" cm="1">
        <f t="array" ref="E58">SUMPRODUCT((BXL!$C$4:'BXL'!$C$103=A58)*BXL!$R$4:$R$103)+SUMPRODUCT((BXL!$AA$4:'BXL'!$AA$103=A58)*BXL!$AP$4:$AP$103)+SUMPRODUCT((BXL!$AB$4:'BXL'!$AB$103=A58)*BXL!$AP$4:$AP$103)</f>
        <v>0</v>
      </c>
      <c r="F58" s="136" cm="1">
        <f t="array" ref="F58">SUMPRODUCT((BXL!$C$4:'BXL'!$C$103=A58)*BXL!$V$4:$V$103)+SUMPRODUCT((BXL!$AA$4:'BXL'!$AA$103=A58)*BXL!$AS$4:$AS$103)+SUMPRODUCT((BXL!$AB$4:'BXL'!$AB$103=A58)*BXL!$AS$4:$AS$103)</f>
        <v>0</v>
      </c>
      <c r="G58" s="136" cm="1">
        <f t="array" ref="G58">SUMPRODUCT((BXL!$C$4:'BXL'!$C$103=A58)*BXL!$W$4:$W$103)+SUMPRODUCT((BXL!$AA$4:'BXL'!$AA$103=A58)*BXL!$AT$4:$AT$103)+SUMPRODUCT((BXL!$AB$4:'BXL'!$AB$103=A58)*BXL!$AT$4:$AT$103)</f>
        <v>0</v>
      </c>
      <c r="H58" s="115"/>
      <c r="I58" s="139">
        <f t="shared" si="8"/>
        <v>6799.7986699999992</v>
      </c>
      <c r="J58" s="136">
        <f t="shared" si="11"/>
        <v>470.65455000000003</v>
      </c>
      <c r="K58" s="136">
        <f t="shared" si="11"/>
        <v>6329.1441199999999</v>
      </c>
      <c r="L58" s="136">
        <f t="shared" si="11"/>
        <v>414.26706863157904</v>
      </c>
      <c r="M58" s="136">
        <f t="shared" si="11"/>
        <v>344.24597600000004</v>
      </c>
      <c r="N58" s="115"/>
      <c r="O58" s="131">
        <f>C58*ResourcesEmissions!B62</f>
        <v>0</v>
      </c>
      <c r="P58" s="131">
        <f>C58*ResourcesEmissions!C62</f>
        <v>0</v>
      </c>
      <c r="Q58" s="131">
        <f>C58*ResourcesEmissions!E62</f>
        <v>0</v>
      </c>
      <c r="R58" s="115"/>
      <c r="S58" s="131">
        <f t="shared" si="12"/>
        <v>8638.361150898374</v>
      </c>
      <c r="T58" s="131">
        <f t="shared" si="12"/>
        <v>7752.046826317478</v>
      </c>
      <c r="U58" s="131">
        <f t="shared" si="12"/>
        <v>88754.052970760982</v>
      </c>
      <c r="V58" s="115"/>
      <c r="W58" s="128"/>
      <c r="X58" s="128"/>
      <c r="Y58" s="128"/>
      <c r="Z58" s="115"/>
      <c r="AA58" s="126"/>
      <c r="AB58" s="126"/>
      <c r="AC58" s="126"/>
      <c r="AD58" s="115"/>
      <c r="AE58" s="126"/>
      <c r="AF58" s="126"/>
      <c r="AG58" s="126"/>
      <c r="AH58" s="115"/>
      <c r="AI58" s="128"/>
      <c r="AJ58" s="128"/>
      <c r="AK58" s="128"/>
      <c r="AL58" s="115"/>
      <c r="AM58" s="126"/>
      <c r="AN58" s="126"/>
      <c r="AO58" s="126"/>
      <c r="AP58" s="115"/>
      <c r="AQ58" s="126"/>
      <c r="AR58" s="126"/>
      <c r="AS58" s="126"/>
    </row>
    <row r="59" spans="1:45" x14ac:dyDescent="0.25">
      <c r="A59" s="94">
        <v>2004</v>
      </c>
      <c r="B59" s="139" cm="1">
        <f t="array" ref="B59">SUMPRODUCT((BXL!$C$4:'BXL'!$C$103=A59)*BXL!$X$4:$X$103)+SUMPRODUCT((BXL!$AA$4:'BXL'!$AA$103=A59)*BXL!$AQ$4:$AQ$103)+SUMPRODUCT((BXL!$AB$4:'BXL'!$AB$103=A59)*BXL!$AQ$4:$AQ$103)</f>
        <v>52693.2</v>
      </c>
      <c r="C59" s="139" cm="1">
        <f t="array" ref="C59">SUMPRODUCT((BXL!$C$4:'BXL'!$C$103=A59)*BXL!$Y$4:$Y$103)+SUMPRODUCT((BXL!$AA$4:'BXL'!$AA$103=A59)*BXL!$AR$4:$AR$103)+SUMPRODUCT((BXL!$AB$4:'BXL'!$AB$103=A59)*BXL!$AR$4:$AR$103)</f>
        <v>1240.3890000000001</v>
      </c>
      <c r="D59" s="136" cm="1">
        <f t="array" ref="D59">SUMPRODUCT((BXL!$C$4:'BXL'!$C$103=A59)*BXL!$O$4:$O$103)+SUMPRODUCT((BXL!$AA$4:'BXL'!$AA$103=A59)*BXL!$AM$4:$AM$103)+SUMPRODUCT((BXL!$AB$4:'BXL'!$AB$103=A59)*BXL!$AM$4:$AM$103)</f>
        <v>243.14400000000001</v>
      </c>
      <c r="E59" s="136" cm="1">
        <f t="array" ref="E59">SUMPRODUCT((BXL!$C$4:'BXL'!$C$103=A59)*BXL!$R$4:$R$103)+SUMPRODUCT((BXL!$AA$4:'BXL'!$AA$103=A59)*BXL!$AP$4:$AP$103)+SUMPRODUCT((BXL!$AB$4:'BXL'!$AB$103=A59)*BXL!$AP$4:$AP$103)</f>
        <v>997.245</v>
      </c>
      <c r="F59" s="136" cm="1">
        <f t="array" ref="F59">SUMPRODUCT((BXL!$C$4:'BXL'!$C$103=A59)*BXL!$V$4:$V$103)+SUMPRODUCT((BXL!$AA$4:'BXL'!$AA$103=A59)*BXL!$AS$4:$AS$103)+SUMPRODUCT((BXL!$AB$4:'BXL'!$AB$103=A59)*BXL!$AS$4:$AS$103)</f>
        <v>95.494854000000004</v>
      </c>
      <c r="G59" s="136" cm="1">
        <f t="array" ref="G59">SUMPRODUCT((BXL!$C$4:'BXL'!$C$103=A59)*BXL!$W$4:$W$103)+SUMPRODUCT((BXL!$AA$4:'BXL'!$AA$103=A59)*BXL!$AT$4:$AT$103)+SUMPRODUCT((BXL!$AB$4:'BXL'!$AB$103=A59)*BXL!$AT$4:$AT$103)</f>
        <v>56.143799999999999</v>
      </c>
      <c r="H59" s="115"/>
      <c r="I59" s="139">
        <f t="shared" si="8"/>
        <v>8040.1876699999993</v>
      </c>
      <c r="J59" s="136">
        <f t="shared" si="11"/>
        <v>713.79854999999998</v>
      </c>
      <c r="K59" s="136">
        <f t="shared" si="11"/>
        <v>7326.3891199999998</v>
      </c>
      <c r="L59" s="136">
        <f t="shared" si="11"/>
        <v>509.76192263157907</v>
      </c>
      <c r="M59" s="136">
        <f t="shared" si="11"/>
        <v>400.38977600000004</v>
      </c>
      <c r="N59" s="115"/>
      <c r="O59" s="131">
        <f>C59*ResourcesEmissions!B63</f>
        <v>1391.6593671262522</v>
      </c>
      <c r="P59" s="131">
        <f>C59*ResourcesEmissions!C63</f>
        <v>866.68856854131741</v>
      </c>
      <c r="Q59" s="131">
        <f>C59*ResourcesEmissions!E63</f>
        <v>11474.09478095367</v>
      </c>
      <c r="R59" s="115"/>
      <c r="S59" s="131">
        <f t="shared" si="12"/>
        <v>10030.020518024627</v>
      </c>
      <c r="T59" s="131">
        <f t="shared" si="12"/>
        <v>8618.7353948587952</v>
      </c>
      <c r="U59" s="131">
        <f t="shared" si="12"/>
        <v>100228.14775171466</v>
      </c>
      <c r="V59" s="115"/>
      <c r="W59" s="128"/>
      <c r="X59" s="128"/>
      <c r="Y59" s="128"/>
      <c r="Z59" s="115"/>
      <c r="AA59" s="126"/>
      <c r="AB59" s="126"/>
      <c r="AC59" s="126"/>
      <c r="AD59" s="115"/>
      <c r="AE59" s="126"/>
      <c r="AF59" s="126"/>
      <c r="AG59" s="126"/>
      <c r="AH59" s="115"/>
      <c r="AI59" s="128"/>
      <c r="AJ59" s="128"/>
      <c r="AK59" s="128"/>
      <c r="AL59" s="115"/>
      <c r="AM59" s="126"/>
      <c r="AN59" s="126"/>
      <c r="AO59" s="126"/>
      <c r="AP59" s="115"/>
      <c r="AQ59" s="126"/>
      <c r="AR59" s="126"/>
      <c r="AS59" s="126"/>
    </row>
    <row r="60" spans="1:45" x14ac:dyDescent="0.25">
      <c r="A60" s="94">
        <v>2005</v>
      </c>
      <c r="B60" s="139" cm="1">
        <f t="array" ref="B60">SUMPRODUCT((BXL!$C$4:'BXL'!$C$103=A60)*BXL!$X$4:$X$103)+SUMPRODUCT((BXL!$AA$4:'BXL'!$AA$103=A60)*BXL!$AQ$4:$AQ$103)+SUMPRODUCT((BXL!$AB$4:'BXL'!$AB$103=A60)*BXL!$AQ$4:$AQ$103)</f>
        <v>0</v>
      </c>
      <c r="C60" s="139" cm="1">
        <f t="array" ref="C60">SUMPRODUCT((BXL!$C$4:'BXL'!$C$103=A60)*BXL!$Y$4:$Y$103)+SUMPRODUCT((BXL!$AA$4:'BXL'!$AA$103=A60)*BXL!$AR$4:$AR$103)+SUMPRODUCT((BXL!$AB$4:'BXL'!$AB$103=A60)*BXL!$AR$4:$AR$103)</f>
        <v>0</v>
      </c>
      <c r="D60" s="136" cm="1">
        <f t="array" ref="D60">SUMPRODUCT((BXL!$C$4:'BXL'!$C$103=A60)*BXL!$O$4:$O$103)+SUMPRODUCT((BXL!$AA$4:'BXL'!$AA$103=A60)*BXL!$AM$4:$AM$103)+SUMPRODUCT((BXL!$AB$4:'BXL'!$AB$103=A60)*BXL!$AM$4:$AM$103)</f>
        <v>0</v>
      </c>
      <c r="E60" s="136" cm="1">
        <f t="array" ref="E60">SUMPRODUCT((BXL!$C$4:'BXL'!$C$103=A60)*BXL!$R$4:$R$103)+SUMPRODUCT((BXL!$AA$4:'BXL'!$AA$103=A60)*BXL!$AP$4:$AP$103)+SUMPRODUCT((BXL!$AB$4:'BXL'!$AB$103=A60)*BXL!$AP$4:$AP$103)</f>
        <v>0</v>
      </c>
      <c r="F60" s="136" cm="1">
        <f t="array" ref="F60">SUMPRODUCT((BXL!$C$4:'BXL'!$C$103=A60)*BXL!$V$4:$V$103)+SUMPRODUCT((BXL!$AA$4:'BXL'!$AA$103=A60)*BXL!$AS$4:$AS$103)+SUMPRODUCT((BXL!$AB$4:'BXL'!$AB$103=A60)*BXL!$AS$4:$AS$103)</f>
        <v>0</v>
      </c>
      <c r="G60" s="136" cm="1">
        <f t="array" ref="G60">SUMPRODUCT((BXL!$C$4:'BXL'!$C$103=A60)*BXL!$W$4:$W$103)+SUMPRODUCT((BXL!$AA$4:'BXL'!$AA$103=A60)*BXL!$AT$4:$AT$103)+SUMPRODUCT((BXL!$AB$4:'BXL'!$AB$103=A60)*BXL!$AT$4:$AT$103)</f>
        <v>0</v>
      </c>
      <c r="H60" s="115"/>
      <c r="I60" s="139">
        <f t="shared" si="8"/>
        <v>8040.1876699999993</v>
      </c>
      <c r="J60" s="136">
        <f t="shared" si="11"/>
        <v>713.79854999999998</v>
      </c>
      <c r="K60" s="136">
        <f t="shared" si="11"/>
        <v>7326.3891199999998</v>
      </c>
      <c r="L60" s="136">
        <f t="shared" si="11"/>
        <v>509.76192263157907</v>
      </c>
      <c r="M60" s="136">
        <f t="shared" si="11"/>
        <v>400.38977600000004</v>
      </c>
      <c r="N60" s="115"/>
      <c r="O60" s="131">
        <f>C60*ResourcesEmissions!B64</f>
        <v>0</v>
      </c>
      <c r="P60" s="131">
        <f>C60*ResourcesEmissions!C64</f>
        <v>0</v>
      </c>
      <c r="Q60" s="131">
        <f>C60*ResourcesEmissions!E64</f>
        <v>0</v>
      </c>
      <c r="R60" s="115"/>
      <c r="S60" s="131">
        <f t="shared" si="12"/>
        <v>10030.020518024627</v>
      </c>
      <c r="T60" s="131">
        <f t="shared" si="12"/>
        <v>8618.7353948587952</v>
      </c>
      <c r="U60" s="131">
        <f t="shared" si="12"/>
        <v>100228.14775171466</v>
      </c>
      <c r="V60" s="115"/>
      <c r="W60" s="128"/>
      <c r="X60" s="128"/>
      <c r="Y60" s="128"/>
      <c r="Z60" s="115"/>
      <c r="AA60" s="126"/>
      <c r="AB60" s="126"/>
      <c r="AC60" s="126"/>
      <c r="AD60" s="115"/>
      <c r="AE60" s="126"/>
      <c r="AF60" s="126"/>
      <c r="AG60" s="126"/>
      <c r="AH60" s="115"/>
      <c r="AI60" s="128"/>
      <c r="AJ60" s="128"/>
      <c r="AK60" s="128"/>
      <c r="AL60" s="115"/>
      <c r="AM60" s="126"/>
      <c r="AN60" s="126"/>
      <c r="AO60" s="126"/>
      <c r="AP60" s="115"/>
      <c r="AQ60" s="126"/>
      <c r="AR60" s="126"/>
      <c r="AS60" s="126"/>
    </row>
    <row r="61" spans="1:45" x14ac:dyDescent="0.25">
      <c r="A61" s="94">
        <v>2006</v>
      </c>
      <c r="B61" s="139" cm="1">
        <f t="array" ref="B61">SUMPRODUCT((BXL!$C$4:'BXL'!$C$103=A61)*BXL!$X$4:$X$103)+SUMPRODUCT((BXL!$AA$4:'BXL'!$AA$103=A61)*BXL!$AQ$4:$AQ$103)+SUMPRODUCT((BXL!$AB$4:'BXL'!$AB$103=A61)*BXL!$AQ$4:$AQ$103)</f>
        <v>113124.875</v>
      </c>
      <c r="C61" s="139" cm="1">
        <f t="array" ref="C61">SUMPRODUCT((BXL!$C$4:'BXL'!$C$103=A61)*BXL!$Y$4:$Y$103)+SUMPRODUCT((BXL!$AA$4:'BXL'!$AA$103=A61)*BXL!$AR$4:$AR$103)+SUMPRODUCT((BXL!$AB$4:'BXL'!$AB$103=A61)*BXL!$AR$4:$AR$103)</f>
        <v>2262.4974999999999</v>
      </c>
      <c r="D61" s="136" cm="1">
        <f t="array" ref="D61">SUMPRODUCT((BXL!$C$4:'BXL'!$C$103=A61)*BXL!$O$4:$O$103)+SUMPRODUCT((BXL!$AA$4:'BXL'!$AA$103=A61)*BXL!$AM$4:$AM$103)+SUMPRODUCT((BXL!$AB$4:'BXL'!$AB$103=A61)*BXL!$AM$4:$AM$103)</f>
        <v>344.3175</v>
      </c>
      <c r="E61" s="136" cm="1">
        <f t="array" ref="E61">SUMPRODUCT((BXL!$C$4:'BXL'!$C$103=A61)*BXL!$R$4:$R$103)+SUMPRODUCT((BXL!$AA$4:'BXL'!$AA$103=A61)*BXL!$AP$4:$AP$103)+SUMPRODUCT((BXL!$AB$4:'BXL'!$AB$103=A61)*BXL!$AP$4:$AP$103)</f>
        <v>1918.1799999999998</v>
      </c>
      <c r="F61" s="136" cm="1">
        <f t="array" ref="F61">SUMPRODUCT((BXL!$C$4:'BXL'!$C$103=A61)*BXL!$V$4:$V$103)+SUMPRODUCT((BXL!$AA$4:'BXL'!$AA$103=A61)*BXL!$AS$4:$AS$103)+SUMPRODUCT((BXL!$AB$4:'BXL'!$AB$103=A61)*BXL!$AS$4:$AS$103)</f>
        <v>156.44426666666666</v>
      </c>
      <c r="G61" s="136" cm="1">
        <f t="array" ref="G61">SUMPRODUCT((BXL!$C$4:'BXL'!$C$103=A61)*BXL!$W$4:$W$103)+SUMPRODUCT((BXL!$AA$4:'BXL'!$AA$103=A61)*BXL!$AT$4:$AT$103)+SUMPRODUCT((BXL!$AB$4:'BXL'!$AB$103=A61)*BXL!$AT$4:$AT$103)</f>
        <v>116.14636666666667</v>
      </c>
      <c r="H61" s="115"/>
      <c r="I61" s="139">
        <f t="shared" si="8"/>
        <v>10302.685169999999</v>
      </c>
      <c r="J61" s="136">
        <f t="shared" si="11"/>
        <v>1058.1160500000001</v>
      </c>
      <c r="K61" s="136">
        <f t="shared" si="11"/>
        <v>9244.5691200000001</v>
      </c>
      <c r="L61" s="136">
        <f t="shared" si="11"/>
        <v>666.2061892982457</v>
      </c>
      <c r="M61" s="136">
        <f t="shared" si="11"/>
        <v>516.53614266666671</v>
      </c>
      <c r="N61" s="115"/>
      <c r="O61" s="131">
        <f>C61*ResourcesEmissions!B65</f>
        <v>2521.264291124774</v>
      </c>
      <c r="P61" s="131">
        <f>C61*ResourcesEmissions!C65</f>
        <v>1522.8366073621155</v>
      </c>
      <c r="Q61" s="131">
        <f>C61*ResourcesEmissions!E65</f>
        <v>20742.557504285011</v>
      </c>
      <c r="R61" s="115"/>
      <c r="S61" s="131">
        <f t="shared" si="12"/>
        <v>12551.284809149402</v>
      </c>
      <c r="T61" s="131">
        <f t="shared" si="12"/>
        <v>10141.57200222091</v>
      </c>
      <c r="U61" s="131">
        <f t="shared" si="12"/>
        <v>120970.70525599967</v>
      </c>
      <c r="V61" s="115"/>
      <c r="W61" s="128"/>
      <c r="X61" s="128"/>
      <c r="Y61" s="128"/>
      <c r="Z61" s="115"/>
      <c r="AA61" s="126"/>
      <c r="AB61" s="126"/>
      <c r="AC61" s="126"/>
      <c r="AD61" s="115"/>
      <c r="AE61" s="126"/>
      <c r="AF61" s="126"/>
      <c r="AG61" s="126"/>
      <c r="AH61" s="115"/>
      <c r="AI61" s="128"/>
      <c r="AJ61" s="128"/>
      <c r="AK61" s="128"/>
      <c r="AL61" s="115"/>
      <c r="AM61" s="126"/>
      <c r="AN61" s="126"/>
      <c r="AO61" s="126"/>
      <c r="AP61" s="115"/>
      <c r="AQ61" s="126"/>
      <c r="AR61" s="126"/>
      <c r="AS61" s="126"/>
    </row>
    <row r="62" spans="1:45" x14ac:dyDescent="0.25">
      <c r="A62" s="94">
        <v>2007</v>
      </c>
      <c r="B62" s="139" cm="1">
        <f t="array" ref="B62">SUMPRODUCT((BXL!$C$4:'BXL'!$C$103=A62)*BXL!$X$4:$X$103)+SUMPRODUCT((BXL!$AA$4:'BXL'!$AA$103=A62)*BXL!$AQ$4:$AQ$103)+SUMPRODUCT((BXL!$AB$4:'BXL'!$AB$103=A62)*BXL!$AQ$4:$AQ$103)</f>
        <v>32000</v>
      </c>
      <c r="C62" s="139" cm="1">
        <f t="array" ref="C62">SUMPRODUCT((BXL!$C$4:'BXL'!$C$103=A62)*BXL!$Y$4:$Y$103)+SUMPRODUCT((BXL!$AA$4:'BXL'!$AA$103=A62)*BXL!$AR$4:$AR$103)+SUMPRODUCT((BXL!$AB$4:'BXL'!$AB$103=A62)*BXL!$AR$4:$AR$103)</f>
        <v>720</v>
      </c>
      <c r="D62" s="136" cm="1">
        <f t="array" ref="D62">SUMPRODUCT((BXL!$C$4:'BXL'!$C$103=A62)*BXL!$O$4:$O$103)+SUMPRODUCT((BXL!$AA$4:'BXL'!$AA$103=A62)*BXL!$AM$4:$AM$103)+SUMPRODUCT((BXL!$AB$4:'BXL'!$AB$103=A62)*BXL!$AM$4:$AM$103)</f>
        <v>0</v>
      </c>
      <c r="E62" s="136" cm="1">
        <f t="array" ref="E62">SUMPRODUCT((BXL!$C$4:'BXL'!$C$103=A62)*BXL!$R$4:$R$103)+SUMPRODUCT((BXL!$AA$4:'BXL'!$AA$103=A62)*BXL!$AP$4:$AP$103)+SUMPRODUCT((BXL!$AB$4:'BXL'!$AB$103=A62)*BXL!$AP$4:$AP$103)</f>
        <v>720</v>
      </c>
      <c r="F62" s="136" cm="1">
        <f t="array" ref="F62">SUMPRODUCT((BXL!$C$4:'BXL'!$C$103=A62)*BXL!$V$4:$V$103)+SUMPRODUCT((BXL!$AA$4:'BXL'!$AA$103=A62)*BXL!$AS$4:$AS$103)+SUMPRODUCT((BXL!$AB$4:'BXL'!$AB$103=A62)*BXL!$AS$4:$AS$103)</f>
        <v>42.666666666666671</v>
      </c>
      <c r="G62" s="136" cm="1">
        <f t="array" ref="G62">SUMPRODUCT((BXL!$C$4:'BXL'!$C$103=A62)*BXL!$W$4:$W$103)+SUMPRODUCT((BXL!$AA$4:'BXL'!$AA$103=A62)*BXL!$AT$4:$AT$103)+SUMPRODUCT((BXL!$AB$4:'BXL'!$AB$103=A62)*BXL!$AT$4:$AT$103)</f>
        <v>42.666666666666671</v>
      </c>
      <c r="H62" s="115"/>
      <c r="I62" s="139">
        <f t="shared" si="8"/>
        <v>11022.685169999999</v>
      </c>
      <c r="J62" s="136">
        <f t="shared" si="11"/>
        <v>1058.1160500000001</v>
      </c>
      <c r="K62" s="136">
        <f t="shared" si="11"/>
        <v>9964.5691200000001</v>
      </c>
      <c r="L62" s="136">
        <f t="shared" si="11"/>
        <v>708.87285596491233</v>
      </c>
      <c r="M62" s="136">
        <f t="shared" si="11"/>
        <v>559.20280933333333</v>
      </c>
      <c r="N62" s="115"/>
      <c r="O62" s="131">
        <f>C62*ResourcesEmissions!B66</f>
        <v>800.31449706081128</v>
      </c>
      <c r="P62" s="131">
        <f>C62*ResourcesEmissions!C66</f>
        <v>471.6</v>
      </c>
      <c r="Q62" s="131">
        <f>C62*ResourcesEmissions!E66</f>
        <v>6579.7687165176148</v>
      </c>
      <c r="R62" s="115"/>
      <c r="S62" s="131">
        <f t="shared" si="12"/>
        <v>13351.599306210213</v>
      </c>
      <c r="T62" s="131">
        <f t="shared" si="12"/>
        <v>10613.17200222091</v>
      </c>
      <c r="U62" s="131">
        <f t="shared" si="12"/>
        <v>127550.47397251728</v>
      </c>
      <c r="V62" s="115"/>
      <c r="W62" s="128"/>
      <c r="X62" s="128"/>
      <c r="Y62" s="128"/>
      <c r="Z62" s="115"/>
      <c r="AA62" s="126"/>
      <c r="AB62" s="126"/>
      <c r="AC62" s="126"/>
      <c r="AD62" s="115"/>
      <c r="AE62" s="126"/>
      <c r="AF62" s="126"/>
      <c r="AG62" s="126"/>
      <c r="AH62" s="115"/>
      <c r="AI62" s="128"/>
      <c r="AJ62" s="128"/>
      <c r="AK62" s="128"/>
      <c r="AL62" s="115"/>
      <c r="AM62" s="126"/>
      <c r="AN62" s="126"/>
      <c r="AO62" s="126"/>
      <c r="AP62" s="115"/>
      <c r="AQ62" s="126"/>
      <c r="AR62" s="126"/>
      <c r="AS62" s="126"/>
    </row>
    <row r="63" spans="1:45" x14ac:dyDescent="0.25">
      <c r="A63" s="94">
        <v>2008</v>
      </c>
      <c r="B63" s="139" cm="1">
        <f t="array" ref="B63">SUMPRODUCT((BXL!$C$4:'BXL'!$C$103=A63)*BXL!$X$4:$X$103)+SUMPRODUCT((BXL!$AA$4:'BXL'!$AA$103=A63)*BXL!$AQ$4:$AQ$103)+SUMPRODUCT((BXL!$AB$4:'BXL'!$AB$103=A63)*BXL!$AQ$4:$AQ$103)</f>
        <v>0</v>
      </c>
      <c r="C63" s="139" cm="1">
        <f t="array" ref="C63">SUMPRODUCT((BXL!$C$4:'BXL'!$C$103=A63)*BXL!$Y$4:$Y$103)+SUMPRODUCT((BXL!$AA$4:'BXL'!$AA$103=A63)*BXL!$AR$4:$AR$103)+SUMPRODUCT((BXL!$AB$4:'BXL'!$AB$103=A63)*BXL!$AR$4:$AR$103)</f>
        <v>0</v>
      </c>
      <c r="D63" s="136" cm="1">
        <f t="array" ref="D63">SUMPRODUCT((BXL!$C$4:'BXL'!$C$103=A63)*BXL!$O$4:$O$103)+SUMPRODUCT((BXL!$AA$4:'BXL'!$AA$103=A63)*BXL!$AM$4:$AM$103)+SUMPRODUCT((BXL!$AB$4:'BXL'!$AB$103=A63)*BXL!$AM$4:$AM$103)</f>
        <v>0</v>
      </c>
      <c r="E63" s="136" cm="1">
        <f t="array" ref="E63">SUMPRODUCT((BXL!$C$4:'BXL'!$C$103=A63)*BXL!$R$4:$R$103)+SUMPRODUCT((BXL!$AA$4:'BXL'!$AA$103=A63)*BXL!$AP$4:$AP$103)+SUMPRODUCT((BXL!$AB$4:'BXL'!$AB$103=A63)*BXL!$AP$4:$AP$103)</f>
        <v>0</v>
      </c>
      <c r="F63" s="136" cm="1">
        <f t="array" ref="F63">SUMPRODUCT((BXL!$C$4:'BXL'!$C$103=A63)*BXL!$V$4:$V$103)+SUMPRODUCT((BXL!$AA$4:'BXL'!$AA$103=A63)*BXL!$AS$4:$AS$103)+SUMPRODUCT((BXL!$AB$4:'BXL'!$AB$103=A63)*BXL!$AS$4:$AS$103)</f>
        <v>0</v>
      </c>
      <c r="G63" s="136" cm="1">
        <f t="array" ref="G63">SUMPRODUCT((BXL!$C$4:'BXL'!$C$103=A63)*BXL!$W$4:$W$103)+SUMPRODUCT((BXL!$AA$4:'BXL'!$AA$103=A63)*BXL!$AT$4:$AT$103)+SUMPRODUCT((BXL!$AB$4:'BXL'!$AB$103=A63)*BXL!$AT$4:$AT$103)</f>
        <v>0</v>
      </c>
      <c r="H63" s="115"/>
      <c r="I63" s="139">
        <f t="shared" si="8"/>
        <v>11022.685169999999</v>
      </c>
      <c r="J63" s="136">
        <f t="shared" si="11"/>
        <v>1058.1160500000001</v>
      </c>
      <c r="K63" s="136">
        <f t="shared" si="11"/>
        <v>9964.5691200000001</v>
      </c>
      <c r="L63" s="136">
        <f t="shared" si="11"/>
        <v>708.87285596491233</v>
      </c>
      <c r="M63" s="136">
        <f t="shared" si="11"/>
        <v>559.20280933333333</v>
      </c>
      <c r="N63" s="115"/>
      <c r="O63" s="131">
        <f>C63*ResourcesEmissions!B67</f>
        <v>0</v>
      </c>
      <c r="P63" s="131">
        <f>C63*ResourcesEmissions!C67</f>
        <v>0</v>
      </c>
      <c r="Q63" s="131">
        <f>C63*ResourcesEmissions!E67</f>
        <v>0</v>
      </c>
      <c r="R63" s="115"/>
      <c r="S63" s="131">
        <f t="shared" si="12"/>
        <v>13351.599306210213</v>
      </c>
      <c r="T63" s="131">
        <f t="shared" si="12"/>
        <v>10613.17200222091</v>
      </c>
      <c r="U63" s="131">
        <f t="shared" si="12"/>
        <v>127550.47397251728</v>
      </c>
      <c r="V63" s="115"/>
      <c r="W63" s="128"/>
      <c r="X63" s="128"/>
      <c r="Y63" s="128"/>
      <c r="Z63" s="115"/>
      <c r="AA63" s="126"/>
      <c r="AB63" s="126"/>
      <c r="AC63" s="126"/>
      <c r="AD63" s="115"/>
      <c r="AE63" s="126"/>
      <c r="AF63" s="126"/>
      <c r="AG63" s="126"/>
      <c r="AH63" s="115"/>
      <c r="AI63" s="128"/>
      <c r="AJ63" s="128"/>
      <c r="AK63" s="128"/>
      <c r="AL63" s="115"/>
      <c r="AM63" s="126"/>
      <c r="AN63" s="126"/>
      <c r="AO63" s="126"/>
      <c r="AP63" s="115"/>
      <c r="AQ63" s="126"/>
      <c r="AR63" s="126"/>
      <c r="AS63" s="126"/>
    </row>
    <row r="64" spans="1:45" x14ac:dyDescent="0.25">
      <c r="A64" s="94">
        <v>2009</v>
      </c>
      <c r="B64" s="139" cm="1">
        <f t="array" ref="B64">SUMPRODUCT((BXL!$C$4:'BXL'!$C$103=A64)*BXL!$X$4:$X$103)+SUMPRODUCT((BXL!$AA$4:'BXL'!$AA$103=A64)*BXL!$AQ$4:$AQ$103)+SUMPRODUCT((BXL!$AB$4:'BXL'!$AB$103=A64)*BXL!$AQ$4:$AQ$103)</f>
        <v>12276</v>
      </c>
      <c r="C64" s="139" cm="1">
        <f t="array" ref="C64">SUMPRODUCT((BXL!$C$4:'BXL'!$C$103=A64)*BXL!$Y$4:$Y$103)+SUMPRODUCT((BXL!$AA$4:'BXL'!$AA$103=A64)*BXL!$AR$4:$AR$103)+SUMPRODUCT((BXL!$AB$4:'BXL'!$AB$103=A64)*BXL!$AR$4:$AR$103)</f>
        <v>245.51999999999998</v>
      </c>
      <c r="D64" s="136" cm="1">
        <f t="array" ref="D64">SUMPRODUCT((BXL!$C$4:'BXL'!$C$103=A64)*BXL!$O$4:$O$103)+SUMPRODUCT((BXL!$AA$4:'BXL'!$AA$103=A64)*BXL!$AM$4:$AM$103)+SUMPRODUCT((BXL!$AB$4:'BXL'!$AB$103=A64)*BXL!$AM$4:$AM$103)</f>
        <v>91.52</v>
      </c>
      <c r="E64" s="136" cm="1">
        <f t="array" ref="E64">SUMPRODUCT((BXL!$C$4:'BXL'!$C$103=A64)*BXL!$R$4:$R$103)+SUMPRODUCT((BXL!$AA$4:'BXL'!$AA$103=A64)*BXL!$AP$4:$AP$103)+SUMPRODUCT((BXL!$AB$4:'BXL'!$AB$103=A64)*BXL!$AP$4:$AP$103)</f>
        <v>154</v>
      </c>
      <c r="F64" s="136" cm="1">
        <f t="array" ref="F64">SUMPRODUCT((BXL!$C$4:'BXL'!$C$103=A64)*BXL!$V$4:$V$103)+SUMPRODUCT((BXL!$AA$4:'BXL'!$AA$103=A64)*BXL!$AS$4:$AS$103)+SUMPRODUCT((BXL!$AB$4:'BXL'!$AB$103=A64)*BXL!$AS$4:$AS$103)</f>
        <v>20.533333333333331</v>
      </c>
      <c r="G64" s="136" cm="1">
        <f t="array" ref="G64">SUMPRODUCT((BXL!$C$4:'BXL'!$C$103=A64)*BXL!$W$4:$W$103)+SUMPRODUCT((BXL!$AA$4:'BXL'!$AA$103=A64)*BXL!$AT$4:$AT$103)+SUMPRODUCT((BXL!$AB$4:'BXL'!$AB$103=A64)*BXL!$AT$4:$AT$103)</f>
        <v>10.266666666666666</v>
      </c>
      <c r="H64" s="115"/>
      <c r="I64" s="139">
        <f t="shared" si="8"/>
        <v>11268.205169999999</v>
      </c>
      <c r="J64" s="136">
        <f t="shared" si="11"/>
        <v>1149.6360500000001</v>
      </c>
      <c r="K64" s="136">
        <f t="shared" si="11"/>
        <v>10118.56912</v>
      </c>
      <c r="L64" s="136">
        <f t="shared" si="11"/>
        <v>729.40618929824564</v>
      </c>
      <c r="M64" s="136">
        <f t="shared" si="11"/>
        <v>569.46947599999999</v>
      </c>
      <c r="N64" s="115"/>
      <c r="O64" s="131">
        <f>C64*ResourcesEmissions!B68</f>
        <v>272.07264769306096</v>
      </c>
      <c r="P64" s="131">
        <f>C64*ResourcesEmissions!C68</f>
        <v>155.48815350669801</v>
      </c>
      <c r="Q64" s="131">
        <f>C64*ResourcesEmissions!E68</f>
        <v>2235.3017229820052</v>
      </c>
      <c r="R64" s="115"/>
      <c r="S64" s="131">
        <f t="shared" si="12"/>
        <v>13623.671953903275</v>
      </c>
      <c r="T64" s="131">
        <f t="shared" si="12"/>
        <v>10768.660155727608</v>
      </c>
      <c r="U64" s="131">
        <f t="shared" si="12"/>
        <v>129785.77569549929</v>
      </c>
      <c r="V64" s="115"/>
      <c r="W64" s="128"/>
      <c r="X64" s="128"/>
      <c r="Y64" s="128"/>
      <c r="Z64" s="115"/>
      <c r="AA64" s="126"/>
      <c r="AB64" s="126"/>
      <c r="AC64" s="126"/>
      <c r="AD64" s="115"/>
      <c r="AE64" s="126"/>
      <c r="AF64" s="126"/>
      <c r="AG64" s="126"/>
      <c r="AH64" s="115"/>
      <c r="AI64" s="128"/>
      <c r="AJ64" s="128"/>
      <c r="AK64" s="128"/>
      <c r="AL64" s="115"/>
      <c r="AM64" s="126"/>
      <c r="AN64" s="126"/>
      <c r="AO64" s="126"/>
      <c r="AP64" s="115"/>
      <c r="AQ64" s="126"/>
      <c r="AR64" s="126"/>
      <c r="AS64" s="126"/>
    </row>
    <row r="65" spans="1:45" x14ac:dyDescent="0.25">
      <c r="A65" s="94">
        <v>2010</v>
      </c>
      <c r="B65" s="139" cm="1">
        <f t="array" ref="B65">SUMPRODUCT((BXL!$C$4:'BXL'!$C$103=A65)*BXL!$X$4:$X$103)+SUMPRODUCT((BXL!$AA$4:'BXL'!$AA$103=A65)*BXL!$AQ$4:$AQ$103)+SUMPRODUCT((BXL!$AB$4:'BXL'!$AB$103=A65)*BXL!$AQ$4:$AQ$103)</f>
        <v>0</v>
      </c>
      <c r="C65" s="139" cm="1">
        <f t="array" ref="C65">SUMPRODUCT((BXL!$C$4:'BXL'!$C$103=A65)*BXL!$Y$4:$Y$103)+SUMPRODUCT((BXL!$AA$4:'BXL'!$AA$103=A65)*BXL!$AR$4:$AR$103)+SUMPRODUCT((BXL!$AB$4:'BXL'!$AB$103=A65)*BXL!$AR$4:$AR$103)</f>
        <v>0</v>
      </c>
      <c r="D65" s="136" cm="1">
        <f t="array" ref="D65">SUMPRODUCT((BXL!$C$4:'BXL'!$C$103=A65)*BXL!$O$4:$O$103)+SUMPRODUCT((BXL!$AA$4:'BXL'!$AA$103=A65)*BXL!$AM$4:$AM$103)+SUMPRODUCT((BXL!$AB$4:'BXL'!$AB$103=A65)*BXL!$AM$4:$AM$103)</f>
        <v>0</v>
      </c>
      <c r="E65" s="136" cm="1">
        <f t="array" ref="E65">SUMPRODUCT((BXL!$C$4:'BXL'!$C$103=A65)*BXL!$R$4:$R$103)+SUMPRODUCT((BXL!$AA$4:'BXL'!$AA$103=A65)*BXL!$AP$4:$AP$103)+SUMPRODUCT((BXL!$AB$4:'BXL'!$AB$103=A65)*BXL!$AP$4:$AP$103)</f>
        <v>0</v>
      </c>
      <c r="F65" s="136" cm="1">
        <f t="array" ref="F65">SUMPRODUCT((BXL!$C$4:'BXL'!$C$103=A65)*BXL!$V$4:$V$103)+SUMPRODUCT((BXL!$AA$4:'BXL'!$AA$103=A65)*BXL!$AS$4:$AS$103)+SUMPRODUCT((BXL!$AB$4:'BXL'!$AB$103=A65)*BXL!$AS$4:$AS$103)</f>
        <v>0</v>
      </c>
      <c r="G65" s="136" cm="1">
        <f t="array" ref="G65">SUMPRODUCT((BXL!$C$4:'BXL'!$C$103=A65)*BXL!$W$4:$W$103)+SUMPRODUCT((BXL!$AA$4:'BXL'!$AA$103=A65)*BXL!$AT$4:$AT$103)+SUMPRODUCT((BXL!$AB$4:'BXL'!$AB$103=A65)*BXL!$AT$4:$AT$103)</f>
        <v>0</v>
      </c>
      <c r="H65" s="115"/>
      <c r="I65" s="139">
        <f t="shared" si="8"/>
        <v>11268.205169999999</v>
      </c>
      <c r="J65" s="136">
        <f t="shared" si="11"/>
        <v>1149.6360500000001</v>
      </c>
      <c r="K65" s="136">
        <f t="shared" si="11"/>
        <v>10118.56912</v>
      </c>
      <c r="L65" s="136">
        <f t="shared" si="11"/>
        <v>729.40618929824564</v>
      </c>
      <c r="M65" s="136">
        <f t="shared" si="11"/>
        <v>569.46947599999999</v>
      </c>
      <c r="N65" s="115"/>
      <c r="O65" s="131">
        <f>C65*ResourcesEmissions!B69</f>
        <v>0</v>
      </c>
      <c r="P65" s="131">
        <f>C65*ResourcesEmissions!C69</f>
        <v>0</v>
      </c>
      <c r="Q65" s="131">
        <f>C65*ResourcesEmissions!E69</f>
        <v>0</v>
      </c>
      <c r="R65" s="115"/>
      <c r="S65" s="131">
        <f t="shared" si="12"/>
        <v>13623.671953903275</v>
      </c>
      <c r="T65" s="131">
        <f t="shared" si="12"/>
        <v>10768.660155727608</v>
      </c>
      <c r="U65" s="131">
        <f t="shared" si="12"/>
        <v>129785.77569549929</v>
      </c>
      <c r="V65" s="115"/>
      <c r="W65" s="128"/>
      <c r="X65" s="128"/>
      <c r="Y65" s="128"/>
      <c r="Z65" s="115"/>
      <c r="AA65" s="126"/>
      <c r="AB65" s="126"/>
      <c r="AC65" s="126"/>
      <c r="AD65" s="115"/>
      <c r="AE65" s="126"/>
      <c r="AF65" s="126"/>
      <c r="AG65" s="126"/>
      <c r="AH65" s="115"/>
      <c r="AI65" s="128"/>
      <c r="AJ65" s="128"/>
      <c r="AK65" s="128"/>
      <c r="AL65" s="115"/>
      <c r="AM65" s="126"/>
      <c r="AN65" s="126"/>
      <c r="AO65" s="126"/>
      <c r="AP65" s="115"/>
      <c r="AQ65" s="126"/>
      <c r="AR65" s="126"/>
      <c r="AS65" s="126"/>
    </row>
    <row r="66" spans="1:45" x14ac:dyDescent="0.25">
      <c r="A66" s="94">
        <v>2011</v>
      </c>
      <c r="B66" s="139" cm="1">
        <f t="array" ref="B66">SUMPRODUCT((BXL!$C$4:'BXL'!$C$103=A66)*BXL!$X$4:$X$103)+SUMPRODUCT((BXL!$AA$4:'BXL'!$AA$103=A66)*BXL!$AQ$4:$AQ$103)+SUMPRODUCT((BXL!$AB$4:'BXL'!$AB$103=A66)*BXL!$AQ$4:$AQ$103)</f>
        <v>0</v>
      </c>
      <c r="C66" s="139" cm="1">
        <f t="array" ref="C66">SUMPRODUCT((BXL!$C$4:'BXL'!$C$103=A66)*BXL!$Y$4:$Y$103)+SUMPRODUCT((BXL!$AA$4:'BXL'!$AA$103=A66)*BXL!$AR$4:$AR$103)+SUMPRODUCT((BXL!$AB$4:'BXL'!$AB$103=A66)*BXL!$AR$4:$AR$103)</f>
        <v>0</v>
      </c>
      <c r="D66" s="136" cm="1">
        <f t="array" ref="D66">SUMPRODUCT((BXL!$C$4:'BXL'!$C$103=A66)*BXL!$O$4:$O$103)+SUMPRODUCT((BXL!$AA$4:'BXL'!$AA$103=A66)*BXL!$AM$4:$AM$103)+SUMPRODUCT((BXL!$AB$4:'BXL'!$AB$103=A66)*BXL!$AM$4:$AM$103)</f>
        <v>0</v>
      </c>
      <c r="E66" s="136" cm="1">
        <f t="array" ref="E66">SUMPRODUCT((BXL!$C$4:'BXL'!$C$103=A66)*BXL!$R$4:$R$103)+SUMPRODUCT((BXL!$AA$4:'BXL'!$AA$103=A66)*BXL!$AP$4:$AP$103)+SUMPRODUCT((BXL!$AB$4:'BXL'!$AB$103=A66)*BXL!$AP$4:$AP$103)</f>
        <v>0</v>
      </c>
      <c r="F66" s="136" cm="1">
        <f t="array" ref="F66">SUMPRODUCT((BXL!$C$4:'BXL'!$C$103=A66)*BXL!$V$4:$V$103)+SUMPRODUCT((BXL!$AA$4:'BXL'!$AA$103=A66)*BXL!$AS$4:$AS$103)+SUMPRODUCT((BXL!$AB$4:'BXL'!$AB$103=A66)*BXL!$AS$4:$AS$103)</f>
        <v>0</v>
      </c>
      <c r="G66" s="136" cm="1">
        <f t="array" ref="G66">SUMPRODUCT((BXL!$C$4:'BXL'!$C$103=A66)*BXL!$W$4:$W$103)+SUMPRODUCT((BXL!$AA$4:'BXL'!$AA$103=A66)*BXL!$AT$4:$AT$103)+SUMPRODUCT((BXL!$AB$4:'BXL'!$AB$103=A66)*BXL!$AT$4:$AT$103)</f>
        <v>0</v>
      </c>
      <c r="H66" s="115"/>
      <c r="I66" s="139">
        <f t="shared" si="8"/>
        <v>11268.205169999999</v>
      </c>
      <c r="J66" s="136">
        <f t="shared" si="11"/>
        <v>1149.6360500000001</v>
      </c>
      <c r="K66" s="136">
        <f t="shared" si="11"/>
        <v>10118.56912</v>
      </c>
      <c r="L66" s="136">
        <f t="shared" si="11"/>
        <v>729.40618929824564</v>
      </c>
      <c r="M66" s="136">
        <f t="shared" si="11"/>
        <v>569.46947599999999</v>
      </c>
      <c r="N66" s="115"/>
      <c r="O66" s="131">
        <f>C66*ResourcesEmissions!B70</f>
        <v>0</v>
      </c>
      <c r="P66" s="131">
        <f>C66*ResourcesEmissions!C70</f>
        <v>0</v>
      </c>
      <c r="Q66" s="131">
        <f>C66*ResourcesEmissions!E70</f>
        <v>0</v>
      </c>
      <c r="R66" s="115"/>
      <c r="S66" s="131">
        <f t="shared" si="12"/>
        <v>13623.671953903275</v>
      </c>
      <c r="T66" s="131">
        <f t="shared" si="12"/>
        <v>10768.660155727608</v>
      </c>
      <c r="U66" s="131">
        <f t="shared" si="12"/>
        <v>129785.77569549929</v>
      </c>
      <c r="V66" s="115"/>
      <c r="W66" s="128"/>
      <c r="X66" s="128"/>
      <c r="Y66" s="128"/>
      <c r="Z66" s="115"/>
      <c r="AA66" s="126"/>
      <c r="AB66" s="126"/>
      <c r="AC66" s="126"/>
      <c r="AD66" s="115"/>
      <c r="AE66" s="126"/>
      <c r="AF66" s="126"/>
      <c r="AG66" s="126"/>
      <c r="AH66" s="115"/>
      <c r="AI66" s="128"/>
      <c r="AJ66" s="128"/>
      <c r="AK66" s="128"/>
      <c r="AL66" s="115"/>
      <c r="AM66" s="126"/>
      <c r="AN66" s="126"/>
      <c r="AO66" s="126"/>
      <c r="AP66" s="115"/>
      <c r="AQ66" s="126"/>
      <c r="AR66" s="126"/>
      <c r="AS66" s="126"/>
    </row>
    <row r="67" spans="1:45" x14ac:dyDescent="0.25">
      <c r="A67" s="94">
        <v>2012</v>
      </c>
      <c r="B67" s="139" cm="1">
        <f t="array" ref="B67">SUMPRODUCT((BXL!$C$4:'BXL'!$C$103=A67)*BXL!$X$4:$X$103)+SUMPRODUCT((BXL!$AA$4:'BXL'!$AA$103=A67)*BXL!$AQ$4:$AQ$103)+SUMPRODUCT((BXL!$AB$4:'BXL'!$AB$103=A67)*BXL!$AQ$4:$AQ$103)</f>
        <v>0</v>
      </c>
      <c r="C67" s="139" cm="1">
        <f t="array" ref="C67">SUMPRODUCT((BXL!$C$4:'BXL'!$C$103=A67)*BXL!$Y$4:$Y$103)+SUMPRODUCT((BXL!$AA$4:'BXL'!$AA$103=A67)*BXL!$AR$4:$AR$103)+SUMPRODUCT((BXL!$AB$4:'BXL'!$AB$103=A67)*BXL!$AR$4:$AR$103)</f>
        <v>0</v>
      </c>
      <c r="D67" s="136" cm="1">
        <f t="array" ref="D67">SUMPRODUCT((BXL!$C$4:'BXL'!$C$103=A67)*BXL!$O$4:$O$103)+SUMPRODUCT((BXL!$AA$4:'BXL'!$AA$103=A67)*BXL!$AM$4:$AM$103)+SUMPRODUCT((BXL!$AB$4:'BXL'!$AB$103=A67)*BXL!$AM$4:$AM$103)</f>
        <v>0</v>
      </c>
      <c r="E67" s="136" cm="1">
        <f t="array" ref="E67">SUMPRODUCT((BXL!$C$4:'BXL'!$C$103=A67)*BXL!$R$4:$R$103)+SUMPRODUCT((BXL!$AA$4:'BXL'!$AA$103=A67)*BXL!$AP$4:$AP$103)+SUMPRODUCT((BXL!$AB$4:'BXL'!$AB$103=A67)*BXL!$AP$4:$AP$103)</f>
        <v>0</v>
      </c>
      <c r="F67" s="136" cm="1">
        <f t="array" ref="F67">SUMPRODUCT((BXL!$C$4:'BXL'!$C$103=A67)*BXL!$V$4:$V$103)+SUMPRODUCT((BXL!$AA$4:'BXL'!$AA$103=A67)*BXL!$AS$4:$AS$103)+SUMPRODUCT((BXL!$AB$4:'BXL'!$AB$103=A67)*BXL!$AS$4:$AS$103)</f>
        <v>0</v>
      </c>
      <c r="G67" s="136" cm="1">
        <f t="array" ref="G67">SUMPRODUCT((BXL!$C$4:'BXL'!$C$103=A67)*BXL!$W$4:$W$103)+SUMPRODUCT((BXL!$AA$4:'BXL'!$AA$103=A67)*BXL!$AT$4:$AT$103)+SUMPRODUCT((BXL!$AB$4:'BXL'!$AB$103=A67)*BXL!$AT$4:$AT$103)</f>
        <v>0</v>
      </c>
      <c r="H67" s="115"/>
      <c r="I67" s="139">
        <f t="shared" si="8"/>
        <v>11268.205169999999</v>
      </c>
      <c r="J67" s="136">
        <f t="shared" si="11"/>
        <v>1149.6360500000001</v>
      </c>
      <c r="K67" s="136">
        <f t="shared" si="11"/>
        <v>10118.56912</v>
      </c>
      <c r="L67" s="136">
        <f t="shared" si="11"/>
        <v>729.40618929824564</v>
      </c>
      <c r="M67" s="136">
        <f t="shared" si="11"/>
        <v>569.46947599999999</v>
      </c>
      <c r="N67" s="115"/>
      <c r="O67" s="131">
        <f>C67*ResourcesEmissions!B71</f>
        <v>0</v>
      </c>
      <c r="P67" s="131">
        <f>C67*ResourcesEmissions!C71</f>
        <v>0</v>
      </c>
      <c r="Q67" s="131">
        <f>C67*ResourcesEmissions!E71</f>
        <v>0</v>
      </c>
      <c r="R67" s="115"/>
      <c r="S67" s="131">
        <f t="shared" si="12"/>
        <v>13623.671953903275</v>
      </c>
      <c r="T67" s="131">
        <f t="shared" si="12"/>
        <v>10768.660155727608</v>
      </c>
      <c r="U67" s="131">
        <f t="shared" si="12"/>
        <v>129785.77569549929</v>
      </c>
      <c r="V67" s="115"/>
      <c r="W67" s="128"/>
      <c r="X67" s="128"/>
      <c r="Y67" s="128"/>
      <c r="Z67" s="115"/>
      <c r="AA67" s="126"/>
      <c r="AB67" s="126"/>
      <c r="AC67" s="126"/>
      <c r="AD67" s="115"/>
      <c r="AE67" s="126"/>
      <c r="AF67" s="126"/>
      <c r="AG67" s="126"/>
      <c r="AH67" s="115"/>
      <c r="AI67" s="128"/>
      <c r="AJ67" s="128"/>
      <c r="AK67" s="128"/>
      <c r="AL67" s="115"/>
      <c r="AM67" s="126"/>
      <c r="AN67" s="126"/>
      <c r="AO67" s="126"/>
      <c r="AP67" s="115"/>
      <c r="AQ67" s="126"/>
      <c r="AR67" s="126"/>
      <c r="AS67" s="126"/>
    </row>
    <row r="68" spans="1:45" x14ac:dyDescent="0.25">
      <c r="A68" s="94">
        <v>2013</v>
      </c>
      <c r="B68" s="139" cm="1">
        <f t="array" ref="B68">SUMPRODUCT((BXL!$C$4:'BXL'!$C$103=A68)*BXL!$X$4:$X$103)+SUMPRODUCT((BXL!$AA$4:'BXL'!$AA$103=A68)*BXL!$AQ$4:$AQ$103)+SUMPRODUCT((BXL!$AB$4:'BXL'!$AB$103=A68)*BXL!$AQ$4:$AQ$103)</f>
        <v>31319.999999999996</v>
      </c>
      <c r="C68" s="139" cm="1">
        <f t="array" ref="C68">SUMPRODUCT((BXL!$C$4:'BXL'!$C$103=A68)*BXL!$Y$4:$Y$103)+SUMPRODUCT((BXL!$AA$4:'BXL'!$AA$103=A68)*BXL!$AR$4:$AR$103)+SUMPRODUCT((BXL!$AB$4:'BXL'!$AB$103=A68)*BXL!$AR$4:$AR$103)</f>
        <v>626.4</v>
      </c>
      <c r="D68" s="136" cm="1">
        <f t="array" ref="D68">SUMPRODUCT((BXL!$C$4:'BXL'!$C$103=A68)*BXL!$O$4:$O$103)+SUMPRODUCT((BXL!$AA$4:'BXL'!$AA$103=A68)*BXL!$AM$4:$AM$103)+SUMPRODUCT((BXL!$AB$4:'BXL'!$AB$103=A68)*BXL!$AM$4:$AM$103)</f>
        <v>0</v>
      </c>
      <c r="E68" s="136" cm="1">
        <f t="array" ref="E68">SUMPRODUCT((BXL!$C$4:'BXL'!$C$103=A68)*BXL!$R$4:$R$103)+SUMPRODUCT((BXL!$AA$4:'BXL'!$AA$103=A68)*BXL!$AP$4:$AP$103)+SUMPRODUCT((BXL!$AB$4:'BXL'!$AB$103=A68)*BXL!$AP$4:$AP$103)</f>
        <v>626.4</v>
      </c>
      <c r="F68" s="136" cm="1">
        <f t="array" ref="F68">SUMPRODUCT((BXL!$C$4:'BXL'!$C$103=A68)*BXL!$V$4:$V$103)+SUMPRODUCT((BXL!$AA$4:'BXL'!$AA$103=A68)*BXL!$AS$4:$AS$103)+SUMPRODUCT((BXL!$AB$4:'BXL'!$AB$103=A68)*BXL!$AS$4:$AS$103)</f>
        <v>36.54</v>
      </c>
      <c r="G68" s="136" cm="1">
        <f t="array" ref="G68">SUMPRODUCT((BXL!$C$4:'BXL'!$C$103=A68)*BXL!$W$4:$W$103)+SUMPRODUCT((BXL!$AA$4:'BXL'!$AA$103=A68)*BXL!$AT$4:$AT$103)+SUMPRODUCT((BXL!$AB$4:'BXL'!$AB$103=A68)*BXL!$AT$4:$AT$103)</f>
        <v>36.54</v>
      </c>
      <c r="H68" s="115"/>
      <c r="I68" s="139">
        <f t="shared" si="8"/>
        <v>11894.605169999999</v>
      </c>
      <c r="J68" s="136">
        <f t="shared" si="11"/>
        <v>1149.6360500000001</v>
      </c>
      <c r="K68" s="136">
        <f t="shared" si="11"/>
        <v>10744.96912</v>
      </c>
      <c r="L68" s="136">
        <f t="shared" si="11"/>
        <v>765.9461892982456</v>
      </c>
      <c r="M68" s="136">
        <f t="shared" si="11"/>
        <v>606.00947599999995</v>
      </c>
      <c r="N68" s="115"/>
      <c r="O68" s="131">
        <f>C68*ResourcesEmissions!B72</f>
        <v>693.86327999999992</v>
      </c>
      <c r="P68" s="131">
        <f>C68*ResourcesEmissions!C72</f>
        <v>379.88078433742589</v>
      </c>
      <c r="Q68" s="131">
        <f>C68*ResourcesEmissions!E72</f>
        <v>5700.24</v>
      </c>
      <c r="R68" s="115"/>
      <c r="S68" s="131">
        <f t="shared" si="12"/>
        <v>14317.535233903274</v>
      </c>
      <c r="T68" s="131">
        <f t="shared" si="12"/>
        <v>11148.540940065033</v>
      </c>
      <c r="U68" s="131">
        <f t="shared" si="12"/>
        <v>135486.01569549929</v>
      </c>
      <c r="V68" s="115"/>
      <c r="W68" s="128"/>
      <c r="X68" s="128"/>
      <c r="Y68" s="128"/>
      <c r="Z68" s="115"/>
      <c r="AA68" s="126"/>
      <c r="AB68" s="126"/>
      <c r="AC68" s="126"/>
      <c r="AD68" s="115"/>
      <c r="AE68" s="126"/>
      <c r="AF68" s="126"/>
      <c r="AG68" s="126"/>
      <c r="AH68" s="115"/>
      <c r="AI68" s="128"/>
      <c r="AJ68" s="128"/>
      <c r="AK68" s="128"/>
      <c r="AL68" s="115"/>
      <c r="AM68" s="126"/>
      <c r="AN68" s="126"/>
      <c r="AO68" s="126"/>
      <c r="AP68" s="115"/>
      <c r="AQ68" s="126"/>
      <c r="AR68" s="126"/>
      <c r="AS68" s="126"/>
    </row>
    <row r="69" spans="1:45" x14ac:dyDescent="0.25">
      <c r="A69" s="94">
        <v>2014</v>
      </c>
      <c r="B69" s="139" cm="1">
        <f t="array" ref="B69">SUMPRODUCT((BXL!$C$4:'BXL'!$C$103=A69)*BXL!$X$4:$X$103)+SUMPRODUCT((BXL!$AA$4:'BXL'!$AA$103=A69)*BXL!$AQ$4:$AQ$103)+SUMPRODUCT((BXL!$AB$4:'BXL'!$AB$103=A69)*BXL!$AQ$4:$AQ$103)</f>
        <v>0</v>
      </c>
      <c r="C69" s="139" cm="1">
        <f t="array" ref="C69">SUMPRODUCT((BXL!$C$4:'BXL'!$C$103=A69)*BXL!$Y$4:$Y$103)+SUMPRODUCT((BXL!$AA$4:'BXL'!$AA$103=A69)*BXL!$AR$4:$AR$103)+SUMPRODUCT((BXL!$AB$4:'BXL'!$AB$103=A69)*BXL!$AR$4:$AR$103)</f>
        <v>0</v>
      </c>
      <c r="D69" s="136" cm="1">
        <f t="array" ref="D69">SUMPRODUCT((BXL!$C$4:'BXL'!$C$103=A69)*BXL!$O$4:$O$103)+SUMPRODUCT((BXL!$AA$4:'BXL'!$AA$103=A69)*BXL!$AM$4:$AM$103)+SUMPRODUCT((BXL!$AB$4:'BXL'!$AB$103=A69)*BXL!$AM$4:$AM$103)</f>
        <v>0</v>
      </c>
      <c r="E69" s="136" cm="1">
        <f t="array" ref="E69">SUMPRODUCT((BXL!$C$4:'BXL'!$C$103=A69)*BXL!$R$4:$R$103)+SUMPRODUCT((BXL!$AA$4:'BXL'!$AA$103=A69)*BXL!$AP$4:$AP$103)+SUMPRODUCT((BXL!$AB$4:'BXL'!$AB$103=A69)*BXL!$AP$4:$AP$103)</f>
        <v>0</v>
      </c>
      <c r="F69" s="136" cm="1">
        <f t="array" ref="F69">SUMPRODUCT((BXL!$C$4:'BXL'!$C$103=A69)*BXL!$V$4:$V$103)+SUMPRODUCT((BXL!$AA$4:'BXL'!$AA$103=A69)*BXL!$AS$4:$AS$103)+SUMPRODUCT((BXL!$AB$4:'BXL'!$AB$103=A69)*BXL!$AS$4:$AS$103)</f>
        <v>0</v>
      </c>
      <c r="G69" s="136" cm="1">
        <f t="array" ref="G69">SUMPRODUCT((BXL!$C$4:'BXL'!$C$103=A69)*BXL!$W$4:$W$103)+SUMPRODUCT((BXL!$AA$4:'BXL'!$AA$103=A69)*BXL!$AT$4:$AT$103)+SUMPRODUCT((BXL!$AB$4:'BXL'!$AB$103=A69)*BXL!$AT$4:$AT$103)</f>
        <v>0</v>
      </c>
      <c r="H69" s="115"/>
      <c r="I69" s="139">
        <f t="shared" si="8"/>
        <v>11894.605169999999</v>
      </c>
      <c r="J69" s="136">
        <f t="shared" si="11"/>
        <v>1149.6360500000001</v>
      </c>
      <c r="K69" s="136">
        <f t="shared" si="11"/>
        <v>10744.96912</v>
      </c>
      <c r="L69" s="136">
        <f t="shared" si="11"/>
        <v>765.9461892982456</v>
      </c>
      <c r="M69" s="136">
        <f t="shared" si="11"/>
        <v>606.00947599999995</v>
      </c>
      <c r="N69" s="115"/>
      <c r="O69" s="131">
        <f>C69*ResourcesEmissions!B73</f>
        <v>0</v>
      </c>
      <c r="P69" s="131">
        <f>C69*ResourcesEmissions!C73</f>
        <v>0</v>
      </c>
      <c r="Q69" s="131">
        <f>C69*ResourcesEmissions!E73</f>
        <v>0</v>
      </c>
      <c r="R69" s="115"/>
      <c r="S69" s="131">
        <f t="shared" si="12"/>
        <v>14317.535233903274</v>
      </c>
      <c r="T69" s="131">
        <f t="shared" si="12"/>
        <v>11148.540940065033</v>
      </c>
      <c r="U69" s="131">
        <f t="shared" si="12"/>
        <v>135486.01569549929</v>
      </c>
      <c r="V69" s="115"/>
      <c r="W69" s="128"/>
      <c r="X69" s="128"/>
      <c r="Y69" s="128"/>
      <c r="Z69" s="115"/>
      <c r="AA69" s="126"/>
      <c r="AB69" s="126"/>
      <c r="AC69" s="126"/>
      <c r="AD69" s="115"/>
      <c r="AE69" s="126"/>
      <c r="AF69" s="126"/>
      <c r="AG69" s="126"/>
      <c r="AH69" s="115"/>
      <c r="AI69" s="128"/>
      <c r="AJ69" s="128"/>
      <c r="AK69" s="128"/>
      <c r="AL69" s="115"/>
      <c r="AM69" s="126"/>
      <c r="AN69" s="126"/>
      <c r="AO69" s="126"/>
      <c r="AP69" s="115"/>
      <c r="AQ69" s="126"/>
      <c r="AR69" s="126"/>
      <c r="AS69" s="126"/>
    </row>
    <row r="70" spans="1:45" x14ac:dyDescent="0.25">
      <c r="A70" s="94">
        <v>2015</v>
      </c>
      <c r="B70" s="139" cm="1">
        <f t="array" ref="B70">SUMPRODUCT((BXL!$C$4:'BXL'!$C$103=A70)*BXL!$X$4:$X$103)+SUMPRODUCT((BXL!$AA$4:'BXL'!$AA$103=A70)*BXL!$AQ$4:$AQ$103)+SUMPRODUCT((BXL!$AB$4:'BXL'!$AB$103=A70)*BXL!$AQ$4:$AQ$103)</f>
        <v>0</v>
      </c>
      <c r="C70" s="139" cm="1">
        <f t="array" ref="C70">SUMPRODUCT((BXL!$C$4:'BXL'!$C$103=A70)*BXL!$Y$4:$Y$103)+SUMPRODUCT((BXL!$AA$4:'BXL'!$AA$103=A70)*BXL!$AR$4:$AR$103)+SUMPRODUCT((BXL!$AB$4:'BXL'!$AB$103=A70)*BXL!$AR$4:$AR$103)</f>
        <v>0</v>
      </c>
      <c r="D70" s="136" cm="1">
        <f t="array" ref="D70">SUMPRODUCT((BXL!$C$4:'BXL'!$C$103=A70)*BXL!$O$4:$O$103)+SUMPRODUCT((BXL!$AA$4:'BXL'!$AA$103=A70)*BXL!$AM$4:$AM$103)+SUMPRODUCT((BXL!$AB$4:'BXL'!$AB$103=A70)*BXL!$AM$4:$AM$103)</f>
        <v>0</v>
      </c>
      <c r="E70" s="136" cm="1">
        <f t="array" ref="E70">SUMPRODUCT((BXL!$C$4:'BXL'!$C$103=A70)*BXL!$R$4:$R$103)+SUMPRODUCT((BXL!$AA$4:'BXL'!$AA$103=A70)*BXL!$AP$4:$AP$103)+SUMPRODUCT((BXL!$AB$4:'BXL'!$AB$103=A70)*BXL!$AP$4:$AP$103)</f>
        <v>0</v>
      </c>
      <c r="F70" s="136" cm="1">
        <f t="array" ref="F70">SUMPRODUCT((BXL!$C$4:'BXL'!$C$103=A70)*BXL!$V$4:$V$103)+SUMPRODUCT((BXL!$AA$4:'BXL'!$AA$103=A70)*BXL!$AS$4:$AS$103)+SUMPRODUCT((BXL!$AB$4:'BXL'!$AB$103=A70)*BXL!$AS$4:$AS$103)</f>
        <v>0</v>
      </c>
      <c r="G70" s="136" cm="1">
        <f t="array" ref="G70">SUMPRODUCT((BXL!$C$4:'BXL'!$C$103=A70)*BXL!$W$4:$W$103)+SUMPRODUCT((BXL!$AA$4:'BXL'!$AA$103=A70)*BXL!$AT$4:$AT$103)+SUMPRODUCT((BXL!$AB$4:'BXL'!$AB$103=A70)*BXL!$AT$4:$AT$103)</f>
        <v>0</v>
      </c>
      <c r="H70" s="115"/>
      <c r="I70" s="139">
        <f t="shared" si="8"/>
        <v>11894.605169999999</v>
      </c>
      <c r="J70" s="136">
        <f t="shared" si="11"/>
        <v>1149.6360500000001</v>
      </c>
      <c r="K70" s="136">
        <f t="shared" si="11"/>
        <v>10744.96912</v>
      </c>
      <c r="L70" s="136">
        <f t="shared" si="11"/>
        <v>765.9461892982456</v>
      </c>
      <c r="M70" s="136">
        <f t="shared" si="11"/>
        <v>606.00947599999995</v>
      </c>
      <c r="N70" s="115"/>
      <c r="O70" s="131">
        <f>C70*ResourcesEmissions!B74</f>
        <v>0</v>
      </c>
      <c r="P70" s="131">
        <f>C70*ResourcesEmissions!C74</f>
        <v>0</v>
      </c>
      <c r="Q70" s="131">
        <f>C70*ResourcesEmissions!E74</f>
        <v>0</v>
      </c>
      <c r="R70" s="115"/>
      <c r="S70" s="131">
        <f t="shared" si="12"/>
        <v>14317.535233903274</v>
      </c>
      <c r="T70" s="131">
        <f t="shared" si="12"/>
        <v>11148.540940065033</v>
      </c>
      <c r="U70" s="131">
        <f t="shared" si="12"/>
        <v>135486.01569549929</v>
      </c>
      <c r="V70" s="115"/>
      <c r="W70" s="128"/>
      <c r="X70" s="128"/>
      <c r="Y70" s="128"/>
      <c r="Z70" s="115"/>
      <c r="AA70" s="126"/>
      <c r="AB70" s="126"/>
      <c r="AC70" s="126"/>
      <c r="AD70" s="115"/>
      <c r="AE70" s="126"/>
      <c r="AF70" s="126"/>
      <c r="AG70" s="126"/>
      <c r="AH70" s="115"/>
      <c r="AI70" s="128"/>
      <c r="AJ70" s="128"/>
      <c r="AK70" s="128"/>
      <c r="AL70" s="115"/>
      <c r="AM70" s="126"/>
      <c r="AN70" s="126"/>
      <c r="AO70" s="126"/>
      <c r="AP70" s="115"/>
      <c r="AQ70" s="126"/>
      <c r="AR70" s="126"/>
      <c r="AS70" s="126"/>
    </row>
    <row r="71" spans="1:45" x14ac:dyDescent="0.25">
      <c r="A71" s="94">
        <v>2016</v>
      </c>
      <c r="B71" s="139" cm="1">
        <f t="array" ref="B71">SUMPRODUCT((BXL!$C$4:'BXL'!$C$103=A71)*BXL!$X$4:$X$103)+SUMPRODUCT((BXL!$AA$4:'BXL'!$AA$103=A71)*BXL!$AQ$4:$AQ$103)+SUMPRODUCT((BXL!$AB$4:'BXL'!$AB$103=A71)*BXL!$AQ$4:$AQ$103)</f>
        <v>0</v>
      </c>
      <c r="C71" s="139" cm="1">
        <f t="array" ref="C71">SUMPRODUCT((BXL!$C$4:'BXL'!$C$103=A71)*BXL!$Y$4:$Y$103)+SUMPRODUCT((BXL!$AA$4:'BXL'!$AA$103=A71)*BXL!$AR$4:$AR$103)+SUMPRODUCT((BXL!$AB$4:'BXL'!$AB$103=A71)*BXL!$AR$4:$AR$103)</f>
        <v>0</v>
      </c>
      <c r="D71" s="136" cm="1">
        <f t="array" ref="D71">SUMPRODUCT((BXL!$C$4:'BXL'!$C$103=A71)*BXL!$O$4:$O$103)+SUMPRODUCT((BXL!$AA$4:'BXL'!$AA$103=A71)*BXL!$AM$4:$AM$103)+SUMPRODUCT((BXL!$AB$4:'BXL'!$AB$103=A71)*BXL!$AM$4:$AM$103)</f>
        <v>0</v>
      </c>
      <c r="E71" s="136" cm="1">
        <f t="array" ref="E71">SUMPRODUCT((BXL!$C$4:'BXL'!$C$103=A71)*BXL!$R$4:$R$103)+SUMPRODUCT((BXL!$AA$4:'BXL'!$AA$103=A71)*BXL!$AP$4:$AP$103)+SUMPRODUCT((BXL!$AB$4:'BXL'!$AB$103=A71)*BXL!$AP$4:$AP$103)</f>
        <v>0</v>
      </c>
      <c r="F71" s="136" cm="1">
        <f t="array" ref="F71">SUMPRODUCT((BXL!$C$4:'BXL'!$C$103=A71)*BXL!$V$4:$V$103)+SUMPRODUCT((BXL!$AA$4:'BXL'!$AA$103=A71)*BXL!$AS$4:$AS$103)+SUMPRODUCT((BXL!$AB$4:'BXL'!$AB$103=A71)*BXL!$AS$4:$AS$103)</f>
        <v>0</v>
      </c>
      <c r="G71" s="136" cm="1">
        <f t="array" ref="G71">SUMPRODUCT((BXL!$C$4:'BXL'!$C$103=A71)*BXL!$W$4:$W$103)+SUMPRODUCT((BXL!$AA$4:'BXL'!$AA$103=A71)*BXL!$AT$4:$AT$103)+SUMPRODUCT((BXL!$AB$4:'BXL'!$AB$103=A71)*BXL!$AT$4:$AT$103)</f>
        <v>0</v>
      </c>
      <c r="H71" s="115"/>
      <c r="I71" s="139">
        <f t="shared" ref="I71:I102" si="13">C71+I70</f>
        <v>11894.605169999999</v>
      </c>
      <c r="J71" s="136">
        <f t="shared" ref="J71:M86" si="14">D71+J70</f>
        <v>1149.6360500000001</v>
      </c>
      <c r="K71" s="136">
        <f t="shared" si="14"/>
        <v>10744.96912</v>
      </c>
      <c r="L71" s="136">
        <f t="shared" si="14"/>
        <v>765.9461892982456</v>
      </c>
      <c r="M71" s="136">
        <f t="shared" si="14"/>
        <v>606.00947599999995</v>
      </c>
      <c r="N71" s="115"/>
      <c r="O71" s="131">
        <f>C71*ResourcesEmissions!B75</f>
        <v>0</v>
      </c>
      <c r="P71" s="131">
        <f>C71*ResourcesEmissions!C75</f>
        <v>0</v>
      </c>
      <c r="Q71" s="131">
        <f>C71*ResourcesEmissions!E75</f>
        <v>0</v>
      </c>
      <c r="R71" s="115"/>
      <c r="S71" s="131">
        <f t="shared" ref="S71:U80" si="15">O71+S70</f>
        <v>14317.535233903274</v>
      </c>
      <c r="T71" s="131">
        <f t="shared" si="15"/>
        <v>11148.540940065033</v>
      </c>
      <c r="U71" s="131">
        <f t="shared" si="15"/>
        <v>135486.01569549929</v>
      </c>
      <c r="V71" s="115"/>
      <c r="W71" s="128"/>
      <c r="X71" s="128"/>
      <c r="Y71" s="128"/>
      <c r="Z71" s="115"/>
      <c r="AA71" s="126"/>
      <c r="AB71" s="126"/>
      <c r="AC71" s="126"/>
      <c r="AD71" s="115"/>
      <c r="AE71" s="126"/>
      <c r="AF71" s="126"/>
      <c r="AG71" s="126"/>
      <c r="AH71" s="115"/>
      <c r="AI71" s="128"/>
      <c r="AJ71" s="128"/>
      <c r="AK71" s="128"/>
      <c r="AL71" s="115"/>
      <c r="AM71" s="126"/>
      <c r="AN71" s="126"/>
      <c r="AO71" s="126"/>
      <c r="AP71" s="115"/>
      <c r="AQ71" s="126"/>
      <c r="AR71" s="126"/>
      <c r="AS71" s="126"/>
    </row>
    <row r="72" spans="1:45" x14ac:dyDescent="0.25">
      <c r="A72" s="94">
        <v>2017</v>
      </c>
      <c r="B72" s="139" cm="1">
        <f t="array" ref="B72">SUMPRODUCT((BXL!$C$4:'BXL'!$C$103=A72)*BXL!$X$4:$X$103)+SUMPRODUCT((BXL!$AA$4:'BXL'!$AA$103=A72)*BXL!$AQ$4:$AQ$103)+SUMPRODUCT((BXL!$AB$4:'BXL'!$AB$103=A72)*BXL!$AQ$4:$AQ$103)</f>
        <v>0</v>
      </c>
      <c r="C72" s="139" cm="1">
        <f t="array" ref="C72">SUMPRODUCT((BXL!$C$4:'BXL'!$C$103=A72)*BXL!$Y$4:$Y$103)+SUMPRODUCT((BXL!$AA$4:'BXL'!$AA$103=A72)*BXL!$AR$4:$AR$103)+SUMPRODUCT((BXL!$AB$4:'BXL'!$AB$103=A72)*BXL!$AR$4:$AR$103)</f>
        <v>0</v>
      </c>
      <c r="D72" s="136" cm="1">
        <f t="array" ref="D72">SUMPRODUCT((BXL!$C$4:'BXL'!$C$103=A72)*BXL!$O$4:$O$103)+SUMPRODUCT((BXL!$AA$4:'BXL'!$AA$103=A72)*BXL!$AM$4:$AM$103)+SUMPRODUCT((BXL!$AB$4:'BXL'!$AB$103=A72)*BXL!$AM$4:$AM$103)</f>
        <v>0</v>
      </c>
      <c r="E72" s="136" cm="1">
        <f t="array" ref="E72">SUMPRODUCT((BXL!$C$4:'BXL'!$C$103=A72)*BXL!$R$4:$R$103)+SUMPRODUCT((BXL!$AA$4:'BXL'!$AA$103=A72)*BXL!$AP$4:$AP$103)+SUMPRODUCT((BXL!$AB$4:'BXL'!$AB$103=A72)*BXL!$AP$4:$AP$103)</f>
        <v>0</v>
      </c>
      <c r="F72" s="136" cm="1">
        <f t="array" ref="F72">SUMPRODUCT((BXL!$C$4:'BXL'!$C$103=A72)*BXL!$V$4:$V$103)+SUMPRODUCT((BXL!$AA$4:'BXL'!$AA$103=A72)*BXL!$AS$4:$AS$103)+SUMPRODUCT((BXL!$AB$4:'BXL'!$AB$103=A72)*BXL!$AS$4:$AS$103)</f>
        <v>0</v>
      </c>
      <c r="G72" s="136" cm="1">
        <f t="array" ref="G72">SUMPRODUCT((BXL!$C$4:'BXL'!$C$103=A72)*BXL!$W$4:$W$103)+SUMPRODUCT((BXL!$AA$4:'BXL'!$AA$103=A72)*BXL!$AT$4:$AT$103)+SUMPRODUCT((BXL!$AB$4:'BXL'!$AB$103=A72)*BXL!$AT$4:$AT$103)</f>
        <v>0</v>
      </c>
      <c r="H72" s="115"/>
      <c r="I72" s="139">
        <f t="shared" si="13"/>
        <v>11894.605169999999</v>
      </c>
      <c r="J72" s="136">
        <f t="shared" si="14"/>
        <v>1149.6360500000001</v>
      </c>
      <c r="K72" s="136">
        <f t="shared" si="14"/>
        <v>10744.96912</v>
      </c>
      <c r="L72" s="136">
        <f t="shared" si="14"/>
        <v>765.9461892982456</v>
      </c>
      <c r="M72" s="136">
        <f t="shared" si="14"/>
        <v>606.00947599999995</v>
      </c>
      <c r="N72" s="115"/>
      <c r="O72" s="131">
        <f>C72*ResourcesEmissions!B76</f>
        <v>0</v>
      </c>
      <c r="P72" s="131">
        <f>C72*ResourcesEmissions!C76</f>
        <v>0</v>
      </c>
      <c r="Q72" s="131">
        <f>C72*ResourcesEmissions!E76</f>
        <v>0</v>
      </c>
      <c r="R72" s="115"/>
      <c r="S72" s="131">
        <f t="shared" si="15"/>
        <v>14317.535233903274</v>
      </c>
      <c r="T72" s="131">
        <f t="shared" si="15"/>
        <v>11148.540940065033</v>
      </c>
      <c r="U72" s="131">
        <f t="shared" si="15"/>
        <v>135486.01569549929</v>
      </c>
      <c r="V72" s="115"/>
      <c r="W72" s="128"/>
      <c r="X72" s="128"/>
      <c r="Y72" s="128"/>
      <c r="Z72" s="115"/>
      <c r="AA72" s="126"/>
      <c r="AB72" s="126"/>
      <c r="AC72" s="126"/>
      <c r="AD72" s="115"/>
      <c r="AE72" s="126"/>
      <c r="AF72" s="126"/>
      <c r="AG72" s="126"/>
      <c r="AH72" s="115"/>
      <c r="AI72" s="128"/>
      <c r="AJ72" s="128"/>
      <c r="AK72" s="128"/>
      <c r="AL72" s="115"/>
      <c r="AM72" s="126"/>
      <c r="AN72" s="126"/>
      <c r="AO72" s="126"/>
      <c r="AP72" s="115"/>
      <c r="AQ72" s="126"/>
      <c r="AR72" s="126"/>
      <c r="AS72" s="126"/>
    </row>
    <row r="73" spans="1:45" x14ac:dyDescent="0.25">
      <c r="A73" s="94">
        <v>2018</v>
      </c>
      <c r="B73" s="139" cm="1">
        <f t="array" ref="B73">SUMPRODUCT((BXL!$C$4:'BXL'!$C$103=A73)*BXL!$X$4:$X$103)+SUMPRODUCT((BXL!$AA$4:'BXL'!$AA$103=A73)*BXL!$AQ$4:$AQ$103)+SUMPRODUCT((BXL!$AB$4:'BXL'!$AB$103=A73)*BXL!$AQ$4:$AQ$103)</f>
        <v>0</v>
      </c>
      <c r="C73" s="139" cm="1">
        <f t="array" ref="C73">SUMPRODUCT((BXL!$C$4:'BXL'!$C$103=A73)*BXL!$Y$4:$Y$103)+SUMPRODUCT((BXL!$AA$4:'BXL'!$AA$103=A73)*BXL!$AR$4:$AR$103)+SUMPRODUCT((BXL!$AB$4:'BXL'!$AB$103=A73)*BXL!$AR$4:$AR$103)</f>
        <v>0</v>
      </c>
      <c r="D73" s="136" cm="1">
        <f t="array" ref="D73">SUMPRODUCT((BXL!$C$4:'BXL'!$C$103=A73)*BXL!$O$4:$O$103)+SUMPRODUCT((BXL!$AA$4:'BXL'!$AA$103=A73)*BXL!$AM$4:$AM$103)+SUMPRODUCT((BXL!$AB$4:'BXL'!$AB$103=A73)*BXL!$AM$4:$AM$103)</f>
        <v>0</v>
      </c>
      <c r="E73" s="136" cm="1">
        <f t="array" ref="E73">SUMPRODUCT((BXL!$C$4:'BXL'!$C$103=A73)*BXL!$R$4:$R$103)+SUMPRODUCT((BXL!$AA$4:'BXL'!$AA$103=A73)*BXL!$AP$4:$AP$103)+SUMPRODUCT((BXL!$AB$4:'BXL'!$AB$103=A73)*BXL!$AP$4:$AP$103)</f>
        <v>0</v>
      </c>
      <c r="F73" s="136" cm="1">
        <f t="array" ref="F73">SUMPRODUCT((BXL!$C$4:'BXL'!$C$103=A73)*BXL!$V$4:$V$103)+SUMPRODUCT((BXL!$AA$4:'BXL'!$AA$103=A73)*BXL!$AS$4:$AS$103)+SUMPRODUCT((BXL!$AB$4:'BXL'!$AB$103=A73)*BXL!$AS$4:$AS$103)</f>
        <v>0</v>
      </c>
      <c r="G73" s="136" cm="1">
        <f t="array" ref="G73">SUMPRODUCT((BXL!$C$4:'BXL'!$C$103=A73)*BXL!$W$4:$W$103)+SUMPRODUCT((BXL!$AA$4:'BXL'!$AA$103=A73)*BXL!$AT$4:$AT$103)+SUMPRODUCT((BXL!$AB$4:'BXL'!$AB$103=A73)*BXL!$AT$4:$AT$103)</f>
        <v>0</v>
      </c>
      <c r="H73" s="115"/>
      <c r="I73" s="139">
        <f t="shared" si="13"/>
        <v>11894.605169999999</v>
      </c>
      <c r="J73" s="136">
        <f t="shared" si="14"/>
        <v>1149.6360500000001</v>
      </c>
      <c r="K73" s="136">
        <f t="shared" si="14"/>
        <v>10744.96912</v>
      </c>
      <c r="L73" s="136">
        <f t="shared" si="14"/>
        <v>765.9461892982456</v>
      </c>
      <c r="M73" s="136">
        <f t="shared" si="14"/>
        <v>606.00947599999995</v>
      </c>
      <c r="N73" s="115"/>
      <c r="O73" s="131">
        <f>C73*ResourcesEmissions!B77</f>
        <v>0</v>
      </c>
      <c r="P73" s="131">
        <f>C73*ResourcesEmissions!C77</f>
        <v>0</v>
      </c>
      <c r="Q73" s="131">
        <f>C73*ResourcesEmissions!E77</f>
        <v>0</v>
      </c>
      <c r="R73" s="115"/>
      <c r="S73" s="131">
        <f t="shared" si="15"/>
        <v>14317.535233903274</v>
      </c>
      <c r="T73" s="131">
        <f t="shared" si="15"/>
        <v>11148.540940065033</v>
      </c>
      <c r="U73" s="131">
        <f t="shared" si="15"/>
        <v>135486.01569549929</v>
      </c>
      <c r="V73" s="115"/>
      <c r="W73" s="128"/>
      <c r="X73" s="128"/>
      <c r="Y73" s="128"/>
      <c r="Z73" s="115"/>
      <c r="AA73" s="126"/>
      <c r="AB73" s="126"/>
      <c r="AC73" s="126"/>
      <c r="AD73" s="115"/>
      <c r="AE73" s="126"/>
      <c r="AF73" s="126"/>
      <c r="AG73" s="126"/>
      <c r="AH73" s="115"/>
      <c r="AI73" s="128"/>
      <c r="AJ73" s="128"/>
      <c r="AK73" s="128"/>
      <c r="AL73" s="115"/>
      <c r="AM73" s="126"/>
      <c r="AN73" s="126"/>
      <c r="AO73" s="126"/>
      <c r="AP73" s="115"/>
      <c r="AQ73" s="126"/>
      <c r="AR73" s="126"/>
      <c r="AS73" s="126"/>
    </row>
    <row r="74" spans="1:45" x14ac:dyDescent="0.25">
      <c r="A74" s="94">
        <v>2019</v>
      </c>
      <c r="B74" s="139" cm="1">
        <f t="array" ref="B74">SUMPRODUCT((BXL!$C$4:'BXL'!$C$103=A74)*BXL!$X$4:$X$103)+SUMPRODUCT((BXL!$AA$4:'BXL'!$AA$103=A74)*BXL!$AQ$4:$AQ$103)+SUMPRODUCT((BXL!$AB$4:'BXL'!$AB$103=A74)*BXL!$AQ$4:$AQ$103)</f>
        <v>0</v>
      </c>
      <c r="C74" s="139" cm="1">
        <f t="array" ref="C74">SUMPRODUCT((BXL!$C$4:'BXL'!$C$103=A74)*BXL!$Y$4:$Y$103)+SUMPRODUCT((BXL!$AA$4:'BXL'!$AA$103=A74)*BXL!$AR$4:$AR$103)+SUMPRODUCT((BXL!$AB$4:'BXL'!$AB$103=A74)*BXL!$AR$4:$AR$103)</f>
        <v>0</v>
      </c>
      <c r="D74" s="136" cm="1">
        <f t="array" ref="D74">SUMPRODUCT((BXL!$C$4:'BXL'!$C$103=A74)*BXL!$O$4:$O$103)+SUMPRODUCT((BXL!$AA$4:'BXL'!$AA$103=A74)*BXL!$AM$4:$AM$103)+SUMPRODUCT((BXL!$AB$4:'BXL'!$AB$103=A74)*BXL!$AM$4:$AM$103)</f>
        <v>0</v>
      </c>
      <c r="E74" s="136" cm="1">
        <f t="array" ref="E74">SUMPRODUCT((BXL!$C$4:'BXL'!$C$103=A74)*BXL!$R$4:$R$103)+SUMPRODUCT((BXL!$AA$4:'BXL'!$AA$103=A74)*BXL!$AP$4:$AP$103)+SUMPRODUCT((BXL!$AB$4:'BXL'!$AB$103=A74)*BXL!$AP$4:$AP$103)</f>
        <v>0</v>
      </c>
      <c r="F74" s="136" cm="1">
        <f t="array" ref="F74">SUMPRODUCT((BXL!$C$4:'BXL'!$C$103=A74)*BXL!$V$4:$V$103)+SUMPRODUCT((BXL!$AA$4:'BXL'!$AA$103=A74)*BXL!$AS$4:$AS$103)+SUMPRODUCT((BXL!$AB$4:'BXL'!$AB$103=A74)*BXL!$AS$4:$AS$103)</f>
        <v>0</v>
      </c>
      <c r="G74" s="136" cm="1">
        <f t="array" ref="G74">SUMPRODUCT((BXL!$C$4:'BXL'!$C$103=A74)*BXL!$W$4:$W$103)+SUMPRODUCT((BXL!$AA$4:'BXL'!$AA$103=A74)*BXL!$AT$4:$AT$103)+SUMPRODUCT((BXL!$AB$4:'BXL'!$AB$103=A74)*BXL!$AT$4:$AT$103)</f>
        <v>0</v>
      </c>
      <c r="H74" s="115"/>
      <c r="I74" s="139">
        <f t="shared" si="13"/>
        <v>11894.605169999999</v>
      </c>
      <c r="J74" s="136">
        <f t="shared" si="14"/>
        <v>1149.6360500000001</v>
      </c>
      <c r="K74" s="136">
        <f t="shared" si="14"/>
        <v>10744.96912</v>
      </c>
      <c r="L74" s="136">
        <f t="shared" si="14"/>
        <v>765.9461892982456</v>
      </c>
      <c r="M74" s="136">
        <f t="shared" si="14"/>
        <v>606.00947599999995</v>
      </c>
      <c r="N74" s="115"/>
      <c r="O74" s="131">
        <f>C74*ResourcesEmissions!B78</f>
        <v>0</v>
      </c>
      <c r="P74" s="131">
        <f>C74*ResourcesEmissions!C78</f>
        <v>0</v>
      </c>
      <c r="Q74" s="131">
        <f>C74*ResourcesEmissions!E78</f>
        <v>0</v>
      </c>
      <c r="R74" s="115"/>
      <c r="S74" s="131">
        <f t="shared" si="15"/>
        <v>14317.535233903274</v>
      </c>
      <c r="T74" s="131">
        <f t="shared" si="15"/>
        <v>11148.540940065033</v>
      </c>
      <c r="U74" s="131">
        <f t="shared" si="15"/>
        <v>135486.01569549929</v>
      </c>
      <c r="V74" s="115"/>
      <c r="W74" s="128"/>
      <c r="X74" s="128"/>
      <c r="Y74" s="128"/>
      <c r="Z74" s="115"/>
      <c r="AA74" s="126"/>
      <c r="AB74" s="126"/>
      <c r="AC74" s="126"/>
      <c r="AD74" s="115"/>
      <c r="AE74" s="126"/>
      <c r="AF74" s="126"/>
      <c r="AG74" s="126"/>
      <c r="AH74" s="115"/>
      <c r="AI74" s="128"/>
      <c r="AJ74" s="128"/>
      <c r="AK74" s="128"/>
      <c r="AL74" s="115"/>
      <c r="AM74" s="126"/>
      <c r="AN74" s="126"/>
      <c r="AO74" s="126"/>
      <c r="AP74" s="115"/>
      <c r="AQ74" s="126"/>
      <c r="AR74" s="126"/>
      <c r="AS74" s="126"/>
    </row>
    <row r="75" spans="1:45" x14ac:dyDescent="0.25">
      <c r="A75" s="94">
        <v>2020</v>
      </c>
      <c r="B75" s="139" cm="1">
        <f t="array" ref="B75">SUMPRODUCT((BXL!$C$4:'BXL'!$C$103=A75)*BXL!$X$4:$X$103)+SUMPRODUCT((BXL!$AA$4:'BXL'!$AA$103=A75)*BXL!$AQ$4:$AQ$103)+SUMPRODUCT((BXL!$AB$4:'BXL'!$AB$103=A75)*BXL!$AQ$4:$AQ$103)</f>
        <v>49860</v>
      </c>
      <c r="C75" s="139" cm="1">
        <f t="array" ref="C75">SUMPRODUCT((BXL!$C$4:'BXL'!$C$103=A75)*BXL!$Y$4:$Y$103)+SUMPRODUCT((BXL!$AA$4:'BXL'!$AA$103=A75)*BXL!$AR$4:$AR$103)+SUMPRODUCT((BXL!$AB$4:'BXL'!$AB$103=A75)*BXL!$AR$4:$AR$103)</f>
        <v>1047.5999999999999</v>
      </c>
      <c r="D75" s="136" cm="1">
        <f t="array" ref="D75">SUMPRODUCT((BXL!$C$4:'BXL'!$C$103=A75)*BXL!$O$4:$O$103)+SUMPRODUCT((BXL!$AA$4:'BXL'!$AA$103=A75)*BXL!$AM$4:$AM$103)+SUMPRODUCT((BXL!$AB$4:'BXL'!$AB$103=A75)*BXL!$AM$4:$AM$103)</f>
        <v>0</v>
      </c>
      <c r="E75" s="136" cm="1">
        <f t="array" ref="E75">SUMPRODUCT((BXL!$C$4:'BXL'!$C$103=A75)*BXL!$R$4:$R$103)+SUMPRODUCT((BXL!$AA$4:'BXL'!$AA$103=A75)*BXL!$AP$4:$AP$103)+SUMPRODUCT((BXL!$AB$4:'BXL'!$AB$103=A75)*BXL!$AP$4:$AP$103)</f>
        <v>1047.5999999999999</v>
      </c>
      <c r="F75" s="136" cm="1">
        <f t="array" ref="F75">SUMPRODUCT((BXL!$C$4:'BXL'!$C$103=A75)*BXL!$V$4:$V$103)+SUMPRODUCT((BXL!$AA$4:'BXL'!$AA$103=A75)*BXL!$AS$4:$AS$103)+SUMPRODUCT((BXL!$AB$4:'BXL'!$AB$103=A75)*BXL!$AS$4:$AS$103)</f>
        <v>57.229199999999999</v>
      </c>
      <c r="G75" s="136" cm="1">
        <f t="array" ref="G75">SUMPRODUCT((BXL!$C$4:'BXL'!$C$103=A75)*BXL!$W$4:$W$103)+SUMPRODUCT((BXL!$AA$4:'BXL'!$AA$103=A75)*BXL!$AT$4:$AT$103)+SUMPRODUCT((BXL!$AB$4:'BXL'!$AB$103=A75)*BXL!$AT$4:$AT$103)</f>
        <v>57.229199999999999</v>
      </c>
      <c r="H75" s="115"/>
      <c r="I75" s="139">
        <f t="shared" si="13"/>
        <v>12942.205169999999</v>
      </c>
      <c r="J75" s="136">
        <f t="shared" si="14"/>
        <v>1149.6360500000001</v>
      </c>
      <c r="K75" s="136">
        <f t="shared" si="14"/>
        <v>11792.56912</v>
      </c>
      <c r="L75" s="136">
        <f t="shared" si="14"/>
        <v>823.17538929824559</v>
      </c>
      <c r="M75" s="136">
        <f t="shared" si="14"/>
        <v>663.23867599999994</v>
      </c>
      <c r="N75" s="115"/>
      <c r="O75" s="131">
        <f>C75*ResourcesEmissions!$B$79</f>
        <v>1160.4265199999998</v>
      </c>
      <c r="P75" s="131">
        <f>C75*ResourcesEmissions!$C$79</f>
        <v>587.69907048458128</v>
      </c>
      <c r="Q75" s="131">
        <f>C75*ResourcesEmissions!$E$79</f>
        <v>9533.159999999998</v>
      </c>
      <c r="R75" s="115"/>
      <c r="S75" s="131">
        <f t="shared" si="15"/>
        <v>15477.961753903273</v>
      </c>
      <c r="T75" s="131">
        <f t="shared" si="15"/>
        <v>11736.240010549614</v>
      </c>
      <c r="U75" s="131">
        <f t="shared" si="15"/>
        <v>145019.17569549929</v>
      </c>
      <c r="V75" s="115"/>
      <c r="W75" s="128"/>
      <c r="X75" s="128"/>
      <c r="Y75" s="128"/>
      <c r="Z75" s="115"/>
      <c r="AA75" s="126"/>
      <c r="AB75" s="126"/>
      <c r="AC75" s="126"/>
      <c r="AD75" s="115"/>
      <c r="AE75" s="126"/>
      <c r="AF75" s="126"/>
      <c r="AG75" s="126"/>
      <c r="AH75" s="115"/>
      <c r="AI75" s="128"/>
      <c r="AJ75" s="128"/>
      <c r="AK75" s="128"/>
      <c r="AL75" s="115"/>
      <c r="AM75" s="126"/>
      <c r="AN75" s="126"/>
      <c r="AO75" s="126"/>
      <c r="AP75" s="115"/>
      <c r="AQ75" s="126"/>
      <c r="AR75" s="126"/>
      <c r="AS75" s="126"/>
    </row>
    <row r="76" spans="1:45" x14ac:dyDescent="0.25">
      <c r="A76" s="94">
        <v>2021</v>
      </c>
      <c r="B76" s="139" cm="1">
        <f t="array" ref="B76">SUMPRODUCT((BXL!$C$4:'BXL'!$C$103=A76)*BXL!$X$4:$X$103)+SUMPRODUCT((BXL!$AA$4:'BXL'!$AA$103=A76)*BXL!$AQ$4:$AQ$103)+SUMPRODUCT((BXL!$AB$4:'BXL'!$AB$103=A76)*BXL!$AQ$4:$AQ$103)</f>
        <v>20160</v>
      </c>
      <c r="C76" s="139" cm="1">
        <f t="array" ref="C76">SUMPRODUCT((BXL!$C$4:'BXL'!$C$103=A76)*BXL!$Y$4:$Y$103)+SUMPRODUCT((BXL!$AA$4:'BXL'!$AA$103=A76)*BXL!$AR$4:$AR$103)+SUMPRODUCT((BXL!$AB$4:'BXL'!$AB$103=A76)*BXL!$AR$4:$AR$103)</f>
        <v>453.6</v>
      </c>
      <c r="D76" s="136" cm="1">
        <f t="array" ref="D76">SUMPRODUCT((BXL!$C$4:'BXL'!$C$103=A76)*BXL!$O$4:$O$103)+SUMPRODUCT((BXL!$AA$4:'BXL'!$AA$103=A76)*BXL!$AM$4:$AM$103)+SUMPRODUCT((BXL!$AB$4:'BXL'!$AB$103=A76)*BXL!$AM$4:$AM$103)</f>
        <v>0</v>
      </c>
      <c r="E76" s="136" cm="1">
        <f t="array" ref="E76">SUMPRODUCT((BXL!$C$4:'BXL'!$C$103=A76)*BXL!$R$4:$R$103)+SUMPRODUCT((BXL!$AA$4:'BXL'!$AA$103=A76)*BXL!$AP$4:$AP$103)+SUMPRODUCT((BXL!$AB$4:'BXL'!$AB$103=A76)*BXL!$AP$4:$AP$103)</f>
        <v>453.6</v>
      </c>
      <c r="F76" s="136" cm="1">
        <f t="array" ref="F76">SUMPRODUCT((BXL!$C$4:'BXL'!$C$103=A76)*BXL!$V$4:$V$103)+SUMPRODUCT((BXL!$AA$4:'BXL'!$AA$103=A76)*BXL!$AS$4:$AS$103)+SUMPRODUCT((BXL!$AB$4:'BXL'!$AB$103=A76)*BXL!$AS$4:$AS$103)</f>
        <v>22.5792</v>
      </c>
      <c r="G76" s="136" cm="1">
        <f t="array" ref="G76">SUMPRODUCT((BXL!$C$4:'BXL'!$C$103=A76)*BXL!$W$4:$W$103)+SUMPRODUCT((BXL!$AA$4:'BXL'!$AA$103=A76)*BXL!$AT$4:$AT$103)+SUMPRODUCT((BXL!$AB$4:'BXL'!$AB$103=A76)*BXL!$AT$4:$AT$103)</f>
        <v>22.5792</v>
      </c>
      <c r="H76" s="115"/>
      <c r="I76" s="139">
        <f t="shared" si="13"/>
        <v>13395.80517</v>
      </c>
      <c r="J76" s="136">
        <f t="shared" si="14"/>
        <v>1149.6360500000001</v>
      </c>
      <c r="K76" s="136">
        <f t="shared" si="14"/>
        <v>12246.16912</v>
      </c>
      <c r="L76" s="136">
        <f t="shared" si="14"/>
        <v>845.75458929824561</v>
      </c>
      <c r="M76" s="136">
        <f t="shared" si="14"/>
        <v>685.81787599999996</v>
      </c>
      <c r="N76" s="115"/>
      <c r="O76" s="131">
        <f>C76*ResourcesEmissions!$B$79</f>
        <v>502.45272</v>
      </c>
      <c r="P76" s="131">
        <f>C76*ResourcesEmissions!$C$79</f>
        <v>254.46763876651974</v>
      </c>
      <c r="Q76" s="131">
        <f>C76*ResourcesEmissions!$E$79</f>
        <v>4127.76</v>
      </c>
      <c r="R76" s="115"/>
      <c r="S76" s="131">
        <f t="shared" si="15"/>
        <v>15980.414473903273</v>
      </c>
      <c r="T76" s="131">
        <f t="shared" si="15"/>
        <v>11990.707649316135</v>
      </c>
      <c r="U76" s="131">
        <f t="shared" si="15"/>
        <v>149146.9356954993</v>
      </c>
      <c r="V76" s="115"/>
      <c r="W76" s="128"/>
      <c r="X76" s="128"/>
      <c r="Y76" s="128"/>
      <c r="Z76" s="115"/>
      <c r="AA76" s="126"/>
      <c r="AB76" s="126"/>
      <c r="AC76" s="126"/>
      <c r="AD76" s="115"/>
      <c r="AE76" s="126"/>
      <c r="AF76" s="126"/>
      <c r="AG76" s="126"/>
      <c r="AH76" s="115"/>
      <c r="AI76" s="128"/>
      <c r="AJ76" s="128"/>
      <c r="AK76" s="128"/>
      <c r="AL76" s="115"/>
      <c r="AM76" s="126"/>
      <c r="AN76" s="126"/>
      <c r="AO76" s="126"/>
      <c r="AP76" s="115"/>
      <c r="AQ76" s="126"/>
      <c r="AR76" s="126"/>
      <c r="AS76" s="126"/>
    </row>
    <row r="77" spans="1:45" x14ac:dyDescent="0.25">
      <c r="A77" s="94">
        <v>2022</v>
      </c>
      <c r="B77" s="139" cm="1">
        <f t="array" ref="B77">SUMPRODUCT((BXL!$C$4:'BXL'!$C$103=A77)*BXL!$X$4:$X$103)+SUMPRODUCT((BXL!$AA$4:'BXL'!$AA$103=A77)*BXL!$AQ$4:$AQ$103)+SUMPRODUCT((BXL!$AB$4:'BXL'!$AB$103=A77)*BXL!$AQ$4:$AQ$103)</f>
        <v>13282.5</v>
      </c>
      <c r="C77" s="139" cm="1">
        <f t="array" ref="C77">SUMPRODUCT((BXL!$C$4:'BXL'!$C$103=A77)*BXL!$Y$4:$Y$103)+SUMPRODUCT((BXL!$AA$4:'BXL'!$AA$103=A77)*BXL!$AR$4:$AR$103)+SUMPRODUCT((BXL!$AB$4:'BXL'!$AB$103=A77)*BXL!$AR$4:$AR$103)</f>
        <v>531.30000000000007</v>
      </c>
      <c r="D77" s="136" cm="1">
        <f t="array" ref="D77">SUMPRODUCT((BXL!$C$4:'BXL'!$C$103=A77)*BXL!$O$4:$O$103)+SUMPRODUCT((BXL!$AA$4:'BXL'!$AA$103=A77)*BXL!$AM$4:$AM$103)+SUMPRODUCT((BXL!$AB$4:'BXL'!$AB$103=A77)*BXL!$AM$4:$AM$103)</f>
        <v>0</v>
      </c>
      <c r="E77" s="136" cm="1">
        <f t="array" ref="E77">SUMPRODUCT((BXL!$C$4:'BXL'!$C$103=A77)*BXL!$R$4:$R$103)+SUMPRODUCT((BXL!$AA$4:'BXL'!$AA$103=A77)*BXL!$AP$4:$AP$103)+SUMPRODUCT((BXL!$AB$4:'BXL'!$AB$103=A77)*BXL!$AP$4:$AP$103)</f>
        <v>531.30000000000007</v>
      </c>
      <c r="F77" s="136" cm="1">
        <f t="array" ref="F77">SUMPRODUCT((BXL!$C$4:'BXL'!$C$103=A77)*BXL!$V$4:$V$103)+SUMPRODUCT((BXL!$AA$4:'BXL'!$AA$103=A77)*BXL!$AS$4:$AS$103)+SUMPRODUCT((BXL!$AB$4:'BXL'!$AB$103=A77)*BXL!$AS$4:$AS$103)</f>
        <v>32.5914</v>
      </c>
      <c r="G77" s="136" cm="1">
        <f t="array" ref="G77">SUMPRODUCT((BXL!$C$4:'BXL'!$C$103=A77)*BXL!$W$4:$W$103)+SUMPRODUCT((BXL!$AA$4:'BXL'!$AA$103=A77)*BXL!$AT$4:$AT$103)+SUMPRODUCT((BXL!$AB$4:'BXL'!$AB$103=A77)*BXL!$AT$4:$AT$103)</f>
        <v>32.5914</v>
      </c>
      <c r="H77" s="115"/>
      <c r="I77" s="139">
        <f t="shared" si="13"/>
        <v>13927.105169999999</v>
      </c>
      <c r="J77" s="136">
        <f t="shared" si="14"/>
        <v>1149.6360500000001</v>
      </c>
      <c r="K77" s="136">
        <f t="shared" si="14"/>
        <v>12777.46912</v>
      </c>
      <c r="L77" s="136">
        <f t="shared" si="14"/>
        <v>878.34598929824563</v>
      </c>
      <c r="M77" s="136">
        <f t="shared" si="14"/>
        <v>718.40927599999998</v>
      </c>
      <c r="N77" s="115"/>
      <c r="O77" s="131">
        <f>C77*ResourcesEmissions!$B$79</f>
        <v>588.52101000000005</v>
      </c>
      <c r="P77" s="131">
        <f>C77*ResourcesEmissions!$C$79</f>
        <v>298.05700281448844</v>
      </c>
      <c r="Q77" s="131">
        <f>C77*ResourcesEmissions!$E$79</f>
        <v>4834.8300000000008</v>
      </c>
      <c r="R77" s="115"/>
      <c r="S77" s="131">
        <f t="shared" si="15"/>
        <v>16568.935483903271</v>
      </c>
      <c r="T77" s="131">
        <f t="shared" si="15"/>
        <v>12288.764652130623</v>
      </c>
      <c r="U77" s="131">
        <f t="shared" si="15"/>
        <v>153981.76569549929</v>
      </c>
      <c r="V77" s="115"/>
      <c r="W77" s="128"/>
      <c r="X77" s="128"/>
      <c r="Y77" s="128"/>
      <c r="Z77" s="115"/>
      <c r="AA77" s="126"/>
      <c r="AB77" s="126"/>
      <c r="AC77" s="126"/>
      <c r="AD77" s="115"/>
      <c r="AE77" s="126"/>
      <c r="AF77" s="126"/>
      <c r="AG77" s="126"/>
      <c r="AH77" s="115"/>
      <c r="AI77" s="128"/>
      <c r="AJ77" s="128"/>
      <c r="AK77" s="128"/>
      <c r="AL77" s="115"/>
      <c r="AM77" s="126"/>
      <c r="AN77" s="126"/>
      <c r="AO77" s="126"/>
      <c r="AP77" s="115"/>
      <c r="AQ77" s="126"/>
      <c r="AR77" s="126"/>
      <c r="AS77" s="126"/>
    </row>
    <row r="78" spans="1:45" x14ac:dyDescent="0.25">
      <c r="A78" s="94">
        <v>2023</v>
      </c>
      <c r="B78" s="139" cm="1">
        <f t="array" ref="B78">SUMPRODUCT((BXL!$C$4:'BXL'!$C$103=A78)*BXL!$X$4:$X$103)+SUMPRODUCT((BXL!$AA$4:'BXL'!$AA$103=A78)*BXL!$AQ$4:$AQ$103)+SUMPRODUCT((BXL!$AB$4:'BXL'!$AB$103=A78)*BXL!$AQ$4:$AQ$103)</f>
        <v>73626.875</v>
      </c>
      <c r="C78" s="139" cm="1">
        <f t="array" ref="C78">SUMPRODUCT((BXL!$C$4:'BXL'!$C$103=A78)*BXL!$Y$4:$Y$103)+SUMPRODUCT((BXL!$AA$4:'BXL'!$AA$103=A78)*BXL!$AR$4:$AR$103)+SUMPRODUCT((BXL!$AB$4:'BXL'!$AB$103=A78)*BXL!$AR$4:$AR$103)</f>
        <v>1658.5675000000001</v>
      </c>
      <c r="D78" s="136" cm="1">
        <f t="array" ref="D78">SUMPRODUCT((BXL!$C$4:'BXL'!$C$103=A78)*BXL!$O$4:$O$103)+SUMPRODUCT((BXL!$AA$4:'BXL'!$AA$103=A78)*BXL!$AM$4:$AM$103)+SUMPRODUCT((BXL!$AB$4:'BXL'!$AB$103=A78)*BXL!$AM$4:$AM$103)</f>
        <v>323.71350000000001</v>
      </c>
      <c r="E78" s="136" cm="1">
        <f t="array" ref="E78">SUMPRODUCT((BXL!$C$4:'BXL'!$C$103=A78)*BXL!$R$4:$R$103)+SUMPRODUCT((BXL!$AA$4:'BXL'!$AA$103=A78)*BXL!$AP$4:$AP$103)+SUMPRODUCT((BXL!$AB$4:'BXL'!$AB$103=A78)*BXL!$AP$4:$AP$103)</f>
        <v>1334.854</v>
      </c>
      <c r="F78" s="136" cm="1">
        <f t="array" ref="F78">SUMPRODUCT((BXL!$C$4:'BXL'!$C$103=A78)*BXL!$V$4:$V$103)+SUMPRODUCT((BXL!$AA$4:'BXL'!$AA$103=A78)*BXL!$AS$4:$AS$103)+SUMPRODUCT((BXL!$AB$4:'BXL'!$AB$103=A78)*BXL!$AS$4:$AS$103)</f>
        <v>165.16513333333336</v>
      </c>
      <c r="G78" s="136" cm="1">
        <f t="array" ref="G78">SUMPRODUCT((BXL!$C$4:'BXL'!$C$103=A78)*BXL!$W$4:$W$103)+SUMPRODUCT((BXL!$AA$4:'BXL'!$AA$103=A78)*BXL!$AT$4:$AT$103)+SUMPRODUCT((BXL!$AB$4:'BXL'!$AB$103=A78)*BXL!$AT$4:$AT$103)</f>
        <v>84.85626666666667</v>
      </c>
      <c r="H78" s="115"/>
      <c r="I78" s="139">
        <f t="shared" si="13"/>
        <v>15585.67267</v>
      </c>
      <c r="J78" s="136">
        <f t="shared" si="14"/>
        <v>1473.3495500000001</v>
      </c>
      <c r="K78" s="136">
        <f t="shared" si="14"/>
        <v>14112.323119999999</v>
      </c>
      <c r="L78" s="136">
        <f t="shared" si="14"/>
        <v>1043.5111226315789</v>
      </c>
      <c r="M78" s="136">
        <f t="shared" si="14"/>
        <v>803.26554266666665</v>
      </c>
      <c r="N78" s="115"/>
      <c r="O78" s="131">
        <f>C78*ResourcesEmissions!$B$79</f>
        <v>1837.19521975</v>
      </c>
      <c r="P78" s="131">
        <f>C78*ResourcesEmissions!$C$79</f>
        <v>930.44919634014491</v>
      </c>
      <c r="Q78" s="131">
        <f>C78*ResourcesEmissions!$E$79</f>
        <v>15092.964250000001</v>
      </c>
      <c r="R78" s="115"/>
      <c r="S78" s="131">
        <f t="shared" si="15"/>
        <v>18406.130703653271</v>
      </c>
      <c r="T78" s="131">
        <f t="shared" si="15"/>
        <v>13219.213848470768</v>
      </c>
      <c r="U78" s="131">
        <f t="shared" si="15"/>
        <v>169074.72994549928</v>
      </c>
      <c r="V78" s="115"/>
      <c r="W78" s="128"/>
      <c r="X78" s="128"/>
      <c r="Y78" s="128"/>
      <c r="Z78" s="115"/>
      <c r="AA78" s="126"/>
      <c r="AB78" s="126"/>
      <c r="AC78" s="126"/>
      <c r="AD78" s="115"/>
      <c r="AE78" s="126"/>
      <c r="AF78" s="126"/>
      <c r="AG78" s="126"/>
      <c r="AH78" s="115"/>
      <c r="AI78" s="128"/>
      <c r="AJ78" s="128"/>
      <c r="AK78" s="128"/>
      <c r="AL78" s="115"/>
      <c r="AM78" s="126"/>
      <c r="AN78" s="126"/>
      <c r="AO78" s="126"/>
      <c r="AP78" s="115"/>
      <c r="AQ78" s="126"/>
      <c r="AR78" s="126"/>
      <c r="AS78" s="126"/>
    </row>
    <row r="79" spans="1:45" x14ac:dyDescent="0.25">
      <c r="A79" s="94">
        <v>2024</v>
      </c>
      <c r="B79" s="139" cm="1">
        <f t="array" ref="B79">SUMPRODUCT((BXL!$C$4:'BXL'!$C$103=A79)*BXL!$X$4:$X$103)+SUMPRODUCT((BXL!$AA$4:'BXL'!$AA$103=A79)*BXL!$AQ$4:$AQ$103)+SUMPRODUCT((BXL!$AB$4:'BXL'!$AB$103=A79)*BXL!$AQ$4:$AQ$103)</f>
        <v>0</v>
      </c>
      <c r="C79" s="139" cm="1">
        <f t="array" ref="C79">SUMPRODUCT((BXL!$C$4:'BXL'!$C$103=A79)*BXL!$Y$4:$Y$103)+SUMPRODUCT((BXL!$AA$4:'BXL'!$AA$103=A79)*BXL!$AR$4:$AR$103)+SUMPRODUCT((BXL!$AB$4:'BXL'!$AB$103=A79)*BXL!$AR$4:$AR$103)</f>
        <v>0</v>
      </c>
      <c r="D79" s="136" cm="1">
        <f t="array" ref="D79">SUMPRODUCT((BXL!$C$4:'BXL'!$C$103=A79)*BXL!$O$4:$O$103)+SUMPRODUCT((BXL!$AA$4:'BXL'!$AA$103=A79)*BXL!$AM$4:$AM$103)+SUMPRODUCT((BXL!$AB$4:'BXL'!$AB$103=A79)*BXL!$AM$4:$AM$103)</f>
        <v>0</v>
      </c>
      <c r="E79" s="136" cm="1">
        <f t="array" ref="E79">SUMPRODUCT((BXL!$C$4:'BXL'!$C$103=A79)*BXL!$R$4:$R$103)+SUMPRODUCT((BXL!$AA$4:'BXL'!$AA$103=A79)*BXL!$AP$4:$AP$103)+SUMPRODUCT((BXL!$AB$4:'BXL'!$AB$103=A79)*BXL!$AP$4:$AP$103)</f>
        <v>0</v>
      </c>
      <c r="F79" s="136" cm="1">
        <f t="array" ref="F79">SUMPRODUCT((BXL!$C$4:'BXL'!$C$103=A79)*BXL!$V$4:$V$103)+SUMPRODUCT((BXL!$AA$4:'BXL'!$AA$103=A79)*BXL!$AS$4:$AS$103)+SUMPRODUCT((BXL!$AB$4:'BXL'!$AB$103=A79)*BXL!$AS$4:$AS$103)</f>
        <v>0</v>
      </c>
      <c r="G79" s="136" cm="1">
        <f t="array" ref="G79">SUMPRODUCT((BXL!$C$4:'BXL'!$C$103=A79)*BXL!$W$4:$W$103)+SUMPRODUCT((BXL!$AA$4:'BXL'!$AA$103=A79)*BXL!$AT$4:$AT$103)+SUMPRODUCT((BXL!$AB$4:'BXL'!$AB$103=A79)*BXL!$AT$4:$AT$103)</f>
        <v>0</v>
      </c>
      <c r="H79" s="115"/>
      <c r="I79" s="139">
        <f t="shared" si="13"/>
        <v>15585.67267</v>
      </c>
      <c r="J79" s="136">
        <f t="shared" si="14"/>
        <v>1473.3495500000001</v>
      </c>
      <c r="K79" s="136">
        <f t="shared" si="14"/>
        <v>14112.323119999999</v>
      </c>
      <c r="L79" s="136">
        <f t="shared" si="14"/>
        <v>1043.5111226315789</v>
      </c>
      <c r="M79" s="136">
        <f t="shared" si="14"/>
        <v>803.26554266666665</v>
      </c>
      <c r="N79" s="115"/>
      <c r="O79" s="131">
        <f>C79*ResourcesEmissions!$B$79</f>
        <v>0</v>
      </c>
      <c r="P79" s="131">
        <f>C79*ResourcesEmissions!$C$79</f>
        <v>0</v>
      </c>
      <c r="Q79" s="131">
        <f>C79*ResourcesEmissions!$E$79</f>
        <v>0</v>
      </c>
      <c r="R79" s="115"/>
      <c r="S79" s="131">
        <f t="shared" si="15"/>
        <v>18406.130703653271</v>
      </c>
      <c r="T79" s="131">
        <f t="shared" si="15"/>
        <v>13219.213848470768</v>
      </c>
      <c r="U79" s="131">
        <f t="shared" si="15"/>
        <v>169074.72994549928</v>
      </c>
      <c r="V79" s="115"/>
      <c r="W79" s="128"/>
      <c r="X79" s="128"/>
      <c r="Y79" s="128"/>
      <c r="Z79" s="115"/>
      <c r="AA79" s="126"/>
      <c r="AB79" s="126"/>
      <c r="AC79" s="126"/>
      <c r="AD79" s="115"/>
      <c r="AE79" s="126"/>
      <c r="AF79" s="126"/>
      <c r="AG79" s="126"/>
      <c r="AH79" s="115"/>
      <c r="AI79" s="128"/>
      <c r="AJ79" s="128"/>
      <c r="AK79" s="128"/>
      <c r="AL79" s="115"/>
      <c r="AM79" s="126"/>
      <c r="AN79" s="126"/>
      <c r="AO79" s="126"/>
      <c r="AP79" s="115"/>
      <c r="AQ79" s="126"/>
      <c r="AR79" s="126"/>
      <c r="AS79" s="126"/>
    </row>
    <row r="80" spans="1:45" x14ac:dyDescent="0.25">
      <c r="A80" s="94">
        <v>2025</v>
      </c>
      <c r="B80" s="139" cm="1">
        <f t="array" ref="B80">SUMPRODUCT((BXL!$C$4:'BXL'!$C$103=A80)*BXL!$X$4:$X$103)+SUMPRODUCT((BXL!$AA$4:'BXL'!$AA$103=A80)*BXL!$AQ$4:$AQ$103)+SUMPRODUCT((BXL!$AB$4:'BXL'!$AB$103=A80)*BXL!$AQ$4:$AQ$103)</f>
        <v>14540.3125</v>
      </c>
      <c r="C80" s="139" cm="1">
        <f t="array" ref="C80">SUMPRODUCT((BXL!$C$4:'BXL'!$C$103=A80)*BXL!$Y$4:$Y$103)+SUMPRODUCT((BXL!$AA$4:'BXL'!$AA$103=A80)*BXL!$AR$4:$AR$103)+SUMPRODUCT((BXL!$AB$4:'BXL'!$AB$103=A80)*BXL!$AR$4:$AR$103)</f>
        <v>654.31406249999998</v>
      </c>
      <c r="D80" s="136" cm="1">
        <f t="array" ref="D80">SUMPRODUCT((BXL!$C$4:'BXL'!$C$103=A80)*BXL!$O$4:$O$103)+SUMPRODUCT((BXL!$AA$4:'BXL'!$AA$103=A80)*BXL!$AM$4:$AM$103)+SUMPRODUCT((BXL!$AB$4:'BXL'!$AB$103=A80)*BXL!$AM$4:$AM$103)</f>
        <v>0</v>
      </c>
      <c r="E80" s="136" cm="1">
        <f t="array" ref="E80">SUMPRODUCT((BXL!$C$4:'BXL'!$C$103=A80)*BXL!$R$4:$R$103)+SUMPRODUCT((BXL!$AA$4:'BXL'!$AA$103=A80)*BXL!$AP$4:$AP$103)+SUMPRODUCT((BXL!$AB$4:'BXL'!$AB$103=A80)*BXL!$AP$4:$AP$103)</f>
        <v>654.31406249999998</v>
      </c>
      <c r="F80" s="136" cm="1">
        <f t="array" ref="F80">SUMPRODUCT((BXL!$C$4:'BXL'!$C$103=A80)*BXL!$V$4:$V$103)+SUMPRODUCT((BXL!$AA$4:'BXL'!$AA$103=A80)*BXL!$AS$4:$AS$103)+SUMPRODUCT((BXL!$AB$4:'BXL'!$AB$103=A80)*BXL!$AS$4:$AS$103)</f>
        <v>32.5914</v>
      </c>
      <c r="G80" s="136" cm="1">
        <f t="array" ref="G80">SUMPRODUCT((BXL!$C$4:'BXL'!$C$103=A80)*BXL!$W$4:$W$103)+SUMPRODUCT((BXL!$AA$4:'BXL'!$AA$103=A80)*BXL!$AT$4:$AT$103)+SUMPRODUCT((BXL!$AB$4:'BXL'!$AB$103=A80)*BXL!$AT$4:$AT$103)</f>
        <v>32.5914</v>
      </c>
      <c r="H80" s="115"/>
      <c r="I80" s="139">
        <f t="shared" si="13"/>
        <v>16239.9867325</v>
      </c>
      <c r="J80" s="136">
        <f t="shared" si="14"/>
        <v>1473.3495500000001</v>
      </c>
      <c r="K80" s="136">
        <f t="shared" si="14"/>
        <v>14766.637182499999</v>
      </c>
      <c r="L80" s="136">
        <f t="shared" si="14"/>
        <v>1076.1025226315789</v>
      </c>
      <c r="M80" s="136">
        <f t="shared" si="14"/>
        <v>835.85694266666667</v>
      </c>
      <c r="N80" s="115"/>
      <c r="O80" s="131">
        <f>C80*ResourcesEmissions!$B$79</f>
        <v>724.78368703124988</v>
      </c>
      <c r="P80" s="131">
        <f>C80*ResourcesEmissions!$C$79</f>
        <v>367.06736000022931</v>
      </c>
      <c r="Q80" s="131">
        <f>C80*ResourcesEmissions!$E$79</f>
        <v>5954.2579687499992</v>
      </c>
      <c r="R80" s="115"/>
      <c r="S80" s="131">
        <f t="shared" si="15"/>
        <v>19130.91439068452</v>
      </c>
      <c r="T80" s="131">
        <f t="shared" si="15"/>
        <v>13586.281208470999</v>
      </c>
      <c r="U80" s="131">
        <f t="shared" si="15"/>
        <v>175028.98791424927</v>
      </c>
      <c r="V80" s="115"/>
      <c r="W80" s="128"/>
      <c r="X80" s="128"/>
      <c r="Y80" s="128"/>
      <c r="Z80" s="115"/>
      <c r="AA80" s="126"/>
      <c r="AB80" s="126"/>
      <c r="AC80" s="126"/>
      <c r="AD80" s="115"/>
      <c r="AE80" s="126"/>
      <c r="AF80" s="126"/>
      <c r="AG80" s="126"/>
      <c r="AH80" s="115"/>
      <c r="AI80" s="128">
        <f>S80</f>
        <v>19130.91439068452</v>
      </c>
      <c r="AJ80" s="128">
        <f>S80</f>
        <v>19130.91439068452</v>
      </c>
      <c r="AK80" s="128">
        <f>S80</f>
        <v>19130.91439068452</v>
      </c>
      <c r="AL80" s="115"/>
      <c r="AM80" s="126">
        <f>T80</f>
        <v>13586.281208470999</v>
      </c>
      <c r="AN80" s="126">
        <f>T80</f>
        <v>13586.281208470999</v>
      </c>
      <c r="AO80" s="126">
        <f>T80</f>
        <v>13586.281208470999</v>
      </c>
      <c r="AP80" s="115"/>
      <c r="AQ80" s="126">
        <f>T80</f>
        <v>13586.281208470999</v>
      </c>
      <c r="AR80" s="126">
        <f>T80</f>
        <v>13586.281208470999</v>
      </c>
      <c r="AS80" s="126">
        <f>T80</f>
        <v>13586.281208470999</v>
      </c>
    </row>
    <row r="81" spans="1:45" x14ac:dyDescent="0.25">
      <c r="A81" s="94">
        <v>2026</v>
      </c>
      <c r="B81" s="139" cm="1">
        <f t="array" ref="B81">SUMPRODUCT((BXL!$C$4:'BXL'!$C$103=A81)*BXL!$X$4:$X$103)+SUMPRODUCT((BXL!$AA$4:'BXL'!$AA$103=A81)*BXL!$AQ$4:$AQ$103)+SUMPRODUCT((BXL!$AB$4:'BXL'!$AB$103=A81)*BXL!$AQ$4:$AQ$103)</f>
        <v>0</v>
      </c>
      <c r="C81" s="139" cm="1">
        <f t="array" ref="C81">SUMPRODUCT((BXL!$C$4:'BXL'!$C$103=A81)*BXL!$Y$4:$Y$103)+SUMPRODUCT((BXL!$AA$4:'BXL'!$AA$103=A81)*BXL!$AR$4:$AR$103)+SUMPRODUCT((BXL!$AB$4:'BXL'!$AB$103=A81)*BXL!$AR$4:$AR$103)</f>
        <v>0</v>
      </c>
      <c r="D81" s="136" cm="1">
        <f t="array" ref="D81">SUMPRODUCT((BXL!$C$4:'BXL'!$C$103=A81)*BXL!$O$4:$O$103)+SUMPRODUCT((BXL!$AA$4:'BXL'!$AA$103=A81)*BXL!$AM$4:$AM$103)+SUMPRODUCT((BXL!$AB$4:'BXL'!$AB$103=A81)*BXL!$AM$4:$AM$103)</f>
        <v>0</v>
      </c>
      <c r="E81" s="136" cm="1">
        <f t="array" ref="E81">SUMPRODUCT((BXL!$C$4:'BXL'!$C$103=A81)*BXL!$R$4:$R$103)+SUMPRODUCT((BXL!$AA$4:'BXL'!$AA$103=A81)*BXL!$AP$4:$AP$103)+SUMPRODUCT((BXL!$AB$4:'BXL'!$AB$103=A81)*BXL!$AP$4:$AP$103)</f>
        <v>0</v>
      </c>
      <c r="F81" s="136" cm="1">
        <f t="array" ref="F81">SUMPRODUCT((BXL!$C$4:'BXL'!$C$103=A81)*BXL!$V$4:$V$103)+SUMPRODUCT((BXL!$AA$4:'BXL'!$AA$103=A81)*BXL!$AS$4:$AS$103)+SUMPRODUCT((BXL!$AB$4:'BXL'!$AB$103=A81)*BXL!$AS$4:$AS$103)</f>
        <v>0</v>
      </c>
      <c r="G81" s="136" cm="1">
        <f t="array" ref="G81">SUMPRODUCT((BXL!$C$4:'BXL'!$C$103=A81)*BXL!$W$4:$W$103)+SUMPRODUCT((BXL!$AA$4:'BXL'!$AA$103=A81)*BXL!$AT$4:$AT$103)+SUMPRODUCT((BXL!$AB$4:'BXL'!$AB$103=A81)*BXL!$AT$4:$AT$103)</f>
        <v>0</v>
      </c>
      <c r="H81" s="115"/>
      <c r="I81" s="139">
        <f t="shared" si="13"/>
        <v>16239.9867325</v>
      </c>
      <c r="J81" s="136">
        <f t="shared" si="14"/>
        <v>1473.3495500000001</v>
      </c>
      <c r="K81" s="136">
        <f t="shared" si="14"/>
        <v>14766.637182499999</v>
      </c>
      <c r="L81" s="136">
        <f t="shared" si="14"/>
        <v>1076.1025226315789</v>
      </c>
      <c r="M81" s="136">
        <f t="shared" si="14"/>
        <v>835.85694266666667</v>
      </c>
      <c r="N81" s="115"/>
      <c r="O81" s="131"/>
      <c r="P81" s="131"/>
      <c r="Q81" s="131"/>
      <c r="R81" s="115"/>
      <c r="S81" s="131"/>
      <c r="T81" s="131"/>
      <c r="U81" s="131"/>
      <c r="V81" s="115"/>
      <c r="W81" s="128">
        <f>C81*(ResourcesEmissions!$B$79-Hypotheses!$D$31*Hypotheses!H45)</f>
        <v>0</v>
      </c>
      <c r="X81" s="128">
        <f>C81*(ResourcesEmissions!$B$79-Hypotheses!$D$31*Hypotheses!I45)</f>
        <v>0</v>
      </c>
      <c r="Y81" s="128">
        <f>C81*(ResourcesEmissions!$B$79-Hypotheses!$D$31*Hypotheses!J45)</f>
        <v>0</v>
      </c>
      <c r="Z81" s="115"/>
      <c r="AA81" s="126">
        <f>C81*(ResourcesEmissions!$C$79-Hypotheses!$D$30*Hypotheses!H45+(1-Hypotheses!H45)*Hypotheses!$D$14+Hypotheses!H45*Hypotheses!$D$19)</f>
        <v>0</v>
      </c>
      <c r="AB81" s="126">
        <f>C81*(ResourcesEmissions!$C$79-Hypotheses!$D$30*Hypotheses!I45+(1-Hypotheses!I45)*Hypotheses!$D$14+Hypotheses!I45*Hypotheses!$D$19)</f>
        <v>0</v>
      </c>
      <c r="AC81" s="126">
        <f>C81*(ResourcesEmissions!$C$79-Hypotheses!$D$30*Hypotheses!J45+(1-Hypotheses!J45)*Hypotheses!$D$14+Hypotheses!J45*Hypotheses!$D$19)</f>
        <v>0</v>
      </c>
      <c r="AD81" s="115"/>
      <c r="AE81" s="126">
        <f>C81*(ResourcesEmissions!$C$79-Hypotheses!$D$30*Hypotheses!H45+(1-Hypotheses!H45)*Hypotheses!$D$14+Hypotheses!H45*Hypotheses!$D$21)</f>
        <v>0</v>
      </c>
      <c r="AF81" s="126">
        <f>C81*(ResourcesEmissions!$C$79-Hypotheses!$D$30*Hypotheses!I45+(1-Hypotheses!I45)*Hypotheses!$D$14+Hypotheses!I45*Hypotheses!$D$21)</f>
        <v>0</v>
      </c>
      <c r="AG81" s="126">
        <f>C81*(ResourcesEmissions!$C$79-Hypotheses!$D$30*Hypotheses!J45+(1-Hypotheses!J45)*Hypotheses!$D$14+Hypotheses!J45*Hypotheses!$D$21)</f>
        <v>0</v>
      </c>
      <c r="AH81" s="115"/>
      <c r="AI81" s="128">
        <f t="shared" ref="AI81:AK96" si="16">W81+AI80</f>
        <v>19130.91439068452</v>
      </c>
      <c r="AJ81" s="128">
        <f t="shared" si="16"/>
        <v>19130.91439068452</v>
      </c>
      <c r="AK81" s="128">
        <f t="shared" si="16"/>
        <v>19130.91439068452</v>
      </c>
      <c r="AL81" s="115"/>
      <c r="AM81" s="126">
        <f t="shared" ref="AM81:AO96" si="17">AE81+AM80</f>
        <v>13586.281208470999</v>
      </c>
      <c r="AN81" s="126">
        <f t="shared" si="17"/>
        <v>13586.281208470999</v>
      </c>
      <c r="AO81" s="126">
        <f t="shared" si="17"/>
        <v>13586.281208470999</v>
      </c>
      <c r="AP81" s="115"/>
      <c r="AQ81" s="126">
        <f t="shared" ref="AQ81:AS96" si="18">AE81+AQ80</f>
        <v>13586.281208470999</v>
      </c>
      <c r="AR81" s="126">
        <f t="shared" si="18"/>
        <v>13586.281208470999</v>
      </c>
      <c r="AS81" s="126">
        <f t="shared" si="18"/>
        <v>13586.281208470999</v>
      </c>
    </row>
    <row r="82" spans="1:45" x14ac:dyDescent="0.25">
      <c r="A82" s="94">
        <v>2027</v>
      </c>
      <c r="B82" s="139" cm="1">
        <f t="array" ref="B82">SUMPRODUCT((BXL!$C$4:'BXL'!$C$103=A82)*BXL!$X$4:$X$103)+SUMPRODUCT((BXL!$AA$4:'BXL'!$AA$103=A82)*BXL!$AQ$4:$AQ$103)+SUMPRODUCT((BXL!$AB$4:'BXL'!$AB$103=A82)*BXL!$AQ$4:$AQ$103)</f>
        <v>0</v>
      </c>
      <c r="C82" s="139" cm="1">
        <f t="array" ref="C82">SUMPRODUCT((BXL!$C$4:'BXL'!$C$103=A82)*BXL!$Y$4:$Y$103)+SUMPRODUCT((BXL!$AA$4:'BXL'!$AA$103=A82)*BXL!$AR$4:$AR$103)+SUMPRODUCT((BXL!$AB$4:'BXL'!$AB$103=A82)*BXL!$AR$4:$AR$103)</f>
        <v>0</v>
      </c>
      <c r="D82" s="136" cm="1">
        <f t="array" ref="D82">SUMPRODUCT((BXL!$C$4:'BXL'!$C$103=A82)*BXL!$O$4:$O$103)+SUMPRODUCT((BXL!$AA$4:'BXL'!$AA$103=A82)*BXL!$AM$4:$AM$103)+SUMPRODUCT((BXL!$AB$4:'BXL'!$AB$103=A82)*BXL!$AM$4:$AM$103)</f>
        <v>0</v>
      </c>
      <c r="E82" s="136" cm="1">
        <f t="array" ref="E82">SUMPRODUCT((BXL!$C$4:'BXL'!$C$103=A82)*BXL!$R$4:$R$103)+SUMPRODUCT((BXL!$AA$4:'BXL'!$AA$103=A82)*BXL!$AP$4:$AP$103)+SUMPRODUCT((BXL!$AB$4:'BXL'!$AB$103=A82)*BXL!$AP$4:$AP$103)</f>
        <v>0</v>
      </c>
      <c r="F82" s="136" cm="1">
        <f t="array" ref="F82">SUMPRODUCT((BXL!$C$4:'BXL'!$C$103=A82)*BXL!$V$4:$V$103)+SUMPRODUCT((BXL!$AA$4:'BXL'!$AA$103=A82)*BXL!$AS$4:$AS$103)+SUMPRODUCT((BXL!$AB$4:'BXL'!$AB$103=A82)*BXL!$AS$4:$AS$103)</f>
        <v>0</v>
      </c>
      <c r="G82" s="136" cm="1">
        <f t="array" ref="G82">SUMPRODUCT((BXL!$C$4:'BXL'!$C$103=A82)*BXL!$W$4:$W$103)+SUMPRODUCT((BXL!$AA$4:'BXL'!$AA$103=A82)*BXL!$AT$4:$AT$103)+SUMPRODUCT((BXL!$AB$4:'BXL'!$AB$103=A82)*BXL!$AT$4:$AT$103)</f>
        <v>0</v>
      </c>
      <c r="H82" s="115"/>
      <c r="I82" s="139">
        <f t="shared" si="13"/>
        <v>16239.9867325</v>
      </c>
      <c r="J82" s="136">
        <f t="shared" si="14"/>
        <v>1473.3495500000001</v>
      </c>
      <c r="K82" s="136">
        <f t="shared" si="14"/>
        <v>14766.637182499999</v>
      </c>
      <c r="L82" s="136">
        <f t="shared" si="14"/>
        <v>1076.1025226315789</v>
      </c>
      <c r="M82" s="136">
        <f t="shared" si="14"/>
        <v>835.85694266666667</v>
      </c>
      <c r="N82" s="115"/>
      <c r="O82" s="131"/>
      <c r="P82" s="131"/>
      <c r="Q82" s="131"/>
      <c r="R82" s="115"/>
      <c r="S82" s="131"/>
      <c r="T82" s="131"/>
      <c r="U82" s="131"/>
      <c r="V82" s="115"/>
      <c r="W82" s="128">
        <f>C82*(ResourcesEmissions!$B$79-Hypotheses!$D$31*Hypotheses!H46)</f>
        <v>0</v>
      </c>
      <c r="X82" s="128">
        <f>C82*(ResourcesEmissions!$B$79-Hypotheses!$D$31*Hypotheses!I46)</f>
        <v>0</v>
      </c>
      <c r="Y82" s="128">
        <f>C82*(ResourcesEmissions!$B$79-Hypotheses!$D$31*Hypotheses!J46)</f>
        <v>0</v>
      </c>
      <c r="Z82" s="115"/>
      <c r="AA82" s="126">
        <f>C82*(ResourcesEmissions!$C$79-Hypotheses!$D$30*Hypotheses!H46+(1-Hypotheses!H46)*Hypotheses!$D$14+Hypotheses!H46*Hypotheses!$D$19)</f>
        <v>0</v>
      </c>
      <c r="AB82" s="126">
        <f>C82*(ResourcesEmissions!$C$79-Hypotheses!$D$30*Hypotheses!I46+(1-Hypotheses!I46)*Hypotheses!$D$14+Hypotheses!I46*Hypotheses!$D$19)</f>
        <v>0</v>
      </c>
      <c r="AC82" s="126">
        <f>C82*(ResourcesEmissions!$C$79-Hypotheses!$D$30*Hypotheses!J46+(1-Hypotheses!J46)*Hypotheses!$D$14+Hypotheses!J46*Hypotheses!$D$19)</f>
        <v>0</v>
      </c>
      <c r="AD82" s="115"/>
      <c r="AE82" s="126">
        <f>C82*(ResourcesEmissions!$C$79-Hypotheses!$D$30*Hypotheses!H46+(1-Hypotheses!H46)*Hypotheses!$D$14+Hypotheses!H46*Hypotheses!$D$21)</f>
        <v>0</v>
      </c>
      <c r="AF82" s="126">
        <f>C82*(ResourcesEmissions!$C$79-Hypotheses!$D$30*Hypotheses!I46+(1-Hypotheses!I46)*Hypotheses!$D$14+Hypotheses!I46*Hypotheses!$D$21)</f>
        <v>0</v>
      </c>
      <c r="AG82" s="126">
        <f>C82*(ResourcesEmissions!$C$79-Hypotheses!$D$30*Hypotheses!J46+(1-Hypotheses!J46)*Hypotheses!$D$14+Hypotheses!J46*Hypotheses!$D$21)</f>
        <v>0</v>
      </c>
      <c r="AH82" s="115"/>
      <c r="AI82" s="128">
        <f t="shared" si="16"/>
        <v>19130.91439068452</v>
      </c>
      <c r="AJ82" s="128">
        <f t="shared" si="16"/>
        <v>19130.91439068452</v>
      </c>
      <c r="AK82" s="128">
        <f t="shared" si="16"/>
        <v>19130.91439068452</v>
      </c>
      <c r="AL82" s="115"/>
      <c r="AM82" s="126">
        <f t="shared" si="17"/>
        <v>13586.281208470999</v>
      </c>
      <c r="AN82" s="126">
        <f t="shared" si="17"/>
        <v>13586.281208470999</v>
      </c>
      <c r="AO82" s="126">
        <f t="shared" si="17"/>
        <v>13586.281208470999</v>
      </c>
      <c r="AP82" s="115"/>
      <c r="AQ82" s="126">
        <f t="shared" si="18"/>
        <v>13586.281208470999</v>
      </c>
      <c r="AR82" s="126">
        <f t="shared" si="18"/>
        <v>13586.281208470999</v>
      </c>
      <c r="AS82" s="126">
        <f t="shared" si="18"/>
        <v>13586.281208470999</v>
      </c>
    </row>
    <row r="83" spans="1:45" x14ac:dyDescent="0.25">
      <c r="A83" s="94">
        <v>2028</v>
      </c>
      <c r="B83" s="139" cm="1">
        <f t="array" ref="B83">SUMPRODUCT((BXL!$C$4:'BXL'!$C$103=A83)*BXL!$X$4:$X$103)+SUMPRODUCT((BXL!$AA$4:'BXL'!$AA$103=A83)*BXL!$AQ$4:$AQ$103)+SUMPRODUCT((BXL!$AB$4:'BXL'!$AB$103=A83)*BXL!$AQ$4:$AQ$103)</f>
        <v>0</v>
      </c>
      <c r="C83" s="139" cm="1">
        <f t="array" ref="C83">SUMPRODUCT((BXL!$C$4:'BXL'!$C$103=A83)*BXL!$Y$4:$Y$103)+SUMPRODUCT((BXL!$AA$4:'BXL'!$AA$103=A83)*BXL!$AR$4:$AR$103)+SUMPRODUCT((BXL!$AB$4:'BXL'!$AB$103=A83)*BXL!$AR$4:$AR$103)</f>
        <v>0</v>
      </c>
      <c r="D83" s="136" cm="1">
        <f t="array" ref="D83">SUMPRODUCT((BXL!$C$4:'BXL'!$C$103=A83)*BXL!$O$4:$O$103)+SUMPRODUCT((BXL!$AA$4:'BXL'!$AA$103=A83)*BXL!$AM$4:$AM$103)+SUMPRODUCT((BXL!$AB$4:'BXL'!$AB$103=A83)*BXL!$AM$4:$AM$103)</f>
        <v>0</v>
      </c>
      <c r="E83" s="136" cm="1">
        <f t="array" ref="E83">SUMPRODUCT((BXL!$C$4:'BXL'!$C$103=A83)*BXL!$R$4:$R$103)+SUMPRODUCT((BXL!$AA$4:'BXL'!$AA$103=A83)*BXL!$AP$4:$AP$103)+SUMPRODUCT((BXL!$AB$4:'BXL'!$AB$103=A83)*BXL!$AP$4:$AP$103)</f>
        <v>0</v>
      </c>
      <c r="F83" s="136" cm="1">
        <f t="array" ref="F83">SUMPRODUCT((BXL!$C$4:'BXL'!$C$103=A83)*BXL!$V$4:$V$103)+SUMPRODUCT((BXL!$AA$4:'BXL'!$AA$103=A83)*BXL!$AS$4:$AS$103)+SUMPRODUCT((BXL!$AB$4:'BXL'!$AB$103=A83)*BXL!$AS$4:$AS$103)</f>
        <v>0</v>
      </c>
      <c r="G83" s="136" cm="1">
        <f t="array" ref="G83">SUMPRODUCT((BXL!$C$4:'BXL'!$C$103=A83)*BXL!$W$4:$W$103)+SUMPRODUCT((BXL!$AA$4:'BXL'!$AA$103=A83)*BXL!$AT$4:$AT$103)+SUMPRODUCT((BXL!$AB$4:'BXL'!$AB$103=A83)*BXL!$AT$4:$AT$103)</f>
        <v>0</v>
      </c>
      <c r="H83" s="115"/>
      <c r="I83" s="139">
        <f t="shared" si="13"/>
        <v>16239.9867325</v>
      </c>
      <c r="J83" s="136">
        <f t="shared" si="14"/>
        <v>1473.3495500000001</v>
      </c>
      <c r="K83" s="136">
        <f t="shared" si="14"/>
        <v>14766.637182499999</v>
      </c>
      <c r="L83" s="136">
        <f t="shared" si="14"/>
        <v>1076.1025226315789</v>
      </c>
      <c r="M83" s="136">
        <f t="shared" si="14"/>
        <v>835.85694266666667</v>
      </c>
      <c r="N83" s="115"/>
      <c r="O83" s="131"/>
      <c r="P83" s="131"/>
      <c r="Q83" s="131"/>
      <c r="R83" s="115"/>
      <c r="S83" s="131"/>
      <c r="T83" s="131"/>
      <c r="U83" s="131"/>
      <c r="V83" s="115"/>
      <c r="W83" s="128">
        <f>C83*(ResourcesEmissions!$B$79-Hypotheses!$D$31*Hypotheses!H47)</f>
        <v>0</v>
      </c>
      <c r="X83" s="128">
        <f>C83*(ResourcesEmissions!$B$79-Hypotheses!$D$31*Hypotheses!I47)</f>
        <v>0</v>
      </c>
      <c r="Y83" s="128">
        <f>C83*(ResourcesEmissions!$B$79-Hypotheses!$D$31*Hypotheses!J47)</f>
        <v>0</v>
      </c>
      <c r="Z83" s="115"/>
      <c r="AA83" s="126">
        <f>C83*(ResourcesEmissions!$C$79-Hypotheses!$D$30*Hypotheses!H47+(1-Hypotheses!H47)*Hypotheses!$D$14+Hypotheses!H47*Hypotheses!$D$19)</f>
        <v>0</v>
      </c>
      <c r="AB83" s="126">
        <f>C83*(ResourcesEmissions!$C$79-Hypotheses!$D$30*Hypotheses!I47+(1-Hypotheses!I47)*Hypotheses!$D$14+Hypotheses!I47*Hypotheses!$D$19)</f>
        <v>0</v>
      </c>
      <c r="AC83" s="126">
        <f>C83*(ResourcesEmissions!$C$79-Hypotheses!$D$30*Hypotheses!J47+(1-Hypotheses!J47)*Hypotheses!$D$14+Hypotheses!J47*Hypotheses!$D$19)</f>
        <v>0</v>
      </c>
      <c r="AD83" s="115"/>
      <c r="AE83" s="126">
        <f>C83*(ResourcesEmissions!$C$79-Hypotheses!$D$30*Hypotheses!H47+(1-Hypotheses!H47)*Hypotheses!$D$14+Hypotheses!H47*Hypotheses!$D$21)</f>
        <v>0</v>
      </c>
      <c r="AF83" s="126">
        <f>C83*(ResourcesEmissions!$C$79-Hypotheses!$D$30*Hypotheses!I47+(1-Hypotheses!I47)*Hypotheses!$D$14+Hypotheses!I47*Hypotheses!$D$21)</f>
        <v>0</v>
      </c>
      <c r="AG83" s="126">
        <f>C83*(ResourcesEmissions!$C$79-Hypotheses!$D$30*Hypotheses!J47+(1-Hypotheses!J47)*Hypotheses!$D$14+Hypotheses!J47*Hypotheses!$D$21)</f>
        <v>0</v>
      </c>
      <c r="AH83" s="115"/>
      <c r="AI83" s="128">
        <f t="shared" si="16"/>
        <v>19130.91439068452</v>
      </c>
      <c r="AJ83" s="128">
        <f t="shared" si="16"/>
        <v>19130.91439068452</v>
      </c>
      <c r="AK83" s="128">
        <f t="shared" si="16"/>
        <v>19130.91439068452</v>
      </c>
      <c r="AL83" s="115"/>
      <c r="AM83" s="126">
        <f t="shared" si="17"/>
        <v>13586.281208470999</v>
      </c>
      <c r="AN83" s="126">
        <f t="shared" si="17"/>
        <v>13586.281208470999</v>
      </c>
      <c r="AO83" s="126">
        <f t="shared" si="17"/>
        <v>13586.281208470999</v>
      </c>
      <c r="AP83" s="115"/>
      <c r="AQ83" s="126">
        <f t="shared" si="18"/>
        <v>13586.281208470999</v>
      </c>
      <c r="AR83" s="126">
        <f t="shared" si="18"/>
        <v>13586.281208470999</v>
      </c>
      <c r="AS83" s="126">
        <f t="shared" si="18"/>
        <v>13586.281208470999</v>
      </c>
    </row>
    <row r="84" spans="1:45" x14ac:dyDescent="0.25">
      <c r="A84" s="94">
        <v>2029</v>
      </c>
      <c r="B84" s="139" cm="1">
        <f t="array" ref="B84">SUMPRODUCT((BXL!$C$4:'BXL'!$C$103=A84)*BXL!$X$4:$X$103)+SUMPRODUCT((BXL!$AA$4:'BXL'!$AA$103=A84)*BXL!$AQ$4:$AQ$103)+SUMPRODUCT((BXL!$AB$4:'BXL'!$AB$103=A84)*BXL!$AQ$4:$AQ$103)</f>
        <v>0</v>
      </c>
      <c r="C84" s="139" cm="1">
        <f t="array" ref="C84">SUMPRODUCT((BXL!$C$4:'BXL'!$C$103=A84)*BXL!$Y$4:$Y$103)+SUMPRODUCT((BXL!$AA$4:'BXL'!$AA$103=A84)*BXL!$AR$4:$AR$103)+SUMPRODUCT((BXL!$AB$4:'BXL'!$AB$103=A84)*BXL!$AR$4:$AR$103)</f>
        <v>0</v>
      </c>
      <c r="D84" s="136" cm="1">
        <f t="array" ref="D84">SUMPRODUCT((BXL!$C$4:'BXL'!$C$103=A84)*BXL!$O$4:$O$103)+SUMPRODUCT((BXL!$AA$4:'BXL'!$AA$103=A84)*BXL!$AM$4:$AM$103)+SUMPRODUCT((BXL!$AB$4:'BXL'!$AB$103=A84)*BXL!$AM$4:$AM$103)</f>
        <v>0</v>
      </c>
      <c r="E84" s="136" cm="1">
        <f t="array" ref="E84">SUMPRODUCT((BXL!$C$4:'BXL'!$C$103=A84)*BXL!$R$4:$R$103)+SUMPRODUCT((BXL!$AA$4:'BXL'!$AA$103=A84)*BXL!$AP$4:$AP$103)+SUMPRODUCT((BXL!$AB$4:'BXL'!$AB$103=A84)*BXL!$AP$4:$AP$103)</f>
        <v>0</v>
      </c>
      <c r="F84" s="136" cm="1">
        <f t="array" ref="F84">SUMPRODUCT((BXL!$C$4:'BXL'!$C$103=A84)*BXL!$V$4:$V$103)+SUMPRODUCT((BXL!$AA$4:'BXL'!$AA$103=A84)*BXL!$AS$4:$AS$103)+SUMPRODUCT((BXL!$AB$4:'BXL'!$AB$103=A84)*BXL!$AS$4:$AS$103)</f>
        <v>0</v>
      </c>
      <c r="G84" s="136" cm="1">
        <f t="array" ref="G84">SUMPRODUCT((BXL!$C$4:'BXL'!$C$103=A84)*BXL!$W$4:$W$103)+SUMPRODUCT((BXL!$AA$4:'BXL'!$AA$103=A84)*BXL!$AT$4:$AT$103)+SUMPRODUCT((BXL!$AB$4:'BXL'!$AB$103=A84)*BXL!$AT$4:$AT$103)</f>
        <v>0</v>
      </c>
      <c r="H84" s="115"/>
      <c r="I84" s="139">
        <f t="shared" si="13"/>
        <v>16239.9867325</v>
      </c>
      <c r="J84" s="136">
        <f t="shared" si="14"/>
        <v>1473.3495500000001</v>
      </c>
      <c r="K84" s="136">
        <f t="shared" si="14"/>
        <v>14766.637182499999</v>
      </c>
      <c r="L84" s="136">
        <f t="shared" si="14"/>
        <v>1076.1025226315789</v>
      </c>
      <c r="M84" s="136">
        <f t="shared" si="14"/>
        <v>835.85694266666667</v>
      </c>
      <c r="N84" s="115"/>
      <c r="O84" s="131"/>
      <c r="P84" s="131"/>
      <c r="Q84" s="131"/>
      <c r="R84" s="115"/>
      <c r="S84" s="131"/>
      <c r="T84" s="131"/>
      <c r="U84" s="131"/>
      <c r="V84" s="115"/>
      <c r="W84" s="128">
        <f>C84*(ResourcesEmissions!$B$79-Hypotheses!$D$31*Hypotheses!H48)</f>
        <v>0</v>
      </c>
      <c r="X84" s="128">
        <f>C84*(ResourcesEmissions!$B$79-Hypotheses!$D$31*Hypotheses!I48)</f>
        <v>0</v>
      </c>
      <c r="Y84" s="128">
        <f>C84*(ResourcesEmissions!$B$79-Hypotheses!$D$31*Hypotheses!J48)</f>
        <v>0</v>
      </c>
      <c r="Z84" s="115"/>
      <c r="AA84" s="126">
        <f>C84*(ResourcesEmissions!$C$79-Hypotheses!$D$30*Hypotheses!H48+(1-Hypotheses!H48)*Hypotheses!$D$14+Hypotheses!H48*Hypotheses!$D$19)</f>
        <v>0</v>
      </c>
      <c r="AB84" s="126">
        <f>C84*(ResourcesEmissions!$C$79-Hypotheses!$D$30*Hypotheses!I48+(1-Hypotheses!I48)*Hypotheses!$D$14+Hypotheses!I48*Hypotheses!$D$19)</f>
        <v>0</v>
      </c>
      <c r="AC84" s="126">
        <f>C84*(ResourcesEmissions!$C$79-Hypotheses!$D$30*Hypotheses!J48+(1-Hypotheses!J48)*Hypotheses!$D$14+Hypotheses!J48*Hypotheses!$D$19)</f>
        <v>0</v>
      </c>
      <c r="AD84" s="115"/>
      <c r="AE84" s="126">
        <f>C84*(ResourcesEmissions!$C$79-Hypotheses!$D$30*Hypotheses!H48+(1-Hypotheses!H48)*Hypotheses!$D$14+Hypotheses!H48*Hypotheses!$D$21)</f>
        <v>0</v>
      </c>
      <c r="AF84" s="126">
        <f>C84*(ResourcesEmissions!$C$79-Hypotheses!$D$30*Hypotheses!I48+(1-Hypotheses!I48)*Hypotheses!$D$14+Hypotheses!I48*Hypotheses!$D$21)</f>
        <v>0</v>
      </c>
      <c r="AG84" s="126">
        <f>C84*(ResourcesEmissions!$C$79-Hypotheses!$D$30*Hypotheses!J48+(1-Hypotheses!J48)*Hypotheses!$D$14+Hypotheses!J48*Hypotheses!$D$21)</f>
        <v>0</v>
      </c>
      <c r="AH84" s="115"/>
      <c r="AI84" s="128">
        <f t="shared" si="16"/>
        <v>19130.91439068452</v>
      </c>
      <c r="AJ84" s="128">
        <f t="shared" si="16"/>
        <v>19130.91439068452</v>
      </c>
      <c r="AK84" s="128">
        <f t="shared" si="16"/>
        <v>19130.91439068452</v>
      </c>
      <c r="AL84" s="115"/>
      <c r="AM84" s="126">
        <f t="shared" si="17"/>
        <v>13586.281208470999</v>
      </c>
      <c r="AN84" s="126">
        <f t="shared" si="17"/>
        <v>13586.281208470999</v>
      </c>
      <c r="AO84" s="126">
        <f t="shared" si="17"/>
        <v>13586.281208470999</v>
      </c>
      <c r="AP84" s="115"/>
      <c r="AQ84" s="126">
        <f t="shared" si="18"/>
        <v>13586.281208470999</v>
      </c>
      <c r="AR84" s="126">
        <f t="shared" si="18"/>
        <v>13586.281208470999</v>
      </c>
      <c r="AS84" s="126">
        <f t="shared" si="18"/>
        <v>13586.281208470999</v>
      </c>
    </row>
    <row r="85" spans="1:45" x14ac:dyDescent="0.25">
      <c r="A85" s="94">
        <v>2030</v>
      </c>
      <c r="B85" s="139" cm="1">
        <f t="array" ref="B85">SUMPRODUCT((BXL!$C$4:'BXL'!$C$103=A85)*BXL!$X$4:$X$103)+SUMPRODUCT((BXL!$AA$4:'BXL'!$AA$103=A85)*BXL!$AQ$4:$AQ$103)+SUMPRODUCT((BXL!$AB$4:'BXL'!$AB$103=A85)*BXL!$AQ$4:$AQ$103)</f>
        <v>0</v>
      </c>
      <c r="C85" s="139" cm="1">
        <f t="array" ref="C85">SUMPRODUCT((BXL!$C$4:'BXL'!$C$103=A85)*BXL!$Y$4:$Y$103)+SUMPRODUCT((BXL!$AA$4:'BXL'!$AA$103=A85)*BXL!$AR$4:$AR$103)+SUMPRODUCT((BXL!$AB$4:'BXL'!$AB$103=A85)*BXL!$AR$4:$AR$103)</f>
        <v>0</v>
      </c>
      <c r="D85" s="136" cm="1">
        <f t="array" ref="D85">SUMPRODUCT((BXL!$C$4:'BXL'!$C$103=A85)*BXL!$O$4:$O$103)+SUMPRODUCT((BXL!$AA$4:'BXL'!$AA$103=A85)*BXL!$AM$4:$AM$103)+SUMPRODUCT((BXL!$AB$4:'BXL'!$AB$103=A85)*BXL!$AM$4:$AM$103)</f>
        <v>0</v>
      </c>
      <c r="E85" s="136" cm="1">
        <f t="array" ref="E85">SUMPRODUCT((BXL!$C$4:'BXL'!$C$103=A85)*BXL!$R$4:$R$103)+SUMPRODUCT((BXL!$AA$4:'BXL'!$AA$103=A85)*BXL!$AP$4:$AP$103)+SUMPRODUCT((BXL!$AB$4:'BXL'!$AB$103=A85)*BXL!$AP$4:$AP$103)</f>
        <v>0</v>
      </c>
      <c r="F85" s="136" cm="1">
        <f t="array" ref="F85">SUMPRODUCT((BXL!$C$4:'BXL'!$C$103=A85)*BXL!$V$4:$V$103)+SUMPRODUCT((BXL!$AA$4:'BXL'!$AA$103=A85)*BXL!$AS$4:$AS$103)+SUMPRODUCT((BXL!$AB$4:'BXL'!$AB$103=A85)*BXL!$AS$4:$AS$103)</f>
        <v>0</v>
      </c>
      <c r="G85" s="136" cm="1">
        <f t="array" ref="G85">SUMPRODUCT((BXL!$C$4:'BXL'!$C$103=A85)*BXL!$W$4:$W$103)+SUMPRODUCT((BXL!$AA$4:'BXL'!$AA$103=A85)*BXL!$AT$4:$AT$103)+SUMPRODUCT((BXL!$AB$4:'BXL'!$AB$103=A85)*BXL!$AT$4:$AT$103)</f>
        <v>0</v>
      </c>
      <c r="H85" s="115"/>
      <c r="I85" s="139">
        <f t="shared" si="13"/>
        <v>16239.9867325</v>
      </c>
      <c r="J85" s="136">
        <f t="shared" si="14"/>
        <v>1473.3495500000001</v>
      </c>
      <c r="K85" s="136">
        <f t="shared" si="14"/>
        <v>14766.637182499999</v>
      </c>
      <c r="L85" s="136">
        <f t="shared" si="14"/>
        <v>1076.1025226315789</v>
      </c>
      <c r="M85" s="136">
        <f t="shared" si="14"/>
        <v>835.85694266666667</v>
      </c>
      <c r="N85" s="115"/>
      <c r="O85" s="131"/>
      <c r="P85" s="131"/>
      <c r="Q85" s="131"/>
      <c r="R85" s="115"/>
      <c r="S85" s="131"/>
      <c r="T85" s="131"/>
      <c r="U85" s="131"/>
      <c r="V85" s="115"/>
      <c r="W85" s="128">
        <f>C85*(ResourcesEmissions!$B$79-Hypotheses!$D$31*Hypotheses!H49)</f>
        <v>0</v>
      </c>
      <c r="X85" s="128">
        <f>C85*(ResourcesEmissions!$B$79-Hypotheses!$D$31*Hypotheses!I49)</f>
        <v>0</v>
      </c>
      <c r="Y85" s="128">
        <f>C85*(ResourcesEmissions!$B$79-Hypotheses!$D$31*Hypotheses!J49)</f>
        <v>0</v>
      </c>
      <c r="Z85" s="115"/>
      <c r="AA85" s="126">
        <f>C85*(ResourcesEmissions!$C$79-Hypotheses!$D$30*Hypotheses!H49+(1-Hypotheses!H49)*Hypotheses!$D$14+Hypotheses!H49*Hypotheses!$D$19)</f>
        <v>0</v>
      </c>
      <c r="AB85" s="126">
        <f>C85*(ResourcesEmissions!$C$79-Hypotheses!$D$30*Hypotheses!I49+(1-Hypotheses!I49)*Hypotheses!$D$14+Hypotheses!I49*Hypotheses!$D$19)</f>
        <v>0</v>
      </c>
      <c r="AC85" s="126">
        <f>C85*(ResourcesEmissions!$C$79-Hypotheses!$D$30*Hypotheses!J49+(1-Hypotheses!J49)*Hypotheses!$D$14+Hypotheses!J49*Hypotheses!$D$19)</f>
        <v>0</v>
      </c>
      <c r="AD85" s="115"/>
      <c r="AE85" s="126">
        <f>C85*(ResourcesEmissions!$C$79-Hypotheses!$D$30*Hypotheses!H49+(1-Hypotheses!H49)*Hypotheses!$D$14+Hypotheses!H49*Hypotheses!$D$21)</f>
        <v>0</v>
      </c>
      <c r="AF85" s="126">
        <f>C85*(ResourcesEmissions!$C$79-Hypotheses!$D$30*Hypotheses!I49+(1-Hypotheses!I49)*Hypotheses!$D$14+Hypotheses!I49*Hypotheses!$D$21)</f>
        <v>0</v>
      </c>
      <c r="AG85" s="126">
        <f>C85*(ResourcesEmissions!$C$79-Hypotheses!$D$30*Hypotheses!J49+(1-Hypotheses!J49)*Hypotheses!$D$14+Hypotheses!J49*Hypotheses!$D$21)</f>
        <v>0</v>
      </c>
      <c r="AH85" s="115"/>
      <c r="AI85" s="128">
        <f t="shared" si="16"/>
        <v>19130.91439068452</v>
      </c>
      <c r="AJ85" s="128">
        <f t="shared" si="16"/>
        <v>19130.91439068452</v>
      </c>
      <c r="AK85" s="128">
        <f t="shared" si="16"/>
        <v>19130.91439068452</v>
      </c>
      <c r="AL85" s="115"/>
      <c r="AM85" s="126">
        <f t="shared" si="17"/>
        <v>13586.281208470999</v>
      </c>
      <c r="AN85" s="126">
        <f t="shared" si="17"/>
        <v>13586.281208470999</v>
      </c>
      <c r="AO85" s="126">
        <f t="shared" si="17"/>
        <v>13586.281208470999</v>
      </c>
      <c r="AP85" s="115"/>
      <c r="AQ85" s="126">
        <f t="shared" si="18"/>
        <v>13586.281208470999</v>
      </c>
      <c r="AR85" s="126">
        <f t="shared" si="18"/>
        <v>13586.281208470999</v>
      </c>
      <c r="AS85" s="126">
        <f t="shared" si="18"/>
        <v>13586.281208470999</v>
      </c>
    </row>
    <row r="86" spans="1:45" x14ac:dyDescent="0.25">
      <c r="A86" s="94">
        <v>2031</v>
      </c>
      <c r="B86" s="139" cm="1">
        <f t="array" ref="B86">SUMPRODUCT((BXL!$C$4:'BXL'!$C$103=A86)*BXL!$X$4:$X$103)+SUMPRODUCT((BXL!$AA$4:'BXL'!$AA$103=A86)*BXL!$AQ$4:$AQ$103)+SUMPRODUCT((BXL!$AB$4:'BXL'!$AB$103=A86)*BXL!$AQ$4:$AQ$103)</f>
        <v>0</v>
      </c>
      <c r="C86" s="139" cm="1">
        <f t="array" ref="C86">SUMPRODUCT((BXL!$C$4:'BXL'!$C$103=A86)*BXL!$Y$4:$Y$103)+SUMPRODUCT((BXL!$AA$4:'BXL'!$AA$103=A86)*BXL!$AR$4:$AR$103)+SUMPRODUCT((BXL!$AB$4:'BXL'!$AB$103=A86)*BXL!$AR$4:$AR$103)</f>
        <v>0</v>
      </c>
      <c r="D86" s="136" cm="1">
        <f t="array" ref="D86">SUMPRODUCT((BXL!$C$4:'BXL'!$C$103=A86)*BXL!$O$4:$O$103)+SUMPRODUCT((BXL!$AA$4:'BXL'!$AA$103=A86)*BXL!$AM$4:$AM$103)+SUMPRODUCT((BXL!$AB$4:'BXL'!$AB$103=A86)*BXL!$AM$4:$AM$103)</f>
        <v>0</v>
      </c>
      <c r="E86" s="136" cm="1">
        <f t="array" ref="E86">SUMPRODUCT((BXL!$C$4:'BXL'!$C$103=A86)*BXL!$R$4:$R$103)+SUMPRODUCT((BXL!$AA$4:'BXL'!$AA$103=A86)*BXL!$AP$4:$AP$103)+SUMPRODUCT((BXL!$AB$4:'BXL'!$AB$103=A86)*BXL!$AP$4:$AP$103)</f>
        <v>0</v>
      </c>
      <c r="F86" s="136" cm="1">
        <f t="array" ref="F86">SUMPRODUCT((BXL!$C$4:'BXL'!$C$103=A86)*BXL!$V$4:$V$103)+SUMPRODUCT((BXL!$AA$4:'BXL'!$AA$103=A86)*BXL!$AS$4:$AS$103)+SUMPRODUCT((BXL!$AB$4:'BXL'!$AB$103=A86)*BXL!$AS$4:$AS$103)</f>
        <v>0</v>
      </c>
      <c r="G86" s="136" cm="1">
        <f t="array" ref="G86">SUMPRODUCT((BXL!$C$4:'BXL'!$C$103=A86)*BXL!$W$4:$W$103)+SUMPRODUCT((BXL!$AA$4:'BXL'!$AA$103=A86)*BXL!$AT$4:$AT$103)+SUMPRODUCT((BXL!$AB$4:'BXL'!$AB$103=A86)*BXL!$AT$4:$AT$103)</f>
        <v>0</v>
      </c>
      <c r="H86" s="115"/>
      <c r="I86" s="139">
        <f t="shared" si="13"/>
        <v>16239.9867325</v>
      </c>
      <c r="J86" s="136">
        <f t="shared" si="14"/>
        <v>1473.3495500000001</v>
      </c>
      <c r="K86" s="136">
        <f t="shared" si="14"/>
        <v>14766.637182499999</v>
      </c>
      <c r="L86" s="136">
        <f t="shared" si="14"/>
        <v>1076.1025226315789</v>
      </c>
      <c r="M86" s="136">
        <f t="shared" si="14"/>
        <v>835.85694266666667</v>
      </c>
      <c r="N86" s="115"/>
      <c r="O86" s="131"/>
      <c r="P86" s="131"/>
      <c r="Q86" s="131"/>
      <c r="R86" s="115"/>
      <c r="S86" s="131"/>
      <c r="T86" s="131"/>
      <c r="U86" s="131"/>
      <c r="V86" s="115"/>
      <c r="W86" s="128">
        <f>C86*(ResourcesEmissions!$B$79-Hypotheses!$D$31*Hypotheses!H50)</f>
        <v>0</v>
      </c>
      <c r="X86" s="128">
        <f>C86*(ResourcesEmissions!$B$79-Hypotheses!$D$31*Hypotheses!I50)</f>
        <v>0</v>
      </c>
      <c r="Y86" s="128">
        <f>C86*(ResourcesEmissions!$B$79-Hypotheses!$D$31*Hypotheses!J50)</f>
        <v>0</v>
      </c>
      <c r="Z86" s="115"/>
      <c r="AA86" s="126">
        <f>C86*(ResourcesEmissions!$C$79-Hypotheses!$D$30*Hypotheses!H50+(1-Hypotheses!H50)*Hypotheses!$D$14+Hypotheses!H50*Hypotheses!$D$19)</f>
        <v>0</v>
      </c>
      <c r="AB86" s="126">
        <f>C86*(ResourcesEmissions!$C$79-Hypotheses!$D$30*Hypotheses!I50+(1-Hypotheses!I50)*Hypotheses!$D$14+Hypotheses!I50*Hypotheses!$D$19)</f>
        <v>0</v>
      </c>
      <c r="AC86" s="126">
        <f>C86*(ResourcesEmissions!$C$79-Hypotheses!$D$30*Hypotheses!J50+(1-Hypotheses!J50)*Hypotheses!$D$14+Hypotheses!J50*Hypotheses!$D$19)</f>
        <v>0</v>
      </c>
      <c r="AD86" s="115"/>
      <c r="AE86" s="126">
        <f>C86*(ResourcesEmissions!$C$79-Hypotheses!$D$30*Hypotheses!H50+(1-Hypotheses!H50)*Hypotheses!$D$14+Hypotheses!H50*Hypotheses!$D$21)</f>
        <v>0</v>
      </c>
      <c r="AF86" s="126">
        <f>C86*(ResourcesEmissions!$C$79-Hypotheses!$D$30*Hypotheses!I50+(1-Hypotheses!I50)*Hypotheses!$D$14+Hypotheses!I50*Hypotheses!$D$21)</f>
        <v>0</v>
      </c>
      <c r="AG86" s="126">
        <f>C86*(ResourcesEmissions!$C$79-Hypotheses!$D$30*Hypotheses!J50+(1-Hypotheses!J50)*Hypotheses!$D$14+Hypotheses!J50*Hypotheses!$D$21)</f>
        <v>0</v>
      </c>
      <c r="AH86" s="115"/>
      <c r="AI86" s="128">
        <f t="shared" si="16"/>
        <v>19130.91439068452</v>
      </c>
      <c r="AJ86" s="128">
        <f t="shared" si="16"/>
        <v>19130.91439068452</v>
      </c>
      <c r="AK86" s="128">
        <f t="shared" si="16"/>
        <v>19130.91439068452</v>
      </c>
      <c r="AL86" s="115"/>
      <c r="AM86" s="126">
        <f t="shared" si="17"/>
        <v>13586.281208470999</v>
      </c>
      <c r="AN86" s="126">
        <f t="shared" si="17"/>
        <v>13586.281208470999</v>
      </c>
      <c r="AO86" s="126">
        <f t="shared" si="17"/>
        <v>13586.281208470999</v>
      </c>
      <c r="AP86" s="115"/>
      <c r="AQ86" s="126">
        <f t="shared" si="18"/>
        <v>13586.281208470999</v>
      </c>
      <c r="AR86" s="126">
        <f t="shared" si="18"/>
        <v>13586.281208470999</v>
      </c>
      <c r="AS86" s="126">
        <f t="shared" si="18"/>
        <v>13586.281208470999</v>
      </c>
    </row>
    <row r="87" spans="1:45" x14ac:dyDescent="0.25">
      <c r="A87" s="94">
        <v>2032</v>
      </c>
      <c r="B87" s="139" cm="1">
        <f t="array" ref="B87">SUMPRODUCT((BXL!$C$4:'BXL'!$C$103=A87)*BXL!$X$4:$X$103)+SUMPRODUCT((BXL!$AA$4:'BXL'!$AA$103=A87)*BXL!$AQ$4:$AQ$103)+SUMPRODUCT((BXL!$AB$4:'BXL'!$AB$103=A87)*BXL!$AQ$4:$AQ$103)</f>
        <v>0</v>
      </c>
      <c r="C87" s="139" cm="1">
        <f t="array" ref="C87">SUMPRODUCT((BXL!$C$4:'BXL'!$C$103=A87)*BXL!$Y$4:$Y$103)+SUMPRODUCT((BXL!$AA$4:'BXL'!$AA$103=A87)*BXL!$AR$4:$AR$103)+SUMPRODUCT((BXL!$AB$4:'BXL'!$AB$103=A87)*BXL!$AR$4:$AR$103)</f>
        <v>0</v>
      </c>
      <c r="D87" s="136" cm="1">
        <f t="array" ref="D87">SUMPRODUCT((BXL!$C$4:'BXL'!$C$103=A87)*BXL!$O$4:$O$103)+SUMPRODUCT((BXL!$AA$4:'BXL'!$AA$103=A87)*BXL!$AM$4:$AM$103)+SUMPRODUCT((BXL!$AB$4:'BXL'!$AB$103=A87)*BXL!$AM$4:$AM$103)</f>
        <v>0</v>
      </c>
      <c r="E87" s="136" cm="1">
        <f t="array" ref="E87">SUMPRODUCT((BXL!$C$4:'BXL'!$C$103=A87)*BXL!$R$4:$R$103)+SUMPRODUCT((BXL!$AA$4:'BXL'!$AA$103=A87)*BXL!$AP$4:$AP$103)+SUMPRODUCT((BXL!$AB$4:'BXL'!$AB$103=A87)*BXL!$AP$4:$AP$103)</f>
        <v>0</v>
      </c>
      <c r="F87" s="136" cm="1">
        <f t="array" ref="F87">SUMPRODUCT((BXL!$C$4:'BXL'!$C$103=A87)*BXL!$V$4:$V$103)+SUMPRODUCT((BXL!$AA$4:'BXL'!$AA$103=A87)*BXL!$AS$4:$AS$103)+SUMPRODUCT((BXL!$AB$4:'BXL'!$AB$103=A87)*BXL!$AS$4:$AS$103)</f>
        <v>0</v>
      </c>
      <c r="G87" s="136" cm="1">
        <f t="array" ref="G87">SUMPRODUCT((BXL!$C$4:'BXL'!$C$103=A87)*BXL!$W$4:$W$103)+SUMPRODUCT((BXL!$AA$4:'BXL'!$AA$103=A87)*BXL!$AT$4:$AT$103)+SUMPRODUCT((BXL!$AB$4:'BXL'!$AB$103=A87)*BXL!$AT$4:$AT$103)</f>
        <v>0</v>
      </c>
      <c r="H87" s="115"/>
      <c r="I87" s="139">
        <f t="shared" si="13"/>
        <v>16239.9867325</v>
      </c>
      <c r="J87" s="136">
        <f t="shared" ref="J87:M102" si="19">D87+J86</f>
        <v>1473.3495500000001</v>
      </c>
      <c r="K87" s="136">
        <f t="shared" si="19"/>
        <v>14766.637182499999</v>
      </c>
      <c r="L87" s="136">
        <f t="shared" si="19"/>
        <v>1076.1025226315789</v>
      </c>
      <c r="M87" s="136">
        <f t="shared" si="19"/>
        <v>835.85694266666667</v>
      </c>
      <c r="N87" s="115"/>
      <c r="O87" s="131"/>
      <c r="P87" s="131"/>
      <c r="Q87" s="131"/>
      <c r="R87" s="115"/>
      <c r="S87" s="131"/>
      <c r="T87" s="131"/>
      <c r="U87" s="131"/>
      <c r="V87" s="115"/>
      <c r="W87" s="128">
        <f>C87*(ResourcesEmissions!$B$79-Hypotheses!$D$31*Hypotheses!H51)</f>
        <v>0</v>
      </c>
      <c r="X87" s="128">
        <f>C87*(ResourcesEmissions!$B$79-Hypotheses!$D$31*Hypotheses!I51)</f>
        <v>0</v>
      </c>
      <c r="Y87" s="128">
        <f>C87*(ResourcesEmissions!$B$79-Hypotheses!$D$31*Hypotheses!J51)</f>
        <v>0</v>
      </c>
      <c r="Z87" s="115"/>
      <c r="AA87" s="126">
        <f>C87*(ResourcesEmissions!$C$79-Hypotheses!$D$30*Hypotheses!H51+(1-Hypotheses!H51)*Hypotheses!$D$14+Hypotheses!H51*Hypotheses!$D$19)</f>
        <v>0</v>
      </c>
      <c r="AB87" s="126">
        <f>C87*(ResourcesEmissions!$C$79-Hypotheses!$D$30*Hypotheses!I51+(1-Hypotheses!I51)*Hypotheses!$D$14+Hypotheses!I51*Hypotheses!$D$19)</f>
        <v>0</v>
      </c>
      <c r="AC87" s="126">
        <f>C87*(ResourcesEmissions!$C$79-Hypotheses!$D$30*Hypotheses!J51+(1-Hypotheses!J51)*Hypotheses!$D$14+Hypotheses!J51*Hypotheses!$D$19)</f>
        <v>0</v>
      </c>
      <c r="AD87" s="115"/>
      <c r="AE87" s="126">
        <f>C87*(ResourcesEmissions!$C$79-Hypotheses!$D$30*Hypotheses!H51+(1-Hypotheses!H51)*Hypotheses!$D$14+Hypotheses!H51*Hypotheses!$D$21)</f>
        <v>0</v>
      </c>
      <c r="AF87" s="126">
        <f>C87*(ResourcesEmissions!$C$79-Hypotheses!$D$30*Hypotheses!I51+(1-Hypotheses!I51)*Hypotheses!$D$14+Hypotheses!I51*Hypotheses!$D$21)</f>
        <v>0</v>
      </c>
      <c r="AG87" s="126">
        <f>C87*(ResourcesEmissions!$C$79-Hypotheses!$D$30*Hypotheses!J51+(1-Hypotheses!J51)*Hypotheses!$D$14+Hypotheses!J51*Hypotheses!$D$21)</f>
        <v>0</v>
      </c>
      <c r="AH87" s="115"/>
      <c r="AI87" s="128">
        <f t="shared" si="16"/>
        <v>19130.91439068452</v>
      </c>
      <c r="AJ87" s="128">
        <f t="shared" si="16"/>
        <v>19130.91439068452</v>
      </c>
      <c r="AK87" s="128">
        <f t="shared" si="16"/>
        <v>19130.91439068452</v>
      </c>
      <c r="AL87" s="115"/>
      <c r="AM87" s="126">
        <f t="shared" si="17"/>
        <v>13586.281208470999</v>
      </c>
      <c r="AN87" s="126">
        <f t="shared" si="17"/>
        <v>13586.281208470999</v>
      </c>
      <c r="AO87" s="126">
        <f t="shared" si="17"/>
        <v>13586.281208470999</v>
      </c>
      <c r="AP87" s="115"/>
      <c r="AQ87" s="126">
        <f t="shared" si="18"/>
        <v>13586.281208470999</v>
      </c>
      <c r="AR87" s="126">
        <f t="shared" si="18"/>
        <v>13586.281208470999</v>
      </c>
      <c r="AS87" s="126">
        <f t="shared" si="18"/>
        <v>13586.281208470999</v>
      </c>
    </row>
    <row r="88" spans="1:45" x14ac:dyDescent="0.25">
      <c r="A88" s="94">
        <v>2033</v>
      </c>
      <c r="B88" s="139" cm="1">
        <f t="array" ref="B88">SUMPRODUCT((BXL!$C$4:'BXL'!$C$103=A88)*BXL!$X$4:$X$103)+SUMPRODUCT((BXL!$AA$4:'BXL'!$AA$103=A88)*BXL!$AQ$4:$AQ$103)+SUMPRODUCT((BXL!$AB$4:'BXL'!$AB$103=A88)*BXL!$AQ$4:$AQ$103)</f>
        <v>0</v>
      </c>
      <c r="C88" s="139" cm="1">
        <f t="array" ref="C88">SUMPRODUCT((BXL!$C$4:'BXL'!$C$103=A88)*BXL!$Y$4:$Y$103)+SUMPRODUCT((BXL!$AA$4:'BXL'!$AA$103=A88)*BXL!$AR$4:$AR$103)+SUMPRODUCT((BXL!$AB$4:'BXL'!$AB$103=A88)*BXL!$AR$4:$AR$103)</f>
        <v>0</v>
      </c>
      <c r="D88" s="136" cm="1">
        <f t="array" ref="D88">SUMPRODUCT((BXL!$C$4:'BXL'!$C$103=A88)*BXL!$O$4:$O$103)+SUMPRODUCT((BXL!$AA$4:'BXL'!$AA$103=A88)*BXL!$AM$4:$AM$103)+SUMPRODUCT((BXL!$AB$4:'BXL'!$AB$103=A88)*BXL!$AM$4:$AM$103)</f>
        <v>0</v>
      </c>
      <c r="E88" s="136" cm="1">
        <f t="array" ref="E88">SUMPRODUCT((BXL!$C$4:'BXL'!$C$103=A88)*BXL!$R$4:$R$103)+SUMPRODUCT((BXL!$AA$4:'BXL'!$AA$103=A88)*BXL!$AP$4:$AP$103)+SUMPRODUCT((BXL!$AB$4:'BXL'!$AB$103=A88)*BXL!$AP$4:$AP$103)</f>
        <v>0</v>
      </c>
      <c r="F88" s="136" cm="1">
        <f t="array" ref="F88">SUMPRODUCT((BXL!$C$4:'BXL'!$C$103=A88)*BXL!$V$4:$V$103)+SUMPRODUCT((BXL!$AA$4:'BXL'!$AA$103=A88)*BXL!$AS$4:$AS$103)+SUMPRODUCT((BXL!$AB$4:'BXL'!$AB$103=A88)*BXL!$AS$4:$AS$103)</f>
        <v>0</v>
      </c>
      <c r="G88" s="136" cm="1">
        <f t="array" ref="G88">SUMPRODUCT((BXL!$C$4:'BXL'!$C$103=A88)*BXL!$W$4:$W$103)+SUMPRODUCT((BXL!$AA$4:'BXL'!$AA$103=A88)*BXL!$AT$4:$AT$103)+SUMPRODUCT((BXL!$AB$4:'BXL'!$AB$103=A88)*BXL!$AT$4:$AT$103)</f>
        <v>0</v>
      </c>
      <c r="H88" s="115"/>
      <c r="I88" s="139">
        <f t="shared" si="13"/>
        <v>16239.9867325</v>
      </c>
      <c r="J88" s="136">
        <f t="shared" si="19"/>
        <v>1473.3495500000001</v>
      </c>
      <c r="K88" s="136">
        <f t="shared" si="19"/>
        <v>14766.637182499999</v>
      </c>
      <c r="L88" s="136">
        <f t="shared" si="19"/>
        <v>1076.1025226315789</v>
      </c>
      <c r="M88" s="136">
        <f t="shared" si="19"/>
        <v>835.85694266666667</v>
      </c>
      <c r="N88" s="115"/>
      <c r="O88" s="131"/>
      <c r="P88" s="131"/>
      <c r="Q88" s="131"/>
      <c r="R88" s="115"/>
      <c r="S88" s="131"/>
      <c r="T88" s="131"/>
      <c r="U88" s="131"/>
      <c r="V88" s="115"/>
      <c r="W88" s="128">
        <f>C88*(ResourcesEmissions!$B$79-Hypotheses!$D$31*Hypotheses!H52)</f>
        <v>0</v>
      </c>
      <c r="X88" s="128">
        <f>C88*(ResourcesEmissions!$B$79-Hypotheses!$D$31*Hypotheses!I52)</f>
        <v>0</v>
      </c>
      <c r="Y88" s="128">
        <f>C88*(ResourcesEmissions!$B$79-Hypotheses!$D$31*Hypotheses!J52)</f>
        <v>0</v>
      </c>
      <c r="Z88" s="115"/>
      <c r="AA88" s="126">
        <f>C88*(ResourcesEmissions!$C$79-Hypotheses!$D$30*Hypotheses!H52+(1-Hypotheses!H52)*Hypotheses!$D$14+Hypotheses!H52*Hypotheses!$D$19)</f>
        <v>0</v>
      </c>
      <c r="AB88" s="126">
        <f>C88*(ResourcesEmissions!$C$79-Hypotheses!$D$30*Hypotheses!I52+(1-Hypotheses!I52)*Hypotheses!$D$14+Hypotheses!I52*Hypotheses!$D$19)</f>
        <v>0</v>
      </c>
      <c r="AC88" s="126">
        <f>C88*(ResourcesEmissions!$C$79-Hypotheses!$D$30*Hypotheses!J52+(1-Hypotheses!J52)*Hypotheses!$D$14+Hypotheses!J52*Hypotheses!$D$19)</f>
        <v>0</v>
      </c>
      <c r="AD88" s="115"/>
      <c r="AE88" s="126">
        <f>C88*(ResourcesEmissions!$C$79-Hypotheses!$D$30*Hypotheses!H52+(1-Hypotheses!H52)*Hypotheses!$D$14+Hypotheses!H52*Hypotheses!$D$21)</f>
        <v>0</v>
      </c>
      <c r="AF88" s="126">
        <f>C88*(ResourcesEmissions!$C$79-Hypotheses!$D$30*Hypotheses!I52+(1-Hypotheses!I52)*Hypotheses!$D$14+Hypotheses!I52*Hypotheses!$D$21)</f>
        <v>0</v>
      </c>
      <c r="AG88" s="126">
        <f>C88*(ResourcesEmissions!$C$79-Hypotheses!$D$30*Hypotheses!J52+(1-Hypotheses!J52)*Hypotheses!$D$14+Hypotheses!J52*Hypotheses!$D$21)</f>
        <v>0</v>
      </c>
      <c r="AH88" s="115"/>
      <c r="AI88" s="128">
        <f t="shared" si="16"/>
        <v>19130.91439068452</v>
      </c>
      <c r="AJ88" s="128">
        <f t="shared" si="16"/>
        <v>19130.91439068452</v>
      </c>
      <c r="AK88" s="128">
        <f t="shared" si="16"/>
        <v>19130.91439068452</v>
      </c>
      <c r="AL88" s="115"/>
      <c r="AM88" s="126">
        <f t="shared" si="17"/>
        <v>13586.281208470999</v>
      </c>
      <c r="AN88" s="126">
        <f t="shared" si="17"/>
        <v>13586.281208470999</v>
      </c>
      <c r="AO88" s="126">
        <f t="shared" si="17"/>
        <v>13586.281208470999</v>
      </c>
      <c r="AP88" s="115"/>
      <c r="AQ88" s="126">
        <f t="shared" si="18"/>
        <v>13586.281208470999</v>
      </c>
      <c r="AR88" s="126">
        <f t="shared" si="18"/>
        <v>13586.281208470999</v>
      </c>
      <c r="AS88" s="126">
        <f t="shared" si="18"/>
        <v>13586.281208470999</v>
      </c>
    </row>
    <row r="89" spans="1:45" x14ac:dyDescent="0.25">
      <c r="A89" s="94">
        <v>2034</v>
      </c>
      <c r="B89" s="139" cm="1">
        <f t="array" ref="B89">SUMPRODUCT((BXL!$C$4:'BXL'!$C$103=A89)*BXL!$X$4:$X$103)+SUMPRODUCT((BXL!$AA$4:'BXL'!$AA$103=A89)*BXL!$AQ$4:$AQ$103)+SUMPRODUCT((BXL!$AB$4:'BXL'!$AB$103=A89)*BXL!$AQ$4:$AQ$103)</f>
        <v>11282.4</v>
      </c>
      <c r="C89" s="139" cm="1">
        <f t="array" ref="C89">SUMPRODUCT((BXL!$C$4:'BXL'!$C$103=A89)*BXL!$Y$4:$Y$103)+SUMPRODUCT((BXL!$AA$4:'BXL'!$AA$103=A89)*BXL!$AR$4:$AR$103)+SUMPRODUCT((BXL!$AB$4:'BXL'!$AB$103=A89)*BXL!$AR$4:$AR$103)</f>
        <v>451.29599999999994</v>
      </c>
      <c r="D89" s="136" cm="1">
        <f t="array" ref="D89">SUMPRODUCT((BXL!$C$4:'BXL'!$C$103=A89)*BXL!$O$4:$O$103)+SUMPRODUCT((BXL!$AA$4:'BXL'!$AA$103=A89)*BXL!$AM$4:$AM$103)+SUMPRODUCT((BXL!$AB$4:'BXL'!$AB$103=A89)*BXL!$AM$4:$AM$103)</f>
        <v>0</v>
      </c>
      <c r="E89" s="136" cm="1">
        <f t="array" ref="E89">SUMPRODUCT((BXL!$C$4:'BXL'!$C$103=A89)*BXL!$R$4:$R$103)+SUMPRODUCT((BXL!$AA$4:'BXL'!$AA$103=A89)*BXL!$AP$4:$AP$103)+SUMPRODUCT((BXL!$AB$4:'BXL'!$AB$103=A89)*BXL!$AP$4:$AP$103)</f>
        <v>451.29599999999994</v>
      </c>
      <c r="F89" s="136" cm="1">
        <f t="array" ref="F89">SUMPRODUCT((BXL!$C$4:'BXL'!$C$103=A89)*BXL!$V$4:$V$103)+SUMPRODUCT((BXL!$AA$4:'BXL'!$AA$103=A89)*BXL!$AS$4:$AS$103)+SUMPRODUCT((BXL!$AB$4:'BXL'!$AB$103=A89)*BXL!$AS$4:$AS$103)</f>
        <v>26.325600000000001</v>
      </c>
      <c r="G89" s="136" cm="1">
        <f t="array" ref="G89">SUMPRODUCT((BXL!$C$4:'BXL'!$C$103=A89)*BXL!$W$4:$W$103)+SUMPRODUCT((BXL!$AA$4:'BXL'!$AA$103=A89)*BXL!$AT$4:$AT$103)+SUMPRODUCT((BXL!$AB$4:'BXL'!$AB$103=A89)*BXL!$AT$4:$AT$103)</f>
        <v>26.325600000000001</v>
      </c>
      <c r="H89" s="115"/>
      <c r="I89" s="139">
        <f t="shared" si="13"/>
        <v>16691.2827325</v>
      </c>
      <c r="J89" s="136">
        <f t="shared" si="19"/>
        <v>1473.3495500000001</v>
      </c>
      <c r="K89" s="136">
        <f t="shared" si="19"/>
        <v>15217.933182499999</v>
      </c>
      <c r="L89" s="136">
        <f t="shared" si="19"/>
        <v>1102.4281226315788</v>
      </c>
      <c r="M89" s="136">
        <f t="shared" si="19"/>
        <v>862.18254266666668</v>
      </c>
      <c r="N89" s="115"/>
      <c r="O89" s="131"/>
      <c r="P89" s="131"/>
      <c r="Q89" s="131"/>
      <c r="R89" s="115"/>
      <c r="S89" s="131"/>
      <c r="T89" s="131"/>
      <c r="U89" s="131"/>
      <c r="V89" s="115"/>
      <c r="W89" s="128">
        <f>C89*(ResourcesEmissions!$B$79-Hypotheses!$D$31*Hypotheses!H53)</f>
        <v>472.82281919999986</v>
      </c>
      <c r="X89" s="128">
        <f>C89*(ResourcesEmissions!$B$79-Hypotheses!$D$31*Hypotheses!I53)</f>
        <v>431.93099672017718</v>
      </c>
      <c r="Y89" s="128">
        <f>C89*(ResourcesEmissions!$B$79-Hypotheses!$D$31*Hypotheses!J53)</f>
        <v>380.81621862039884</v>
      </c>
      <c r="Z89" s="115"/>
      <c r="AA89" s="126">
        <f>C89*(ResourcesEmissions!$C$79-Hypotheses!$D$30*Hypotheses!H53+(1-Hypotheses!H53)*Hypotheses!$D$14+Hypotheses!H53*Hypotheses!$D$19)</f>
        <v>251.68582792834053</v>
      </c>
      <c r="AB89" s="126">
        <f>C89*(ResourcesEmissions!$C$79-Hypotheses!$D$30*Hypotheses!I53+(1-Hypotheses!I53)*Hypotheses!$D$14+Hypotheses!I53*Hypotheses!$D$19)</f>
        <v>241.25841319598578</v>
      </c>
      <c r="AC89" s="126">
        <f>C89*(ResourcesEmissions!$C$79-Hypotheses!$D$30*Hypotheses!J53+(1-Hypotheses!J53)*Hypotheses!$D$14+Hypotheses!J53*Hypotheses!$D$19)</f>
        <v>228.2241447805423</v>
      </c>
      <c r="AD89" s="115"/>
      <c r="AE89" s="126">
        <f>C89*(ResourcesEmissions!$C$79-Hypotheses!$D$30*Hypotheses!H53+(1-Hypotheses!H53)*Hypotheses!$D$14+Hypotheses!H53*Hypotheses!$D$21)</f>
        <v>252.09199432834052</v>
      </c>
      <c r="AF89" s="126">
        <f>C89*(ResourcesEmissions!$C$79-Hypotheses!$D$30*Hypotheses!I53+(1-Hypotheses!I53)*Hypotheses!$D$14+Hypotheses!I53*Hypotheses!$D$21)</f>
        <v>242.27795693318313</v>
      </c>
      <c r="AG89" s="126">
        <f>C89*(ResourcesEmissions!$C$79-Hypotheses!$D$30*Hypotheses!J53+(1-Hypotheses!J53)*Hypotheses!$D$14+Hypotheses!J53*Hypotheses!$D$21)</f>
        <v>230.01041018923627</v>
      </c>
      <c r="AH89" s="115"/>
      <c r="AI89" s="128">
        <f t="shared" si="16"/>
        <v>19603.737209884519</v>
      </c>
      <c r="AJ89" s="128">
        <f t="shared" si="16"/>
        <v>19562.845387404697</v>
      </c>
      <c r="AK89" s="128">
        <f t="shared" si="16"/>
        <v>19511.730609304919</v>
      </c>
      <c r="AL89" s="115"/>
      <c r="AM89" s="126">
        <f t="shared" si="17"/>
        <v>13838.373202799339</v>
      </c>
      <c r="AN89" s="126">
        <f t="shared" si="17"/>
        <v>13828.559165404182</v>
      </c>
      <c r="AO89" s="126">
        <f t="shared" si="17"/>
        <v>13816.291618660234</v>
      </c>
      <c r="AP89" s="115"/>
      <c r="AQ89" s="126">
        <f t="shared" si="18"/>
        <v>13838.373202799339</v>
      </c>
      <c r="AR89" s="126">
        <f t="shared" si="18"/>
        <v>13828.559165404182</v>
      </c>
      <c r="AS89" s="126">
        <f t="shared" si="18"/>
        <v>13816.291618660234</v>
      </c>
    </row>
    <row r="90" spans="1:45" x14ac:dyDescent="0.25">
      <c r="A90" s="94">
        <v>2035</v>
      </c>
      <c r="B90" s="139" cm="1">
        <f t="array" ref="B90">SUMPRODUCT((BXL!$C$4:'BXL'!$C$103=A90)*BXL!$X$4:$X$103)+SUMPRODUCT((BXL!$AA$4:'BXL'!$AA$103=A90)*BXL!$AQ$4:$AQ$103)+SUMPRODUCT((BXL!$AB$4:'BXL'!$AB$103=A90)*BXL!$AQ$4:$AQ$103)</f>
        <v>0</v>
      </c>
      <c r="C90" s="139" cm="1">
        <f t="array" ref="C90">SUMPRODUCT((BXL!$C$4:'BXL'!$C$103=A90)*BXL!$Y$4:$Y$103)+SUMPRODUCT((BXL!$AA$4:'BXL'!$AA$103=A90)*BXL!$AR$4:$AR$103)+SUMPRODUCT((BXL!$AB$4:'BXL'!$AB$103=A90)*BXL!$AR$4:$AR$103)</f>
        <v>0</v>
      </c>
      <c r="D90" s="136" cm="1">
        <f t="array" ref="D90">SUMPRODUCT((BXL!$C$4:'BXL'!$C$103=A90)*BXL!$O$4:$O$103)+SUMPRODUCT((BXL!$AA$4:'BXL'!$AA$103=A90)*BXL!$AM$4:$AM$103)+SUMPRODUCT((BXL!$AB$4:'BXL'!$AB$103=A90)*BXL!$AM$4:$AM$103)</f>
        <v>0</v>
      </c>
      <c r="E90" s="136" cm="1">
        <f t="array" ref="E90">SUMPRODUCT((BXL!$C$4:'BXL'!$C$103=A90)*BXL!$R$4:$R$103)+SUMPRODUCT((BXL!$AA$4:'BXL'!$AA$103=A90)*BXL!$AP$4:$AP$103)+SUMPRODUCT((BXL!$AB$4:'BXL'!$AB$103=A90)*BXL!$AP$4:$AP$103)</f>
        <v>0</v>
      </c>
      <c r="F90" s="136" cm="1">
        <f t="array" ref="F90">SUMPRODUCT((BXL!$C$4:'BXL'!$C$103=A90)*BXL!$V$4:$V$103)+SUMPRODUCT((BXL!$AA$4:'BXL'!$AA$103=A90)*BXL!$AS$4:$AS$103)+SUMPRODUCT((BXL!$AB$4:'BXL'!$AB$103=A90)*BXL!$AS$4:$AS$103)</f>
        <v>0</v>
      </c>
      <c r="G90" s="136" cm="1">
        <f t="array" ref="G90">SUMPRODUCT((BXL!$C$4:'BXL'!$C$103=A90)*BXL!$W$4:$W$103)+SUMPRODUCT((BXL!$AA$4:'BXL'!$AA$103=A90)*BXL!$AT$4:$AT$103)+SUMPRODUCT((BXL!$AB$4:'BXL'!$AB$103=A90)*BXL!$AT$4:$AT$103)</f>
        <v>0</v>
      </c>
      <c r="H90" s="115"/>
      <c r="I90" s="139">
        <f t="shared" si="13"/>
        <v>16691.2827325</v>
      </c>
      <c r="J90" s="136">
        <f t="shared" si="19"/>
        <v>1473.3495500000001</v>
      </c>
      <c r="K90" s="136">
        <f t="shared" si="19"/>
        <v>15217.933182499999</v>
      </c>
      <c r="L90" s="136">
        <f t="shared" si="19"/>
        <v>1102.4281226315788</v>
      </c>
      <c r="M90" s="136">
        <f t="shared" si="19"/>
        <v>862.18254266666668</v>
      </c>
      <c r="N90" s="115"/>
      <c r="O90" s="131"/>
      <c r="P90" s="131"/>
      <c r="Q90" s="131"/>
      <c r="R90" s="115"/>
      <c r="S90" s="131"/>
      <c r="T90" s="131"/>
      <c r="U90" s="131"/>
      <c r="V90" s="115"/>
      <c r="W90" s="128">
        <f>C90*(ResourcesEmissions!$B$79-Hypotheses!$D$31*Hypotheses!H54)</f>
        <v>0</v>
      </c>
      <c r="X90" s="128">
        <f>C90*(ResourcesEmissions!$B$79-Hypotheses!$D$31*Hypotheses!I54)</f>
        <v>0</v>
      </c>
      <c r="Y90" s="128">
        <f>C90*(ResourcesEmissions!$B$79-Hypotheses!$D$31*Hypotheses!J54)</f>
        <v>0</v>
      </c>
      <c r="Z90" s="115"/>
      <c r="AA90" s="126">
        <f>C90*(ResourcesEmissions!$C$79-Hypotheses!$D$30*Hypotheses!H54+(1-Hypotheses!H54)*Hypotheses!$D$14+Hypotheses!H54*Hypotheses!$D$19)</f>
        <v>0</v>
      </c>
      <c r="AB90" s="126">
        <f>C90*(ResourcesEmissions!$C$79-Hypotheses!$D$30*Hypotheses!I54+(1-Hypotheses!I54)*Hypotheses!$D$14+Hypotheses!I54*Hypotheses!$D$19)</f>
        <v>0</v>
      </c>
      <c r="AC90" s="126">
        <f>C90*(ResourcesEmissions!$C$79-Hypotheses!$D$30*Hypotheses!J54+(1-Hypotheses!J54)*Hypotheses!$D$14+Hypotheses!J54*Hypotheses!$D$19)</f>
        <v>0</v>
      </c>
      <c r="AD90" s="115"/>
      <c r="AE90" s="126">
        <f>C90*(ResourcesEmissions!$C$79-Hypotheses!$D$30*Hypotheses!H54+(1-Hypotheses!H54)*Hypotheses!$D$14+Hypotheses!H54*Hypotheses!$D$21)</f>
        <v>0</v>
      </c>
      <c r="AF90" s="126">
        <f>C90*(ResourcesEmissions!$C$79-Hypotheses!$D$30*Hypotheses!I54+(1-Hypotheses!I54)*Hypotheses!$D$14+Hypotheses!I54*Hypotheses!$D$21)</f>
        <v>0</v>
      </c>
      <c r="AG90" s="126">
        <f>C90*(ResourcesEmissions!$C$79-Hypotheses!$D$30*Hypotheses!J54+(1-Hypotheses!J54)*Hypotheses!$D$14+Hypotheses!J54*Hypotheses!$D$21)</f>
        <v>0</v>
      </c>
      <c r="AH90" s="115"/>
      <c r="AI90" s="128">
        <f t="shared" si="16"/>
        <v>19603.737209884519</v>
      </c>
      <c r="AJ90" s="128">
        <f t="shared" si="16"/>
        <v>19562.845387404697</v>
      </c>
      <c r="AK90" s="128">
        <f t="shared" si="16"/>
        <v>19511.730609304919</v>
      </c>
      <c r="AL90" s="115"/>
      <c r="AM90" s="126">
        <f t="shared" si="17"/>
        <v>13838.373202799339</v>
      </c>
      <c r="AN90" s="126">
        <f t="shared" si="17"/>
        <v>13828.559165404182</v>
      </c>
      <c r="AO90" s="126">
        <f t="shared" si="17"/>
        <v>13816.291618660234</v>
      </c>
      <c r="AP90" s="115"/>
      <c r="AQ90" s="126">
        <f t="shared" si="18"/>
        <v>13838.373202799339</v>
      </c>
      <c r="AR90" s="126">
        <f t="shared" si="18"/>
        <v>13828.559165404182</v>
      </c>
      <c r="AS90" s="126">
        <f t="shared" si="18"/>
        <v>13816.291618660234</v>
      </c>
    </row>
    <row r="91" spans="1:45" x14ac:dyDescent="0.25">
      <c r="A91" s="94">
        <v>2036</v>
      </c>
      <c r="B91" s="139" cm="1">
        <f t="array" ref="B91">SUMPRODUCT((BXL!$C$4:'BXL'!$C$103=A91)*BXL!$X$4:$X$103)+SUMPRODUCT((BXL!$AA$4:'BXL'!$AA$103=A91)*BXL!$AQ$4:$AQ$103)+SUMPRODUCT((BXL!$AB$4:'BXL'!$AB$103=A91)*BXL!$AQ$4:$AQ$103)</f>
        <v>40067.136000000006</v>
      </c>
      <c r="C91" s="139" cm="1">
        <f t="array" ref="C91">SUMPRODUCT((BXL!$C$4:'BXL'!$C$103=A91)*BXL!$Y$4:$Y$103)+SUMPRODUCT((BXL!$AA$4:'BXL'!$AA$103=A91)*BXL!$AR$4:$AR$103)+SUMPRODUCT((BXL!$AB$4:'BXL'!$AB$103=A91)*BXL!$AR$4:$AR$103)</f>
        <v>1803.0211200000003</v>
      </c>
      <c r="D91" s="136" cm="1">
        <f t="array" ref="D91">SUMPRODUCT((BXL!$C$4:'BXL'!$C$103=A91)*BXL!$O$4:$O$103)+SUMPRODUCT((BXL!$AA$4:'BXL'!$AA$103=A91)*BXL!$AM$4:$AM$103)+SUMPRODUCT((BXL!$AB$4:'BXL'!$AB$103=A91)*BXL!$AM$4:$AM$103)</f>
        <v>0</v>
      </c>
      <c r="E91" s="136" cm="1">
        <f t="array" ref="E91">SUMPRODUCT((BXL!$C$4:'BXL'!$C$103=A91)*BXL!$R$4:$R$103)+SUMPRODUCT((BXL!$AA$4:'BXL'!$AA$103=A91)*BXL!$AP$4:$AP$103)+SUMPRODUCT((BXL!$AB$4:'BXL'!$AB$103=A91)*BXL!$AP$4:$AP$103)</f>
        <v>1803.0211200000003</v>
      </c>
      <c r="F91" s="136" cm="1">
        <f t="array" ref="F91">SUMPRODUCT((BXL!$C$4:'BXL'!$C$103=A91)*BXL!$V$4:$V$103)+SUMPRODUCT((BXL!$AA$4:'BXL'!$AA$103=A91)*BXL!$AS$4:$AS$103)+SUMPRODUCT((BXL!$AB$4:'BXL'!$AB$103=A91)*BXL!$AS$4:$AS$103)</f>
        <v>106.845696</v>
      </c>
      <c r="G91" s="136" cm="1">
        <f t="array" ref="G91">SUMPRODUCT((BXL!$C$4:'BXL'!$C$103=A91)*BXL!$W$4:$W$103)+SUMPRODUCT((BXL!$AA$4:'BXL'!$AA$103=A91)*BXL!$AT$4:$AT$103)+SUMPRODUCT((BXL!$AB$4:'BXL'!$AB$103=A91)*BXL!$AT$4:$AT$103)</f>
        <v>106.845696</v>
      </c>
      <c r="H91" s="115"/>
      <c r="I91" s="139">
        <f t="shared" si="13"/>
        <v>18494.303852500001</v>
      </c>
      <c r="J91" s="136">
        <f t="shared" si="19"/>
        <v>1473.3495500000001</v>
      </c>
      <c r="K91" s="136">
        <f t="shared" si="19"/>
        <v>17020.954302499998</v>
      </c>
      <c r="L91" s="136">
        <f t="shared" si="19"/>
        <v>1209.2738186315789</v>
      </c>
      <c r="M91" s="136">
        <f t="shared" si="19"/>
        <v>969.02823866666665</v>
      </c>
      <c r="N91" s="115"/>
      <c r="O91" s="131"/>
      <c r="P91" s="131"/>
      <c r="Q91" s="131"/>
      <c r="R91" s="115"/>
      <c r="S91" s="131"/>
      <c r="T91" s="131"/>
      <c r="U91" s="131"/>
      <c r="V91" s="115"/>
      <c r="W91" s="128">
        <f>C91*(ResourcesEmissions!$B$79-Hypotheses!$D$31*Hypotheses!H55)</f>
        <v>1889.0252274240001</v>
      </c>
      <c r="X91" s="128">
        <f>C91*(ResourcesEmissions!$B$79-Hypotheses!$D$31*Hypotheses!I55)</f>
        <v>1619.6714705044756</v>
      </c>
      <c r="Y91" s="128">
        <f>C91*(ResourcesEmissions!$B$79-Hypotheses!$D$31*Hypotheses!J55)</f>
        <v>1282.9792743550702</v>
      </c>
      <c r="Z91" s="115"/>
      <c r="AA91" s="126">
        <f>C91*(ResourcesEmissions!$C$79-Hypotheses!$D$30*Hypotheses!H55+(1-Hypotheses!H55)*Hypotheses!$D$14+Hypotheses!H55*Hypotheses!$D$19)</f>
        <v>1005.5370828890217</v>
      </c>
      <c r="AB91" s="126">
        <f>C91*(ResourcesEmissions!$C$79-Hypotheses!$D$30*Hypotheses!I55+(1-Hypotheses!I55)*Hypotheses!$D$14+Hypotheses!I55*Hypotheses!$D$19)</f>
        <v>936.85187487454311</v>
      </c>
      <c r="AC91" s="126">
        <f>C91*(ResourcesEmissions!$C$79-Hypotheses!$D$30*Hypotheses!J55+(1-Hypotheses!J55)*Hypotheses!$D$14+Hypotheses!J55*Hypotheses!$D$19)</f>
        <v>850.99536485644467</v>
      </c>
      <c r="AD91" s="115"/>
      <c r="AE91" s="126">
        <f>C91*(ResourcesEmissions!$C$79-Hypotheses!$D$30*Hypotheses!H55+(1-Hypotheses!H55)*Hypotheses!$D$14+Hypotheses!H55*Hypotheses!$D$21)</f>
        <v>1007.1598018970218</v>
      </c>
      <c r="AF91" s="126">
        <f>C91*(ResourcesEmissions!$C$79-Hypotheses!$D$30*Hypotheses!I55+(1-Hypotheses!I55)*Hypotheses!$D$14+Hypotheses!I55*Hypotheses!$D$21)</f>
        <v>942.51490023633585</v>
      </c>
      <c r="AG91" s="126">
        <f>C91*(ResourcesEmissions!$C$79-Hypotheses!$D$30*Hypotheses!J55+(1-Hypotheses!J55)*Hypotheses!$D$14+Hypotheses!J55*Hypotheses!$D$21)</f>
        <v>861.70877316047859</v>
      </c>
      <c r="AH91" s="115"/>
      <c r="AI91" s="128">
        <f t="shared" si="16"/>
        <v>21492.76243730852</v>
      </c>
      <c r="AJ91" s="128">
        <f t="shared" si="16"/>
        <v>21182.516857909173</v>
      </c>
      <c r="AK91" s="128">
        <f t="shared" si="16"/>
        <v>20794.709883659991</v>
      </c>
      <c r="AL91" s="115"/>
      <c r="AM91" s="126">
        <f t="shared" si="17"/>
        <v>14845.533004696361</v>
      </c>
      <c r="AN91" s="126">
        <f t="shared" si="17"/>
        <v>14771.074065640518</v>
      </c>
      <c r="AO91" s="126">
        <f t="shared" si="17"/>
        <v>14678.000391820713</v>
      </c>
      <c r="AP91" s="115"/>
      <c r="AQ91" s="126">
        <f t="shared" si="18"/>
        <v>14845.533004696361</v>
      </c>
      <c r="AR91" s="126">
        <f t="shared" si="18"/>
        <v>14771.074065640518</v>
      </c>
      <c r="AS91" s="126">
        <f t="shared" si="18"/>
        <v>14678.000391820713</v>
      </c>
    </row>
    <row r="92" spans="1:45" x14ac:dyDescent="0.25">
      <c r="A92" s="94">
        <v>2037</v>
      </c>
      <c r="B92" s="139" cm="1">
        <f t="array" ref="B92">SUMPRODUCT((BXL!$C$4:'BXL'!$C$103=A92)*BXL!$X$4:$X$103)+SUMPRODUCT((BXL!$AA$4:'BXL'!$AA$103=A92)*BXL!$AQ$4:$AQ$103)+SUMPRODUCT((BXL!$AB$4:'BXL'!$AB$103=A92)*BXL!$AQ$4:$AQ$103)</f>
        <v>9892.7999999999993</v>
      </c>
      <c r="C92" s="139" cm="1">
        <f t="array" ref="C92">SUMPRODUCT((BXL!$C$4:'BXL'!$C$103=A92)*BXL!$Y$4:$Y$103)+SUMPRODUCT((BXL!$AA$4:'BXL'!$AA$103=A92)*BXL!$AR$4:$AR$103)+SUMPRODUCT((BXL!$AB$4:'BXL'!$AB$103=A92)*BXL!$AR$4:$AR$103)</f>
        <v>395.71199999999999</v>
      </c>
      <c r="D92" s="136" cm="1">
        <f t="array" ref="D92">SUMPRODUCT((BXL!$C$4:'BXL'!$C$103=A92)*BXL!$O$4:$O$103)+SUMPRODUCT((BXL!$AA$4:'BXL'!$AA$103=A92)*BXL!$AM$4:$AM$103)+SUMPRODUCT((BXL!$AB$4:'BXL'!$AB$103=A92)*BXL!$AM$4:$AM$103)</f>
        <v>0</v>
      </c>
      <c r="E92" s="136" cm="1">
        <f t="array" ref="E92">SUMPRODUCT((BXL!$C$4:'BXL'!$C$103=A92)*BXL!$R$4:$R$103)+SUMPRODUCT((BXL!$AA$4:'BXL'!$AA$103=A92)*BXL!$AP$4:$AP$103)+SUMPRODUCT((BXL!$AB$4:'BXL'!$AB$103=A92)*BXL!$AP$4:$AP$103)</f>
        <v>395.71199999999999</v>
      </c>
      <c r="F92" s="136" cm="1">
        <f t="array" ref="F92">SUMPRODUCT((BXL!$C$4:'BXL'!$C$103=A92)*BXL!$V$4:$V$103)+SUMPRODUCT((BXL!$AA$4:'BXL'!$AA$103=A92)*BXL!$AS$4:$AS$103)+SUMPRODUCT((BXL!$AB$4:'BXL'!$AB$103=A92)*BXL!$AS$4:$AS$103)</f>
        <v>26.380799999999997</v>
      </c>
      <c r="G92" s="136" cm="1">
        <f t="array" ref="G92">SUMPRODUCT((BXL!$C$4:'BXL'!$C$103=A92)*BXL!$W$4:$W$103)+SUMPRODUCT((BXL!$AA$4:'BXL'!$AA$103=A92)*BXL!$AT$4:$AT$103)+SUMPRODUCT((BXL!$AB$4:'BXL'!$AB$103=A92)*BXL!$AT$4:$AT$103)</f>
        <v>26.380799999999997</v>
      </c>
      <c r="H92" s="115"/>
      <c r="I92" s="139">
        <f t="shared" si="13"/>
        <v>18890.015852500001</v>
      </c>
      <c r="J92" s="136">
        <f t="shared" si="19"/>
        <v>1473.3495500000001</v>
      </c>
      <c r="K92" s="136">
        <f t="shared" si="19"/>
        <v>17416.666302499998</v>
      </c>
      <c r="L92" s="136">
        <f t="shared" si="19"/>
        <v>1235.6546186315788</v>
      </c>
      <c r="M92" s="136">
        <f t="shared" si="19"/>
        <v>995.40903866666667</v>
      </c>
      <c r="N92" s="115"/>
      <c r="O92" s="131"/>
      <c r="P92" s="131"/>
      <c r="Q92" s="131"/>
      <c r="R92" s="115"/>
      <c r="S92" s="131"/>
      <c r="T92" s="131"/>
      <c r="U92" s="131"/>
      <c r="V92" s="115"/>
      <c r="W92" s="128">
        <f>C92*(ResourcesEmissions!$B$79-Hypotheses!$D$31*Hypotheses!H56)</f>
        <v>414.58746239999994</v>
      </c>
      <c r="X92" s="128">
        <f>C92*(ResourcesEmissions!$B$79-Hypotheses!$D$31*Hypotheses!I56)</f>
        <v>345.15818585595918</v>
      </c>
      <c r="Y92" s="128">
        <f>C92*(ResourcesEmissions!$B$79-Hypotheses!$D$31*Hypotheses!J56)</f>
        <v>258.3715901759083</v>
      </c>
      <c r="Z92" s="115"/>
      <c r="AA92" s="126">
        <f>C92*(ResourcesEmissions!$C$79-Hypotheses!$D$30*Hypotheses!H56+(1-Hypotheses!H56)*Hypotheses!$D$14+Hypotheses!H56*Hypotheses!$D$19)</f>
        <v>220.68687145726861</v>
      </c>
      <c r="AB92" s="126">
        <f>C92*(ResourcesEmissions!$C$79-Hypotheses!$D$30*Hypotheses!I56+(1-Hypotheses!I56)*Hypotheses!$D$14+Hypotheses!I56*Hypotheses!$D$19)</f>
        <v>202.98240593853828</v>
      </c>
      <c r="AC92" s="126">
        <f>C92*(ResourcesEmissions!$C$79-Hypotheses!$D$30*Hypotheses!J56+(1-Hypotheses!J56)*Hypotheses!$D$14+Hypotheses!J56*Hypotheses!$D$19)</f>
        <v>180.85182404012528</v>
      </c>
      <c r="AD92" s="115"/>
      <c r="AE92" s="126">
        <f>C92*(ResourcesEmissions!$C$79-Hypotheses!$D$30*Hypotheses!H56+(1-Hypotheses!H56)*Hypotheses!$D$14+Hypotheses!H56*Hypotheses!$D$21)</f>
        <v>221.0430122572686</v>
      </c>
      <c r="AF92" s="126">
        <f>C92*(ResourcesEmissions!$C$79-Hypotheses!$D$30*Hypotheses!I56+(1-Hypotheses!I56)*Hypotheses!$D$14+Hypotheses!I56*Hypotheses!$D$21)</f>
        <v>204.3799858866989</v>
      </c>
      <c r="AG92" s="126">
        <f>C92*(ResourcesEmissions!$C$79-Hypotheses!$D$30*Hypotheses!J56+(1-Hypotheses!J56)*Hypotheses!$D$14+Hypotheses!J56*Hypotheses!$D$21)</f>
        <v>183.55120292348664</v>
      </c>
      <c r="AH92" s="115"/>
      <c r="AI92" s="128">
        <f t="shared" si="16"/>
        <v>21907.349899708519</v>
      </c>
      <c r="AJ92" s="128">
        <f t="shared" si="16"/>
        <v>21527.675043765132</v>
      </c>
      <c r="AK92" s="128">
        <f t="shared" si="16"/>
        <v>21053.0814738359</v>
      </c>
      <c r="AL92" s="115"/>
      <c r="AM92" s="126">
        <f t="shared" si="17"/>
        <v>15066.57601695363</v>
      </c>
      <c r="AN92" s="126">
        <f t="shared" si="17"/>
        <v>14975.454051527217</v>
      </c>
      <c r="AO92" s="126">
        <f t="shared" si="17"/>
        <v>14861.5515947442</v>
      </c>
      <c r="AP92" s="115"/>
      <c r="AQ92" s="126">
        <f t="shared" si="18"/>
        <v>15066.57601695363</v>
      </c>
      <c r="AR92" s="126">
        <f t="shared" si="18"/>
        <v>14975.454051527217</v>
      </c>
      <c r="AS92" s="126">
        <f t="shared" si="18"/>
        <v>14861.5515947442</v>
      </c>
    </row>
    <row r="93" spans="1:45" x14ac:dyDescent="0.25">
      <c r="A93" s="94">
        <v>2038</v>
      </c>
      <c r="B93" s="139" cm="1">
        <f t="array" ref="B93">SUMPRODUCT((BXL!$C$4:'BXL'!$C$103=A93)*BXL!$X$4:$X$103)+SUMPRODUCT((BXL!$AA$4:'BXL'!$AA$103=A93)*BXL!$AQ$4:$AQ$103)+SUMPRODUCT((BXL!$AB$4:'BXL'!$AB$103=A93)*BXL!$AQ$4:$AQ$103)</f>
        <v>8013.5999999999995</v>
      </c>
      <c r="C93" s="139" cm="1">
        <f t="array" ref="C93">SUMPRODUCT((BXL!$C$4:'BXL'!$C$103=A93)*BXL!$Y$4:$Y$103)+SUMPRODUCT((BXL!$AA$4:'BXL'!$AA$103=A93)*BXL!$AR$4:$AR$103)+SUMPRODUCT((BXL!$AB$4:'BXL'!$AB$103=A93)*BXL!$AR$4:$AR$103)</f>
        <v>320.54399999999998</v>
      </c>
      <c r="D93" s="136" cm="1">
        <f t="array" ref="D93">SUMPRODUCT((BXL!$C$4:'BXL'!$C$103=A93)*BXL!$O$4:$O$103)+SUMPRODUCT((BXL!$AA$4:'BXL'!$AA$103=A93)*BXL!$AM$4:$AM$103)+SUMPRODUCT((BXL!$AB$4:'BXL'!$AB$103=A93)*BXL!$AM$4:$AM$103)</f>
        <v>0</v>
      </c>
      <c r="E93" s="136" cm="1">
        <f t="array" ref="E93">SUMPRODUCT((BXL!$C$4:'BXL'!$C$103=A93)*BXL!$R$4:$R$103)+SUMPRODUCT((BXL!$AA$4:'BXL'!$AA$103=A93)*BXL!$AP$4:$AP$103)+SUMPRODUCT((BXL!$AB$4:'BXL'!$AB$103=A93)*BXL!$AP$4:$AP$103)</f>
        <v>320.54399999999998</v>
      </c>
      <c r="F93" s="136" cm="1">
        <f t="array" ref="F93">SUMPRODUCT((BXL!$C$4:'BXL'!$C$103=A93)*BXL!$V$4:$V$103)+SUMPRODUCT((BXL!$AA$4:'BXL'!$AA$103=A93)*BXL!$AS$4:$AS$103)+SUMPRODUCT((BXL!$AB$4:'BXL'!$AB$103=A93)*BXL!$AS$4:$AS$103)</f>
        <v>21.369599999999998</v>
      </c>
      <c r="G93" s="136" cm="1">
        <f t="array" ref="G93">SUMPRODUCT((BXL!$C$4:'BXL'!$C$103=A93)*BXL!$W$4:$W$103)+SUMPRODUCT((BXL!$AA$4:'BXL'!$AA$103=A93)*BXL!$AT$4:$AT$103)+SUMPRODUCT((BXL!$AB$4:'BXL'!$AB$103=A93)*BXL!$AT$4:$AT$103)</f>
        <v>21.369599999999998</v>
      </c>
      <c r="H93" s="115"/>
      <c r="I93" s="139">
        <f t="shared" si="13"/>
        <v>19210.559852500002</v>
      </c>
      <c r="J93" s="136">
        <f t="shared" si="19"/>
        <v>1473.3495500000001</v>
      </c>
      <c r="K93" s="136">
        <f t="shared" si="19"/>
        <v>17737.2103025</v>
      </c>
      <c r="L93" s="136">
        <f t="shared" si="19"/>
        <v>1257.0242186315788</v>
      </c>
      <c r="M93" s="136">
        <f t="shared" si="19"/>
        <v>1016.7786386666667</v>
      </c>
      <c r="N93" s="115"/>
      <c r="O93" s="131"/>
      <c r="P93" s="131"/>
      <c r="Q93" s="131"/>
      <c r="R93" s="115"/>
      <c r="S93" s="131"/>
      <c r="T93" s="131"/>
      <c r="U93" s="131"/>
      <c r="V93" s="115"/>
      <c r="W93" s="128">
        <f>C93*(ResourcesEmissions!$B$79-Hypotheses!$D$31*Hypotheses!H57)</f>
        <v>335.83394879999992</v>
      </c>
      <c r="X93" s="128">
        <f>C93*(ResourcesEmissions!$B$79-Hypotheses!$D$31*Hypotheses!I57)</f>
        <v>272.93748650471628</v>
      </c>
      <c r="Y93" s="128">
        <f>C93*(ResourcesEmissions!$B$79-Hypotheses!$D$31*Hypotheses!J57)</f>
        <v>194.3169086356117</v>
      </c>
      <c r="Z93" s="115"/>
      <c r="AA93" s="126">
        <f>C93*(ResourcesEmissions!$C$79-Hypotheses!$D$30*Hypotheses!H57+(1-Hypotheses!H57)*Hypotheses!$D$14+Hypotheses!H57*Hypotheses!$D$19)</f>
        <v>178.76600286167391</v>
      </c>
      <c r="AB93" s="126">
        <f>C93*(ResourcesEmissions!$C$79-Hypotheses!$D$30*Hypotheses!I57+(1-Hypotheses!I57)*Hypotheses!$D$14+Hypotheses!I57*Hypotheses!$D$19)</f>
        <v>162.72740497637659</v>
      </c>
      <c r="AC93" s="126">
        <f>C93*(ResourcesEmissions!$C$79-Hypotheses!$D$30*Hypotheses!J57+(1-Hypotheses!J57)*Hypotheses!$D$14+Hypotheses!J57*Hypotheses!$D$19)</f>
        <v>142.67915761975493</v>
      </c>
      <c r="AD93" s="115"/>
      <c r="AE93" s="126">
        <f>C93*(ResourcesEmissions!$C$79-Hypotheses!$D$30*Hypotheses!H57+(1-Hypotheses!H57)*Hypotheses!$D$14+Hypotheses!H57*Hypotheses!$D$21)</f>
        <v>179.0544924616739</v>
      </c>
      <c r="AF93" s="126">
        <f>C93*(ResourcesEmissions!$C$79-Hypotheses!$D$30*Hypotheses!I57+(1-Hypotheses!I57)*Hypotheses!$D$14+Hypotheses!I57*Hypotheses!$D$21)</f>
        <v>163.95934151080587</v>
      </c>
      <c r="AG93" s="126">
        <f>C93*(ResourcesEmissions!$C$79-Hypotheses!$D$30*Hypotheses!J57+(1-Hypotheses!J57)*Hypotheses!$D$14+Hypotheses!J57*Hypotheses!$D$21)</f>
        <v>145.09040282222077</v>
      </c>
      <c r="AH93" s="115"/>
      <c r="AI93" s="128">
        <f t="shared" si="16"/>
        <v>22243.183848508517</v>
      </c>
      <c r="AJ93" s="128">
        <f t="shared" si="16"/>
        <v>21800.612530269849</v>
      </c>
      <c r="AK93" s="128">
        <f t="shared" si="16"/>
        <v>21247.398382471511</v>
      </c>
      <c r="AL93" s="115"/>
      <c r="AM93" s="126">
        <f t="shared" si="17"/>
        <v>15245.630509415303</v>
      </c>
      <c r="AN93" s="126">
        <f t="shared" si="17"/>
        <v>15139.413393038023</v>
      </c>
      <c r="AO93" s="126">
        <f t="shared" si="17"/>
        <v>15006.641997566421</v>
      </c>
      <c r="AP93" s="115"/>
      <c r="AQ93" s="126">
        <f t="shared" si="18"/>
        <v>15245.630509415303</v>
      </c>
      <c r="AR93" s="126">
        <f t="shared" si="18"/>
        <v>15139.413393038023</v>
      </c>
      <c r="AS93" s="126">
        <f t="shared" si="18"/>
        <v>15006.641997566421</v>
      </c>
    </row>
    <row r="94" spans="1:45" x14ac:dyDescent="0.25">
      <c r="A94" s="94">
        <v>2039</v>
      </c>
      <c r="B94" s="139" cm="1">
        <f t="array" ref="B94">SUMPRODUCT((BXL!$C$4:'BXL'!$C$103=A94)*BXL!$X$4:$X$103)+SUMPRODUCT((BXL!$AA$4:'BXL'!$AA$103=A94)*BXL!$AQ$4:$AQ$103)+SUMPRODUCT((BXL!$AB$4:'BXL'!$AB$103=A94)*BXL!$AQ$4:$AQ$103)</f>
        <v>0</v>
      </c>
      <c r="C94" s="139" cm="1">
        <f t="array" ref="C94">SUMPRODUCT((BXL!$C$4:'BXL'!$C$103=A94)*BXL!$Y$4:$Y$103)+SUMPRODUCT((BXL!$AA$4:'BXL'!$AA$103=A94)*BXL!$AR$4:$AR$103)+SUMPRODUCT((BXL!$AB$4:'BXL'!$AB$103=A94)*BXL!$AR$4:$AR$103)</f>
        <v>0</v>
      </c>
      <c r="D94" s="136" cm="1">
        <f t="array" ref="D94">SUMPRODUCT((BXL!$C$4:'BXL'!$C$103=A94)*BXL!$O$4:$O$103)+SUMPRODUCT((BXL!$AA$4:'BXL'!$AA$103=A94)*BXL!$AM$4:$AM$103)+SUMPRODUCT((BXL!$AB$4:'BXL'!$AB$103=A94)*BXL!$AM$4:$AM$103)</f>
        <v>0</v>
      </c>
      <c r="E94" s="136" cm="1">
        <f t="array" ref="E94">SUMPRODUCT((BXL!$C$4:'BXL'!$C$103=A94)*BXL!$R$4:$R$103)+SUMPRODUCT((BXL!$AA$4:'BXL'!$AA$103=A94)*BXL!$AP$4:$AP$103)+SUMPRODUCT((BXL!$AB$4:'BXL'!$AB$103=A94)*BXL!$AP$4:$AP$103)</f>
        <v>0</v>
      </c>
      <c r="F94" s="136" cm="1">
        <f t="array" ref="F94">SUMPRODUCT((BXL!$C$4:'BXL'!$C$103=A94)*BXL!$V$4:$V$103)+SUMPRODUCT((BXL!$AA$4:'BXL'!$AA$103=A94)*BXL!$AS$4:$AS$103)+SUMPRODUCT((BXL!$AB$4:'BXL'!$AB$103=A94)*BXL!$AS$4:$AS$103)</f>
        <v>0</v>
      </c>
      <c r="G94" s="136" cm="1">
        <f t="array" ref="G94">SUMPRODUCT((BXL!$C$4:'BXL'!$C$103=A94)*BXL!$W$4:$W$103)+SUMPRODUCT((BXL!$AA$4:'BXL'!$AA$103=A94)*BXL!$AT$4:$AT$103)+SUMPRODUCT((BXL!$AB$4:'BXL'!$AB$103=A94)*BXL!$AT$4:$AT$103)</f>
        <v>0</v>
      </c>
      <c r="H94" s="115"/>
      <c r="I94" s="139">
        <f t="shared" si="13"/>
        <v>19210.559852500002</v>
      </c>
      <c r="J94" s="136">
        <f t="shared" si="19"/>
        <v>1473.3495500000001</v>
      </c>
      <c r="K94" s="136">
        <f t="shared" si="19"/>
        <v>17737.2103025</v>
      </c>
      <c r="L94" s="136">
        <f t="shared" si="19"/>
        <v>1257.0242186315788</v>
      </c>
      <c r="M94" s="136">
        <f t="shared" si="19"/>
        <v>1016.7786386666667</v>
      </c>
      <c r="N94" s="115"/>
      <c r="O94" s="131"/>
      <c r="P94" s="131"/>
      <c r="Q94" s="131"/>
      <c r="R94" s="115"/>
      <c r="S94" s="131"/>
      <c r="T94" s="131"/>
      <c r="U94" s="131"/>
      <c r="V94" s="115"/>
      <c r="W94" s="128">
        <f>C94*(ResourcesEmissions!$B$79-Hypotheses!$D$31*Hypotheses!H58)</f>
        <v>0</v>
      </c>
      <c r="X94" s="128">
        <f>C94*(ResourcesEmissions!$B$79-Hypotheses!$D$31*Hypotheses!I58)</f>
        <v>0</v>
      </c>
      <c r="Y94" s="128">
        <f>C94*(ResourcesEmissions!$B$79-Hypotheses!$D$31*Hypotheses!J58)</f>
        <v>0</v>
      </c>
      <c r="Z94" s="115"/>
      <c r="AA94" s="126">
        <f>C94*(ResourcesEmissions!$C$79-Hypotheses!$D$30*Hypotheses!H58+(1-Hypotheses!H58)*Hypotheses!$D$14+Hypotheses!H58*Hypotheses!$D$19)</f>
        <v>0</v>
      </c>
      <c r="AB94" s="126">
        <f>C94*(ResourcesEmissions!$C$79-Hypotheses!$D$30*Hypotheses!I58+(1-Hypotheses!I58)*Hypotheses!$D$14+Hypotheses!I58*Hypotheses!$D$19)</f>
        <v>0</v>
      </c>
      <c r="AC94" s="126">
        <f>C94*(ResourcesEmissions!$C$79-Hypotheses!$D$30*Hypotheses!J58+(1-Hypotheses!J58)*Hypotheses!$D$14+Hypotheses!J58*Hypotheses!$D$19)</f>
        <v>0</v>
      </c>
      <c r="AD94" s="115"/>
      <c r="AE94" s="126">
        <f>C94*(ResourcesEmissions!$C$79-Hypotheses!$D$30*Hypotheses!H58+(1-Hypotheses!H58)*Hypotheses!$D$14+Hypotheses!H58*Hypotheses!$D$21)</f>
        <v>0</v>
      </c>
      <c r="AF94" s="126">
        <f>C94*(ResourcesEmissions!$C$79-Hypotheses!$D$30*Hypotheses!I58+(1-Hypotheses!I58)*Hypotheses!$D$14+Hypotheses!I58*Hypotheses!$D$21)</f>
        <v>0</v>
      </c>
      <c r="AG94" s="126">
        <f>C94*(ResourcesEmissions!$C$79-Hypotheses!$D$30*Hypotheses!J58+(1-Hypotheses!J58)*Hypotheses!$D$14+Hypotheses!J58*Hypotheses!$D$21)</f>
        <v>0</v>
      </c>
      <c r="AH94" s="115"/>
      <c r="AI94" s="128">
        <f t="shared" si="16"/>
        <v>22243.183848508517</v>
      </c>
      <c r="AJ94" s="128">
        <f t="shared" si="16"/>
        <v>21800.612530269849</v>
      </c>
      <c r="AK94" s="128">
        <f t="shared" si="16"/>
        <v>21247.398382471511</v>
      </c>
      <c r="AL94" s="115"/>
      <c r="AM94" s="126">
        <f t="shared" si="17"/>
        <v>15245.630509415303</v>
      </c>
      <c r="AN94" s="126">
        <f t="shared" si="17"/>
        <v>15139.413393038023</v>
      </c>
      <c r="AO94" s="126">
        <f t="shared" si="17"/>
        <v>15006.641997566421</v>
      </c>
      <c r="AP94" s="115"/>
      <c r="AQ94" s="126">
        <f t="shared" si="18"/>
        <v>15245.630509415303</v>
      </c>
      <c r="AR94" s="126">
        <f t="shared" si="18"/>
        <v>15139.413393038023</v>
      </c>
      <c r="AS94" s="126">
        <f t="shared" si="18"/>
        <v>15006.641997566421</v>
      </c>
    </row>
    <row r="95" spans="1:45" x14ac:dyDescent="0.25">
      <c r="A95" s="94">
        <v>2040</v>
      </c>
      <c r="B95" s="139" cm="1">
        <f t="array" ref="B95">SUMPRODUCT((BXL!$C$4:'BXL'!$C$103=A95)*BXL!$X$4:$X$103)+SUMPRODUCT((BXL!$AA$4:'BXL'!$AA$103=A95)*BXL!$AQ$4:$AQ$103)+SUMPRODUCT((BXL!$AB$4:'BXL'!$AB$103=A95)*BXL!$AQ$4:$AQ$103)</f>
        <v>10022.4</v>
      </c>
      <c r="C95" s="139" cm="1">
        <f t="array" ref="C95">SUMPRODUCT((BXL!$C$4:'BXL'!$C$103=A95)*BXL!$Y$4:$Y$103)+SUMPRODUCT((BXL!$AA$4:'BXL'!$AA$103=A95)*BXL!$AR$4:$AR$103)+SUMPRODUCT((BXL!$AB$4:'BXL'!$AB$103=A95)*BXL!$AR$4:$AR$103)</f>
        <v>400.89599999999996</v>
      </c>
      <c r="D95" s="136" cm="1">
        <f t="array" ref="D95">SUMPRODUCT((BXL!$C$4:'BXL'!$C$103=A95)*BXL!$O$4:$O$103)+SUMPRODUCT((BXL!$AA$4:'BXL'!$AA$103=A95)*BXL!$AM$4:$AM$103)+SUMPRODUCT((BXL!$AB$4:'BXL'!$AB$103=A95)*BXL!$AM$4:$AM$103)</f>
        <v>0</v>
      </c>
      <c r="E95" s="136" cm="1">
        <f t="array" ref="E95">SUMPRODUCT((BXL!$C$4:'BXL'!$C$103=A95)*BXL!$R$4:$R$103)+SUMPRODUCT((BXL!$AA$4:'BXL'!$AA$103=A95)*BXL!$AP$4:$AP$103)+SUMPRODUCT((BXL!$AB$4:'BXL'!$AB$103=A95)*BXL!$AP$4:$AP$103)</f>
        <v>400.89599999999996</v>
      </c>
      <c r="F95" s="136" cm="1">
        <f t="array" ref="F95">SUMPRODUCT((BXL!$C$4:'BXL'!$C$103=A95)*BXL!$V$4:$V$103)+SUMPRODUCT((BXL!$AA$4:'BXL'!$AA$103=A95)*BXL!$AS$4:$AS$103)+SUMPRODUCT((BXL!$AB$4:'BXL'!$AB$103=A95)*BXL!$AS$4:$AS$103)</f>
        <v>26.726399999999998</v>
      </c>
      <c r="G95" s="136" cm="1">
        <f t="array" ref="G95">SUMPRODUCT((BXL!$C$4:'BXL'!$C$103=A95)*BXL!$W$4:$W$103)+SUMPRODUCT((BXL!$AA$4:'BXL'!$AA$103=A95)*BXL!$AT$4:$AT$103)+SUMPRODUCT((BXL!$AB$4:'BXL'!$AB$103=A95)*BXL!$AT$4:$AT$103)</f>
        <v>26.726399999999998</v>
      </c>
      <c r="H95" s="115"/>
      <c r="I95" s="139">
        <f t="shared" si="13"/>
        <v>19611.455852500003</v>
      </c>
      <c r="J95" s="136">
        <f t="shared" si="19"/>
        <v>1473.3495500000001</v>
      </c>
      <c r="K95" s="136">
        <f t="shared" si="19"/>
        <v>18138.1063025</v>
      </c>
      <c r="L95" s="136">
        <f t="shared" si="19"/>
        <v>1283.7506186315788</v>
      </c>
      <c r="M95" s="136">
        <f t="shared" si="19"/>
        <v>1043.5050386666667</v>
      </c>
      <c r="N95" s="115"/>
      <c r="O95" s="131"/>
      <c r="P95" s="131"/>
      <c r="Q95" s="131"/>
      <c r="R95" s="115"/>
      <c r="S95" s="131"/>
      <c r="T95" s="131"/>
      <c r="U95" s="131"/>
      <c r="V95" s="115"/>
      <c r="W95" s="128">
        <f>C95*(ResourcesEmissions!$B$79-Hypotheses!$D$31*Hypotheses!H59)</f>
        <v>420.01873919999991</v>
      </c>
      <c r="X95" s="128">
        <f>C95*(ResourcesEmissions!$B$79-Hypotheses!$D$31*Hypotheses!I59)</f>
        <v>331.10239702507107</v>
      </c>
      <c r="Y95" s="128">
        <f>C95*(ResourcesEmissions!$B$79-Hypotheses!$D$31*Hypotheses!J59)</f>
        <v>219.95696930641</v>
      </c>
      <c r="Z95" s="115"/>
      <c r="AA95" s="126">
        <f>C95*(ResourcesEmissions!$C$79-Hypotheses!$D$30*Hypotheses!H59+(1-Hypotheses!H59)*Hypotheses!$D$14+Hypotheses!H59*Hypotheses!$D$19)</f>
        <v>223.57796584317168</v>
      </c>
      <c r="AB95" s="126">
        <f>C95*(ResourcesEmissions!$C$79-Hypotheses!$D$30*Hypotheses!I59+(1-Hypotheses!I59)*Hypotheses!$D$14+Hypotheses!I59*Hypotheses!$D$19)</f>
        <v>200.90429858856484</v>
      </c>
      <c r="AC95" s="126">
        <f>C95*(ResourcesEmissions!$C$79-Hypotheses!$D$30*Hypotheses!J59+(1-Hypotheses!J59)*Hypotheses!$D$14+Hypotheses!J59*Hypotheses!$D$19)</f>
        <v>172.5622145203063</v>
      </c>
      <c r="AD95" s="115"/>
      <c r="AE95" s="126">
        <f>C95*(ResourcesEmissions!$C$79-Hypotheses!$D$30*Hypotheses!H59+(1-Hypotheses!H59)*Hypotheses!$D$14+Hypotheses!H59*Hypotheses!$D$21)</f>
        <v>223.93877224317168</v>
      </c>
      <c r="AF95" s="126">
        <f>C95*(ResourcesEmissions!$C$79-Hypotheses!$D$30*Hypotheses!I59+(1-Hypotheses!I59)*Hypotheses!$D$14+Hypotheses!I59*Hypotheses!$D$21)</f>
        <v>202.5988501211888</v>
      </c>
      <c r="AG95" s="126">
        <f>C95*(ResourcesEmissions!$C$79-Hypotheses!$D$30*Hypotheses!J59+(1-Hypotheses!J59)*Hypotheses!$D$14+Hypotheses!J59*Hypotheses!$D$21)</f>
        <v>175.92394746871014</v>
      </c>
      <c r="AH95" s="115"/>
      <c r="AI95" s="128">
        <f t="shared" si="16"/>
        <v>22663.202587708518</v>
      </c>
      <c r="AJ95" s="128">
        <f t="shared" si="16"/>
        <v>22131.714927294921</v>
      </c>
      <c r="AK95" s="128">
        <f t="shared" si="16"/>
        <v>21467.355351777922</v>
      </c>
      <c r="AL95" s="115"/>
      <c r="AM95" s="126">
        <f t="shared" si="17"/>
        <v>15469.569281658474</v>
      </c>
      <c r="AN95" s="126">
        <f t="shared" si="17"/>
        <v>15342.012243159212</v>
      </c>
      <c r="AO95" s="126">
        <f t="shared" si="17"/>
        <v>15182.56594503513</v>
      </c>
      <c r="AP95" s="115"/>
      <c r="AQ95" s="126">
        <f t="shared" si="18"/>
        <v>15469.569281658474</v>
      </c>
      <c r="AR95" s="126">
        <f t="shared" si="18"/>
        <v>15342.012243159212</v>
      </c>
      <c r="AS95" s="126">
        <f t="shared" si="18"/>
        <v>15182.56594503513</v>
      </c>
    </row>
    <row r="96" spans="1:45" x14ac:dyDescent="0.25">
      <c r="A96" s="94">
        <v>2041</v>
      </c>
      <c r="B96" s="139" cm="1">
        <f t="array" ref="B96">SUMPRODUCT((BXL!$C$4:'BXL'!$C$103=A96)*BXL!$X$4:$X$103)+SUMPRODUCT((BXL!$AA$4:'BXL'!$AA$103=A96)*BXL!$AQ$4:$AQ$103)+SUMPRODUCT((BXL!$AB$4:'BXL'!$AB$103=A96)*BXL!$AQ$4:$AQ$103)</f>
        <v>0</v>
      </c>
      <c r="C96" s="139" cm="1">
        <f t="array" ref="C96">SUMPRODUCT((BXL!$C$4:'BXL'!$C$103=A96)*BXL!$Y$4:$Y$103)+SUMPRODUCT((BXL!$AA$4:'BXL'!$AA$103=A96)*BXL!$AR$4:$AR$103)+SUMPRODUCT((BXL!$AB$4:'BXL'!$AB$103=A96)*BXL!$AR$4:$AR$103)</f>
        <v>0</v>
      </c>
      <c r="D96" s="136" cm="1">
        <f t="array" ref="D96">SUMPRODUCT((BXL!$C$4:'BXL'!$C$103=A96)*BXL!$O$4:$O$103)+SUMPRODUCT((BXL!$AA$4:'BXL'!$AA$103=A96)*BXL!$AM$4:$AM$103)+SUMPRODUCT((BXL!$AB$4:'BXL'!$AB$103=A96)*BXL!$AM$4:$AM$103)</f>
        <v>0</v>
      </c>
      <c r="E96" s="136" cm="1">
        <f t="array" ref="E96">SUMPRODUCT((BXL!$C$4:'BXL'!$C$103=A96)*BXL!$R$4:$R$103)+SUMPRODUCT((BXL!$AA$4:'BXL'!$AA$103=A96)*BXL!$AP$4:$AP$103)+SUMPRODUCT((BXL!$AB$4:'BXL'!$AB$103=A96)*BXL!$AP$4:$AP$103)</f>
        <v>0</v>
      </c>
      <c r="F96" s="136" cm="1">
        <f t="array" ref="F96">SUMPRODUCT((BXL!$C$4:'BXL'!$C$103=A96)*BXL!$V$4:$V$103)+SUMPRODUCT((BXL!$AA$4:'BXL'!$AA$103=A96)*BXL!$AS$4:$AS$103)+SUMPRODUCT((BXL!$AB$4:'BXL'!$AB$103=A96)*BXL!$AS$4:$AS$103)</f>
        <v>0</v>
      </c>
      <c r="G96" s="136" cm="1">
        <f t="array" ref="G96">SUMPRODUCT((BXL!$C$4:'BXL'!$C$103=A96)*BXL!$W$4:$W$103)+SUMPRODUCT((BXL!$AA$4:'BXL'!$AA$103=A96)*BXL!$AT$4:$AT$103)+SUMPRODUCT((BXL!$AB$4:'BXL'!$AB$103=A96)*BXL!$AT$4:$AT$103)</f>
        <v>0</v>
      </c>
      <c r="H96" s="115"/>
      <c r="I96" s="139">
        <f t="shared" si="13"/>
        <v>19611.455852500003</v>
      </c>
      <c r="J96" s="136">
        <f t="shared" si="19"/>
        <v>1473.3495500000001</v>
      </c>
      <c r="K96" s="136">
        <f t="shared" si="19"/>
        <v>18138.1063025</v>
      </c>
      <c r="L96" s="136">
        <f t="shared" si="19"/>
        <v>1283.7506186315788</v>
      </c>
      <c r="M96" s="136">
        <f t="shared" si="19"/>
        <v>1043.5050386666667</v>
      </c>
      <c r="N96" s="115"/>
      <c r="O96" s="131"/>
      <c r="P96" s="131"/>
      <c r="Q96" s="131"/>
      <c r="R96" s="115"/>
      <c r="S96" s="131"/>
      <c r="T96" s="131"/>
      <c r="U96" s="131"/>
      <c r="V96" s="115"/>
      <c r="W96" s="128">
        <f>C96*(ResourcesEmissions!$B$79-Hypotheses!$D$31*Hypotheses!H60)</f>
        <v>0</v>
      </c>
      <c r="X96" s="128">
        <f>C96*(ResourcesEmissions!$B$79-Hypotheses!$D$31*Hypotheses!I60)</f>
        <v>0</v>
      </c>
      <c r="Y96" s="128">
        <f>C96*(ResourcesEmissions!$B$79-Hypotheses!$D$31*Hypotheses!J60)</f>
        <v>0</v>
      </c>
      <c r="Z96" s="115"/>
      <c r="AA96" s="126">
        <f>C96*(ResourcesEmissions!$C$79-Hypotheses!$D$30*Hypotheses!H60+(1-Hypotheses!H60)*Hypotheses!$D$14+Hypotheses!H60*Hypotheses!$D$19)</f>
        <v>0</v>
      </c>
      <c r="AB96" s="126">
        <f>C96*(ResourcesEmissions!$C$79-Hypotheses!$D$30*Hypotheses!I60+(1-Hypotheses!I60)*Hypotheses!$D$14+Hypotheses!I60*Hypotheses!$D$19)</f>
        <v>0</v>
      </c>
      <c r="AC96" s="126">
        <f>C96*(ResourcesEmissions!$C$79-Hypotheses!$D$30*Hypotheses!J60+(1-Hypotheses!J60)*Hypotheses!$D$14+Hypotheses!J60*Hypotheses!$D$19)</f>
        <v>0</v>
      </c>
      <c r="AD96" s="115"/>
      <c r="AE96" s="126">
        <f>C96*(ResourcesEmissions!$C$79-Hypotheses!$D$30*Hypotheses!H60+(1-Hypotheses!H60)*Hypotheses!$D$14+Hypotheses!H60*Hypotheses!$D$21)</f>
        <v>0</v>
      </c>
      <c r="AF96" s="126">
        <f>C96*(ResourcesEmissions!$C$79-Hypotheses!$D$30*Hypotheses!I60+(1-Hypotheses!I60)*Hypotheses!$D$14+Hypotheses!I60*Hypotheses!$D$21)</f>
        <v>0</v>
      </c>
      <c r="AG96" s="126">
        <f>C96*(ResourcesEmissions!$C$79-Hypotheses!$D$30*Hypotheses!J60+(1-Hypotheses!J60)*Hypotheses!$D$14+Hypotheses!J60*Hypotheses!$D$21)</f>
        <v>0</v>
      </c>
      <c r="AH96" s="115"/>
      <c r="AI96" s="128">
        <f t="shared" si="16"/>
        <v>22663.202587708518</v>
      </c>
      <c r="AJ96" s="128">
        <f t="shared" si="16"/>
        <v>22131.714927294921</v>
      </c>
      <c r="AK96" s="128">
        <f t="shared" si="16"/>
        <v>21467.355351777922</v>
      </c>
      <c r="AL96" s="115"/>
      <c r="AM96" s="126">
        <f t="shared" si="17"/>
        <v>15469.569281658474</v>
      </c>
      <c r="AN96" s="126">
        <f t="shared" si="17"/>
        <v>15342.012243159212</v>
      </c>
      <c r="AO96" s="126">
        <f t="shared" si="17"/>
        <v>15182.56594503513</v>
      </c>
      <c r="AP96" s="115"/>
      <c r="AQ96" s="126">
        <f t="shared" si="18"/>
        <v>15469.569281658474</v>
      </c>
      <c r="AR96" s="126">
        <f t="shared" si="18"/>
        <v>15342.012243159212</v>
      </c>
      <c r="AS96" s="126">
        <f t="shared" si="18"/>
        <v>15182.56594503513</v>
      </c>
    </row>
    <row r="97" spans="1:45" x14ac:dyDescent="0.25">
      <c r="A97" s="94">
        <v>2042</v>
      </c>
      <c r="B97" s="139" cm="1">
        <f t="array" ref="B97">SUMPRODUCT((BXL!$C$4:'BXL'!$C$103=A97)*BXL!$X$4:$X$103)+SUMPRODUCT((BXL!$AA$4:'BXL'!$AA$103=A97)*BXL!$AQ$4:$AQ$103)+SUMPRODUCT((BXL!$AB$4:'BXL'!$AB$103=A97)*BXL!$AQ$4:$AQ$103)</f>
        <v>0</v>
      </c>
      <c r="C97" s="139" cm="1">
        <f t="array" ref="C97">SUMPRODUCT((BXL!$C$4:'BXL'!$C$103=A97)*BXL!$Y$4:$Y$103)+SUMPRODUCT((BXL!$AA$4:'BXL'!$AA$103=A97)*BXL!$AR$4:$AR$103)+SUMPRODUCT((BXL!$AB$4:'BXL'!$AB$103=A97)*BXL!$AR$4:$AR$103)</f>
        <v>0</v>
      </c>
      <c r="D97" s="136" cm="1">
        <f t="array" ref="D97">SUMPRODUCT((BXL!$C$4:'BXL'!$C$103=A97)*BXL!$O$4:$O$103)+SUMPRODUCT((BXL!$AA$4:'BXL'!$AA$103=A97)*BXL!$AM$4:$AM$103)+SUMPRODUCT((BXL!$AB$4:'BXL'!$AB$103=A97)*BXL!$AM$4:$AM$103)</f>
        <v>0</v>
      </c>
      <c r="E97" s="136" cm="1">
        <f t="array" ref="E97">SUMPRODUCT((BXL!$C$4:'BXL'!$C$103=A97)*BXL!$R$4:$R$103)+SUMPRODUCT((BXL!$AA$4:'BXL'!$AA$103=A97)*BXL!$AP$4:$AP$103)+SUMPRODUCT((BXL!$AB$4:'BXL'!$AB$103=A97)*BXL!$AP$4:$AP$103)</f>
        <v>0</v>
      </c>
      <c r="F97" s="136" cm="1">
        <f t="array" ref="F97">SUMPRODUCT((BXL!$C$4:'BXL'!$C$103=A97)*BXL!$V$4:$V$103)+SUMPRODUCT((BXL!$AA$4:'BXL'!$AA$103=A97)*BXL!$AS$4:$AS$103)+SUMPRODUCT((BXL!$AB$4:'BXL'!$AB$103=A97)*BXL!$AS$4:$AS$103)</f>
        <v>0</v>
      </c>
      <c r="G97" s="136" cm="1">
        <f t="array" ref="G97">SUMPRODUCT((BXL!$C$4:'BXL'!$C$103=A97)*BXL!$W$4:$W$103)+SUMPRODUCT((BXL!$AA$4:'BXL'!$AA$103=A97)*BXL!$AT$4:$AT$103)+SUMPRODUCT((BXL!$AB$4:'BXL'!$AB$103=A97)*BXL!$AT$4:$AT$103)</f>
        <v>0</v>
      </c>
      <c r="H97" s="115"/>
      <c r="I97" s="139">
        <f t="shared" si="13"/>
        <v>19611.455852500003</v>
      </c>
      <c r="J97" s="136">
        <f t="shared" si="19"/>
        <v>1473.3495500000001</v>
      </c>
      <c r="K97" s="136">
        <f t="shared" si="19"/>
        <v>18138.1063025</v>
      </c>
      <c r="L97" s="136">
        <f t="shared" si="19"/>
        <v>1283.7506186315788</v>
      </c>
      <c r="M97" s="136">
        <f t="shared" si="19"/>
        <v>1043.5050386666667</v>
      </c>
      <c r="N97" s="115"/>
      <c r="O97" s="131"/>
      <c r="P97" s="131"/>
      <c r="Q97" s="131"/>
      <c r="R97" s="115"/>
      <c r="S97" s="131"/>
      <c r="T97" s="131"/>
      <c r="U97" s="131"/>
      <c r="V97" s="115"/>
      <c r="W97" s="128">
        <f>C97*(ResourcesEmissions!$B$79-Hypotheses!$D$31*Hypotheses!H61)</f>
        <v>0</v>
      </c>
      <c r="X97" s="128">
        <f>C97*(ResourcesEmissions!$B$79-Hypotheses!$D$31*Hypotheses!I61)</f>
        <v>0</v>
      </c>
      <c r="Y97" s="128">
        <f>C97*(ResourcesEmissions!$B$79-Hypotheses!$D$31*Hypotheses!J61)</f>
        <v>0</v>
      </c>
      <c r="Z97" s="115"/>
      <c r="AA97" s="126">
        <f>C97*(ResourcesEmissions!$C$79-Hypotheses!$D$30*Hypotheses!H61+(1-Hypotheses!H61)*Hypotheses!$D$14+Hypotheses!H61*Hypotheses!$D$19)</f>
        <v>0</v>
      </c>
      <c r="AB97" s="126">
        <f>C97*(ResourcesEmissions!$C$79-Hypotheses!$D$30*Hypotheses!I61+(1-Hypotheses!I61)*Hypotheses!$D$14+Hypotheses!I61*Hypotheses!$D$19)</f>
        <v>0</v>
      </c>
      <c r="AC97" s="126">
        <f>C97*(ResourcesEmissions!$C$79-Hypotheses!$D$30*Hypotheses!J61+(1-Hypotheses!J61)*Hypotheses!$D$14+Hypotheses!J61*Hypotheses!$D$19)</f>
        <v>0</v>
      </c>
      <c r="AD97" s="115"/>
      <c r="AE97" s="126">
        <f>C97*(ResourcesEmissions!$C$79-Hypotheses!$D$30*Hypotheses!H61+(1-Hypotheses!H61)*Hypotheses!$D$14+Hypotheses!H61*Hypotheses!$D$21)</f>
        <v>0</v>
      </c>
      <c r="AF97" s="126">
        <f>C97*(ResourcesEmissions!$C$79-Hypotheses!$D$30*Hypotheses!I61+(1-Hypotheses!I61)*Hypotheses!$D$14+Hypotheses!I61*Hypotheses!$D$21)</f>
        <v>0</v>
      </c>
      <c r="AG97" s="126">
        <f>C97*(ResourcesEmissions!$C$79-Hypotheses!$D$30*Hypotheses!J61+(1-Hypotheses!J61)*Hypotheses!$D$14+Hypotheses!J61*Hypotheses!$D$21)</f>
        <v>0</v>
      </c>
      <c r="AH97" s="115"/>
      <c r="AI97" s="128">
        <f t="shared" ref="AI97:AK112" si="20">W97+AI96</f>
        <v>22663.202587708518</v>
      </c>
      <c r="AJ97" s="128">
        <f t="shared" si="20"/>
        <v>22131.714927294921</v>
      </c>
      <c r="AK97" s="128">
        <f t="shared" si="20"/>
        <v>21467.355351777922</v>
      </c>
      <c r="AL97" s="115"/>
      <c r="AM97" s="126">
        <f t="shared" ref="AM97:AO112" si="21">AE97+AM96</f>
        <v>15469.569281658474</v>
      </c>
      <c r="AN97" s="126">
        <f t="shared" si="21"/>
        <v>15342.012243159212</v>
      </c>
      <c r="AO97" s="126">
        <f t="shared" si="21"/>
        <v>15182.56594503513</v>
      </c>
      <c r="AP97" s="115"/>
      <c r="AQ97" s="126">
        <f t="shared" ref="AQ97:AS112" si="22">AE97+AQ96</f>
        <v>15469.569281658474</v>
      </c>
      <c r="AR97" s="126">
        <f t="shared" si="22"/>
        <v>15342.012243159212</v>
      </c>
      <c r="AS97" s="126">
        <f t="shared" si="22"/>
        <v>15182.56594503513</v>
      </c>
    </row>
    <row r="98" spans="1:45" x14ac:dyDescent="0.25">
      <c r="A98" s="94">
        <v>2043</v>
      </c>
      <c r="B98" s="139" cm="1">
        <f t="array" ref="B98">SUMPRODUCT((BXL!$C$4:'BXL'!$C$103=A98)*BXL!$X$4:$X$103)+SUMPRODUCT((BXL!$AA$4:'BXL'!$AA$103=A98)*BXL!$AQ$4:$AQ$103)+SUMPRODUCT((BXL!$AB$4:'BXL'!$AB$103=A98)*BXL!$AQ$4:$AQ$103)</f>
        <v>0</v>
      </c>
      <c r="C98" s="139" cm="1">
        <f t="array" ref="C98">SUMPRODUCT((BXL!$C$4:'BXL'!$C$103=A98)*BXL!$Y$4:$Y$103)+SUMPRODUCT((BXL!$AA$4:'BXL'!$AA$103=A98)*BXL!$AR$4:$AR$103)+SUMPRODUCT((BXL!$AB$4:'BXL'!$AB$103=A98)*BXL!$AR$4:$AR$103)</f>
        <v>0</v>
      </c>
      <c r="D98" s="136" cm="1">
        <f t="array" ref="D98">SUMPRODUCT((BXL!$C$4:'BXL'!$C$103=A98)*BXL!$O$4:$O$103)+SUMPRODUCT((BXL!$AA$4:'BXL'!$AA$103=A98)*BXL!$AM$4:$AM$103)+SUMPRODUCT((BXL!$AB$4:'BXL'!$AB$103=A98)*BXL!$AM$4:$AM$103)</f>
        <v>0</v>
      </c>
      <c r="E98" s="136" cm="1">
        <f t="array" ref="E98">SUMPRODUCT((BXL!$C$4:'BXL'!$C$103=A98)*BXL!$R$4:$R$103)+SUMPRODUCT((BXL!$AA$4:'BXL'!$AA$103=A98)*BXL!$AP$4:$AP$103)+SUMPRODUCT((BXL!$AB$4:'BXL'!$AB$103=A98)*BXL!$AP$4:$AP$103)</f>
        <v>0</v>
      </c>
      <c r="F98" s="136" cm="1">
        <f t="array" ref="F98">SUMPRODUCT((BXL!$C$4:'BXL'!$C$103=A98)*BXL!$V$4:$V$103)+SUMPRODUCT((BXL!$AA$4:'BXL'!$AA$103=A98)*BXL!$AS$4:$AS$103)+SUMPRODUCT((BXL!$AB$4:'BXL'!$AB$103=A98)*BXL!$AS$4:$AS$103)</f>
        <v>0</v>
      </c>
      <c r="G98" s="136" cm="1">
        <f t="array" ref="G98">SUMPRODUCT((BXL!$C$4:'BXL'!$C$103=A98)*BXL!$W$4:$W$103)+SUMPRODUCT((BXL!$AA$4:'BXL'!$AA$103=A98)*BXL!$AT$4:$AT$103)+SUMPRODUCT((BXL!$AB$4:'BXL'!$AB$103=A98)*BXL!$AT$4:$AT$103)</f>
        <v>0</v>
      </c>
      <c r="H98" s="115"/>
      <c r="I98" s="139">
        <f t="shared" si="13"/>
        <v>19611.455852500003</v>
      </c>
      <c r="J98" s="136">
        <f t="shared" si="19"/>
        <v>1473.3495500000001</v>
      </c>
      <c r="K98" s="136">
        <f t="shared" si="19"/>
        <v>18138.1063025</v>
      </c>
      <c r="L98" s="136">
        <f t="shared" si="19"/>
        <v>1283.7506186315788</v>
      </c>
      <c r="M98" s="136">
        <f t="shared" si="19"/>
        <v>1043.5050386666667</v>
      </c>
      <c r="N98" s="115"/>
      <c r="O98" s="131"/>
      <c r="P98" s="131"/>
      <c r="Q98" s="131"/>
      <c r="R98" s="115"/>
      <c r="S98" s="131"/>
      <c r="T98" s="131"/>
      <c r="U98" s="131"/>
      <c r="V98" s="115"/>
      <c r="W98" s="128">
        <f>C98*(ResourcesEmissions!$B$79-Hypotheses!$D$31*Hypotheses!H62)</f>
        <v>0</v>
      </c>
      <c r="X98" s="128">
        <f>C98*(ResourcesEmissions!$B$79-Hypotheses!$D$31*Hypotheses!I62)</f>
        <v>0</v>
      </c>
      <c r="Y98" s="128">
        <f>C98*(ResourcesEmissions!$B$79-Hypotheses!$D$31*Hypotheses!J62)</f>
        <v>0</v>
      </c>
      <c r="Z98" s="115"/>
      <c r="AA98" s="126">
        <f>C98*(ResourcesEmissions!$C$79-Hypotheses!$D$30*Hypotheses!H62+(1-Hypotheses!H62)*Hypotheses!$D$14+Hypotheses!H62*Hypotheses!$D$19)</f>
        <v>0</v>
      </c>
      <c r="AB98" s="126">
        <f>C98*(ResourcesEmissions!$C$79-Hypotheses!$D$30*Hypotheses!I62+(1-Hypotheses!I62)*Hypotheses!$D$14+Hypotheses!I62*Hypotheses!$D$19)</f>
        <v>0</v>
      </c>
      <c r="AC98" s="126">
        <f>C98*(ResourcesEmissions!$C$79-Hypotheses!$D$30*Hypotheses!J62+(1-Hypotheses!J62)*Hypotheses!$D$14+Hypotheses!J62*Hypotheses!$D$19)</f>
        <v>0</v>
      </c>
      <c r="AD98" s="115"/>
      <c r="AE98" s="126">
        <f>C98*(ResourcesEmissions!$C$79-Hypotheses!$D$30*Hypotheses!H62+(1-Hypotheses!H62)*Hypotheses!$D$14+Hypotheses!H62*Hypotheses!$D$21)</f>
        <v>0</v>
      </c>
      <c r="AF98" s="126">
        <f>C98*(ResourcesEmissions!$C$79-Hypotheses!$D$30*Hypotheses!I62+(1-Hypotheses!I62)*Hypotheses!$D$14+Hypotheses!I62*Hypotheses!$D$21)</f>
        <v>0</v>
      </c>
      <c r="AG98" s="126">
        <f>C98*(ResourcesEmissions!$C$79-Hypotheses!$D$30*Hypotheses!J62+(1-Hypotheses!J62)*Hypotheses!$D$14+Hypotheses!J62*Hypotheses!$D$21)</f>
        <v>0</v>
      </c>
      <c r="AH98" s="115"/>
      <c r="AI98" s="128">
        <f t="shared" si="20"/>
        <v>22663.202587708518</v>
      </c>
      <c r="AJ98" s="128">
        <f t="shared" si="20"/>
        <v>22131.714927294921</v>
      </c>
      <c r="AK98" s="128">
        <f t="shared" si="20"/>
        <v>21467.355351777922</v>
      </c>
      <c r="AL98" s="115"/>
      <c r="AM98" s="126">
        <f t="shared" si="21"/>
        <v>15469.569281658474</v>
      </c>
      <c r="AN98" s="126">
        <f t="shared" si="21"/>
        <v>15342.012243159212</v>
      </c>
      <c r="AO98" s="126">
        <f t="shared" si="21"/>
        <v>15182.56594503513</v>
      </c>
      <c r="AP98" s="115"/>
      <c r="AQ98" s="126">
        <f t="shared" si="22"/>
        <v>15469.569281658474</v>
      </c>
      <c r="AR98" s="126">
        <f t="shared" si="22"/>
        <v>15342.012243159212</v>
      </c>
      <c r="AS98" s="126">
        <f t="shared" si="22"/>
        <v>15182.56594503513</v>
      </c>
    </row>
    <row r="99" spans="1:45" x14ac:dyDescent="0.25">
      <c r="A99" s="94">
        <v>2044</v>
      </c>
      <c r="B99" s="139" cm="1">
        <f t="array" ref="B99">SUMPRODUCT((BXL!$C$4:'BXL'!$C$103=A99)*BXL!$X$4:$X$103)+SUMPRODUCT((BXL!$AA$4:'BXL'!$AA$103=A99)*BXL!$AQ$4:$AQ$103)+SUMPRODUCT((BXL!$AB$4:'BXL'!$AB$103=A99)*BXL!$AQ$4:$AQ$103)</f>
        <v>39193.199999999997</v>
      </c>
      <c r="C99" s="139" cm="1">
        <f t="array" ref="C99">SUMPRODUCT((BXL!$C$4:'BXL'!$C$103=A99)*BXL!$Y$4:$Y$103)+SUMPRODUCT((BXL!$AA$4:'BXL'!$AA$103=A99)*BXL!$AR$4:$AR$103)+SUMPRODUCT((BXL!$AB$4:'BXL'!$AB$103=A99)*BXL!$AR$4:$AR$103)</f>
        <v>1240.3890000000001</v>
      </c>
      <c r="D99" s="136" cm="1">
        <f t="array" ref="D99">SUMPRODUCT((BXL!$C$4:'BXL'!$C$103=A99)*BXL!$O$4:$O$103)+SUMPRODUCT((BXL!$AA$4:'BXL'!$AA$103=A99)*BXL!$AM$4:$AM$103)+SUMPRODUCT((BXL!$AB$4:'BXL'!$AB$103=A99)*BXL!$AM$4:$AM$103)</f>
        <v>243.14400000000001</v>
      </c>
      <c r="E99" s="136" cm="1">
        <f t="array" ref="E99">SUMPRODUCT((BXL!$C$4:'BXL'!$C$103=A99)*BXL!$R$4:$R$103)+SUMPRODUCT((BXL!$AA$4:'BXL'!$AA$103=A99)*BXL!$AP$4:$AP$103)+SUMPRODUCT((BXL!$AB$4:'BXL'!$AB$103=A99)*BXL!$AP$4:$AP$103)</f>
        <v>997.245</v>
      </c>
      <c r="F99" s="136" cm="1">
        <f t="array" ref="F99">SUMPRODUCT((BXL!$C$4:'BXL'!$C$103=A99)*BXL!$V$4:$V$103)+SUMPRODUCT((BXL!$AA$4:'BXL'!$AA$103=A99)*BXL!$AS$4:$AS$103)+SUMPRODUCT((BXL!$AB$4:'BXL'!$AB$103=A99)*BXL!$AS$4:$AS$103)</f>
        <v>95.494854000000004</v>
      </c>
      <c r="G99" s="136" cm="1">
        <f t="array" ref="G99">SUMPRODUCT((BXL!$C$4:'BXL'!$C$103=A99)*BXL!$W$4:$W$103)+SUMPRODUCT((BXL!$AA$4:'BXL'!$AA$103=A99)*BXL!$AT$4:$AT$103)+SUMPRODUCT((BXL!$AB$4:'BXL'!$AB$103=A99)*BXL!$AT$4:$AT$103)</f>
        <v>56.143800000000006</v>
      </c>
      <c r="H99" s="115"/>
      <c r="I99" s="139">
        <f t="shared" si="13"/>
        <v>20851.844852500002</v>
      </c>
      <c r="J99" s="136">
        <f t="shared" si="19"/>
        <v>1716.4935500000001</v>
      </c>
      <c r="K99" s="136">
        <f t="shared" si="19"/>
        <v>19135.351302499999</v>
      </c>
      <c r="L99" s="136">
        <f t="shared" si="19"/>
        <v>1379.2454726315789</v>
      </c>
      <c r="M99" s="136">
        <f t="shared" si="19"/>
        <v>1099.6488386666667</v>
      </c>
      <c r="N99" s="115"/>
      <c r="O99" s="131"/>
      <c r="P99" s="131"/>
      <c r="Q99" s="131"/>
      <c r="R99" s="115"/>
      <c r="S99" s="131"/>
      <c r="T99" s="131"/>
      <c r="U99" s="131"/>
      <c r="V99" s="115"/>
      <c r="W99" s="128">
        <f>C99*(ResourcesEmissions!$B$79-Hypotheses!$D$31*Hypotheses!H63)</f>
        <v>1299.5555552999999</v>
      </c>
      <c r="X99" s="128">
        <f>C99*(ResourcesEmissions!$B$79-Hypotheses!$D$31*Hypotheses!I63)</f>
        <v>1005.1329351678285</v>
      </c>
      <c r="Y99" s="128">
        <f>C99*(ResourcesEmissions!$B$79-Hypotheses!$D$31*Hypotheses!J63)</f>
        <v>637.1046600026142</v>
      </c>
      <c r="Z99" s="115"/>
      <c r="AA99" s="126">
        <f>C99*(ResourcesEmissions!$C$79-Hypotheses!$D$30*Hypotheses!H63+(1-Hypotheses!H63)*Hypotheses!$D$14+Hypotheses!H63*Hypotheses!$D$19)</f>
        <v>691.75958222143879</v>
      </c>
      <c r="AB99" s="126">
        <f>C99*(ResourcesEmissions!$C$79-Hypotheses!$D$30*Hypotheses!I63+(1-Hypotheses!I63)*Hypotheses!$D$14+Hypotheses!I63*Hypotheses!$D$19)</f>
        <v>616.68181408773512</v>
      </c>
      <c r="AC99" s="126">
        <f>C99*(ResourcesEmissions!$C$79-Hypotheses!$D$30*Hypotheses!J63+(1-Hypotheses!J63)*Hypotheses!$D$14+Hypotheses!J63*Hypotheses!$D$19)</f>
        <v>522.83460392060545</v>
      </c>
      <c r="AD99" s="115"/>
      <c r="AE99" s="126">
        <f>C99*(ResourcesEmissions!$C$79-Hypotheses!$D$30*Hypotheses!H63+(1-Hypotheses!H63)*Hypotheses!$D$14+Hypotheses!H63*Hypotheses!$D$21)</f>
        <v>692.87593232143877</v>
      </c>
      <c r="AF99" s="126">
        <f>C99*(ResourcesEmissions!$C$79-Hypotheses!$D$30*Hypotheses!I63+(1-Hypotheses!I63)*Hypotheses!$D$14+Hypotheses!I63*Hypotheses!$D$21)</f>
        <v>622.21450348971769</v>
      </c>
      <c r="AG99" s="126">
        <f>C99*(ResourcesEmissions!$C$79-Hypotheses!$D$30*Hypotheses!J63+(1-Hypotheses!J63)*Hypotheses!$D$14+Hypotheses!J63*Hypotheses!$D$21)</f>
        <v>533.88771745006625</v>
      </c>
      <c r="AH99" s="115"/>
      <c r="AI99" s="128">
        <f t="shared" si="20"/>
        <v>23962.758143008519</v>
      </c>
      <c r="AJ99" s="128">
        <f t="shared" si="20"/>
        <v>23136.84786246275</v>
      </c>
      <c r="AK99" s="128">
        <f t="shared" si="20"/>
        <v>22104.460011780535</v>
      </c>
      <c r="AL99" s="115"/>
      <c r="AM99" s="126">
        <f t="shared" si="21"/>
        <v>16162.445213979912</v>
      </c>
      <c r="AN99" s="126">
        <f t="shared" si="21"/>
        <v>15964.22674664893</v>
      </c>
      <c r="AO99" s="126">
        <f t="shared" si="21"/>
        <v>15716.453662485197</v>
      </c>
      <c r="AP99" s="115"/>
      <c r="AQ99" s="126">
        <f t="shared" si="22"/>
        <v>16162.445213979912</v>
      </c>
      <c r="AR99" s="126">
        <f t="shared" si="22"/>
        <v>15964.22674664893</v>
      </c>
      <c r="AS99" s="126">
        <f t="shared" si="22"/>
        <v>15716.453662485197</v>
      </c>
    </row>
    <row r="100" spans="1:45" x14ac:dyDescent="0.25">
      <c r="A100" s="94">
        <v>2045</v>
      </c>
      <c r="B100" s="139" cm="1">
        <f t="array" ref="B100">SUMPRODUCT((BXL!$C$4:'BXL'!$C$103=A100)*BXL!$X$4:$X$103)+SUMPRODUCT((BXL!$AA$4:'BXL'!$AA$103=A100)*BXL!$AQ$4:$AQ$103)+SUMPRODUCT((BXL!$AB$4:'BXL'!$AB$103=A100)*BXL!$AQ$4:$AQ$103)</f>
        <v>0</v>
      </c>
      <c r="C100" s="139" cm="1">
        <f t="array" ref="C100">SUMPRODUCT((BXL!$C$4:'BXL'!$C$103=A100)*BXL!$Y$4:$Y$103)+SUMPRODUCT((BXL!$AA$4:'BXL'!$AA$103=A100)*BXL!$AR$4:$AR$103)+SUMPRODUCT((BXL!$AB$4:'BXL'!$AB$103=A100)*BXL!$AR$4:$AR$103)</f>
        <v>0</v>
      </c>
      <c r="D100" s="136" cm="1">
        <f t="array" ref="D100">SUMPRODUCT((BXL!$C$4:'BXL'!$C$103=A100)*BXL!$O$4:$O$103)+SUMPRODUCT((BXL!$AA$4:'BXL'!$AA$103=A100)*BXL!$AM$4:$AM$103)+SUMPRODUCT((BXL!$AB$4:'BXL'!$AB$103=A100)*BXL!$AM$4:$AM$103)</f>
        <v>0</v>
      </c>
      <c r="E100" s="136" cm="1">
        <f t="array" ref="E100">SUMPRODUCT((BXL!$C$4:'BXL'!$C$103=A100)*BXL!$R$4:$R$103)+SUMPRODUCT((BXL!$AA$4:'BXL'!$AA$103=A100)*BXL!$AP$4:$AP$103)+SUMPRODUCT((BXL!$AB$4:'BXL'!$AB$103=A100)*BXL!$AP$4:$AP$103)</f>
        <v>0</v>
      </c>
      <c r="F100" s="136" cm="1">
        <f t="array" ref="F100">SUMPRODUCT((BXL!$C$4:'BXL'!$C$103=A100)*BXL!$V$4:$V$103)+SUMPRODUCT((BXL!$AA$4:'BXL'!$AA$103=A100)*BXL!$AS$4:$AS$103)+SUMPRODUCT((BXL!$AB$4:'BXL'!$AB$103=A100)*BXL!$AS$4:$AS$103)</f>
        <v>0</v>
      </c>
      <c r="G100" s="136" cm="1">
        <f t="array" ref="G100">SUMPRODUCT((BXL!$C$4:'BXL'!$C$103=A100)*BXL!$W$4:$W$103)+SUMPRODUCT((BXL!$AA$4:'BXL'!$AA$103=A100)*BXL!$AT$4:$AT$103)+SUMPRODUCT((BXL!$AB$4:'BXL'!$AB$103=A100)*BXL!$AT$4:$AT$103)</f>
        <v>0</v>
      </c>
      <c r="H100" s="115"/>
      <c r="I100" s="139">
        <f t="shared" si="13"/>
        <v>20851.844852500002</v>
      </c>
      <c r="J100" s="136">
        <f t="shared" si="19"/>
        <v>1716.4935500000001</v>
      </c>
      <c r="K100" s="136">
        <f t="shared" si="19"/>
        <v>19135.351302499999</v>
      </c>
      <c r="L100" s="136">
        <f t="shared" si="19"/>
        <v>1379.2454726315789</v>
      </c>
      <c r="M100" s="136">
        <f t="shared" si="19"/>
        <v>1099.6488386666667</v>
      </c>
      <c r="N100" s="115"/>
      <c r="O100" s="131"/>
      <c r="P100" s="131"/>
      <c r="Q100" s="131"/>
      <c r="R100" s="115"/>
      <c r="S100" s="131"/>
      <c r="T100" s="131"/>
      <c r="U100" s="131"/>
      <c r="V100" s="115"/>
      <c r="W100" s="128">
        <f>C100*(ResourcesEmissions!$B$79-Hypotheses!$D$31*Hypotheses!H64)</f>
        <v>0</v>
      </c>
      <c r="X100" s="128">
        <f>C100*(ResourcesEmissions!$B$79-Hypotheses!$D$31*Hypotheses!I64)</f>
        <v>0</v>
      </c>
      <c r="Y100" s="128">
        <f>C100*(ResourcesEmissions!$B$79-Hypotheses!$D$31*Hypotheses!J64)</f>
        <v>0</v>
      </c>
      <c r="Z100" s="115"/>
      <c r="AA100" s="126">
        <f>C100*(ResourcesEmissions!$C$79-Hypotheses!$D$30*Hypotheses!H64+(1-Hypotheses!H64)*Hypotheses!$D$14+Hypotheses!H64*Hypotheses!$D$19)</f>
        <v>0</v>
      </c>
      <c r="AB100" s="126">
        <f>C100*(ResourcesEmissions!$C$79-Hypotheses!$D$30*Hypotheses!I64+(1-Hypotheses!I64)*Hypotheses!$D$14+Hypotheses!I64*Hypotheses!$D$19)</f>
        <v>0</v>
      </c>
      <c r="AC100" s="126">
        <f>C100*(ResourcesEmissions!$C$79-Hypotheses!$D$30*Hypotheses!J64+(1-Hypotheses!J64)*Hypotheses!$D$14+Hypotheses!J64*Hypotheses!$D$19)</f>
        <v>0</v>
      </c>
      <c r="AD100" s="115"/>
      <c r="AE100" s="126">
        <f>C100*(ResourcesEmissions!$C$79-Hypotheses!$D$30*Hypotheses!H64+(1-Hypotheses!H64)*Hypotheses!$D$14+Hypotheses!H64*Hypotheses!$D$21)</f>
        <v>0</v>
      </c>
      <c r="AF100" s="126">
        <f>C100*(ResourcesEmissions!$C$79-Hypotheses!$D$30*Hypotheses!I64+(1-Hypotheses!I64)*Hypotheses!$D$14+Hypotheses!I64*Hypotheses!$D$21)</f>
        <v>0</v>
      </c>
      <c r="AG100" s="126">
        <f>C100*(ResourcesEmissions!$C$79-Hypotheses!$D$30*Hypotheses!J64+(1-Hypotheses!J64)*Hypotheses!$D$14+Hypotheses!J64*Hypotheses!$D$21)</f>
        <v>0</v>
      </c>
      <c r="AH100" s="115"/>
      <c r="AI100" s="128">
        <f t="shared" si="20"/>
        <v>23962.758143008519</v>
      </c>
      <c r="AJ100" s="128">
        <f t="shared" si="20"/>
        <v>23136.84786246275</v>
      </c>
      <c r="AK100" s="128">
        <f t="shared" si="20"/>
        <v>22104.460011780535</v>
      </c>
      <c r="AL100" s="115"/>
      <c r="AM100" s="126">
        <f t="shared" si="21"/>
        <v>16162.445213979912</v>
      </c>
      <c r="AN100" s="126">
        <f t="shared" si="21"/>
        <v>15964.22674664893</v>
      </c>
      <c r="AO100" s="126">
        <f t="shared" si="21"/>
        <v>15716.453662485197</v>
      </c>
      <c r="AP100" s="115"/>
      <c r="AQ100" s="126">
        <f t="shared" si="22"/>
        <v>16162.445213979912</v>
      </c>
      <c r="AR100" s="126">
        <f t="shared" si="22"/>
        <v>15964.22674664893</v>
      </c>
      <c r="AS100" s="126">
        <f t="shared" si="22"/>
        <v>15716.453662485197</v>
      </c>
    </row>
    <row r="101" spans="1:45" x14ac:dyDescent="0.25">
      <c r="A101" s="94">
        <v>2046</v>
      </c>
      <c r="B101" s="139" cm="1">
        <f t="array" ref="B101">SUMPRODUCT((BXL!$C$4:'BXL'!$C$103=A101)*BXL!$X$4:$X$103)+SUMPRODUCT((BXL!$AA$4:'BXL'!$AA$103=A101)*BXL!$AQ$4:$AQ$103)+SUMPRODUCT((BXL!$AB$4:'BXL'!$AB$103=A101)*BXL!$AQ$4:$AQ$103)</f>
        <v>65170.375</v>
      </c>
      <c r="C101" s="139" cm="1">
        <f t="array" ref="C101">SUMPRODUCT((BXL!$C$4:'BXL'!$C$103=A101)*BXL!$Y$4:$Y$103)+SUMPRODUCT((BXL!$AA$4:'BXL'!$AA$103=A101)*BXL!$AR$4:$AR$103)+SUMPRODUCT((BXL!$AB$4:'BXL'!$AB$103=A101)*BXL!$AR$4:$AR$103)</f>
        <v>2262.4974999999999</v>
      </c>
      <c r="D101" s="136" cm="1">
        <f t="array" ref="D101">SUMPRODUCT((BXL!$C$4:'BXL'!$C$103=A101)*BXL!$O$4:$O$103)+SUMPRODUCT((BXL!$AA$4:'BXL'!$AA$103=A101)*BXL!$AM$4:$AM$103)+SUMPRODUCT((BXL!$AB$4:'BXL'!$AB$103=A101)*BXL!$AM$4:$AM$103)</f>
        <v>344.3175</v>
      </c>
      <c r="E101" s="136" cm="1">
        <f t="array" ref="E101">SUMPRODUCT((BXL!$C$4:'BXL'!$C$103=A101)*BXL!$R$4:$R$103)+SUMPRODUCT((BXL!$AA$4:'BXL'!$AA$103=A101)*BXL!$AP$4:$AP$103)+SUMPRODUCT((BXL!$AB$4:'BXL'!$AB$103=A101)*BXL!$AP$4:$AP$103)</f>
        <v>1918.1799999999998</v>
      </c>
      <c r="F101" s="136" cm="1">
        <f t="array" ref="F101">SUMPRODUCT((BXL!$C$4:'BXL'!$C$103=A101)*BXL!$V$4:$V$103)+SUMPRODUCT((BXL!$AA$4:'BXL'!$AA$103=A101)*BXL!$AS$4:$AS$103)+SUMPRODUCT((BXL!$AB$4:'BXL'!$AB$103=A101)*BXL!$AS$4:$AS$103)</f>
        <v>156.44426666666666</v>
      </c>
      <c r="G101" s="136" cm="1">
        <f t="array" ref="G101">SUMPRODUCT((BXL!$C$4:'BXL'!$C$103=A101)*BXL!$W$4:$W$103)+SUMPRODUCT((BXL!$AA$4:'BXL'!$AA$103=A101)*BXL!$AT$4:$AT$103)+SUMPRODUCT((BXL!$AB$4:'BXL'!$AB$103=A101)*BXL!$AT$4:$AT$103)</f>
        <v>116.14636666666667</v>
      </c>
      <c r="H101" s="115"/>
      <c r="I101" s="139">
        <f t="shared" si="13"/>
        <v>23114.342352500003</v>
      </c>
      <c r="J101" s="136">
        <f t="shared" si="19"/>
        <v>2060.8110500000003</v>
      </c>
      <c r="K101" s="136">
        <f t="shared" si="19"/>
        <v>21053.5313025</v>
      </c>
      <c r="L101" s="136">
        <f t="shared" si="19"/>
        <v>1535.6897392982455</v>
      </c>
      <c r="M101" s="136">
        <f t="shared" si="19"/>
        <v>1215.7952053333333</v>
      </c>
      <c r="N101" s="115"/>
      <c r="O101" s="131"/>
      <c r="P101" s="131"/>
      <c r="Q101" s="131"/>
      <c r="R101" s="115"/>
      <c r="S101" s="131"/>
      <c r="T101" s="131"/>
      <c r="U101" s="131"/>
      <c r="V101" s="115"/>
      <c r="W101" s="128">
        <f>C101*(ResourcesEmissions!$B$79-Hypotheses!$D$31*Hypotheses!H65)</f>
        <v>2370.4186307499995</v>
      </c>
      <c r="X101" s="128">
        <f>C101*(ResourcesEmissions!$B$79-Hypotheses!$D$31*Hypotheses!I65)</f>
        <v>1829.6293130876488</v>
      </c>
      <c r="Y101" s="128">
        <f>C101*(ResourcesEmissions!$B$79-Hypotheses!$D$31*Hypotheses!J65)</f>
        <v>1153.64266600971</v>
      </c>
      <c r="Z101" s="115"/>
      <c r="AA101" s="126">
        <f>C101*(ResourcesEmissions!$C$79-Hypotheses!$D$30*Hypotheses!H65+(1-Hypotheses!H65)*Hypotheses!$D$14+Hypotheses!H65*Hypotheses!$D$19)</f>
        <v>1261.785073373796</v>
      </c>
      <c r="AB101" s="126">
        <f>C101*(ResourcesEmissions!$C$79-Hypotheses!$D$30*Hypotheses!I65+(1-Hypotheses!I65)*Hypotheses!$D$14+Hypotheses!I65*Hypotheses!$D$19)</f>
        <v>1123.8837973698967</v>
      </c>
      <c r="AC101" s="126">
        <f>C101*(ResourcesEmissions!$C$79-Hypotheses!$D$30*Hypotheses!J65+(1-Hypotheses!J65)*Hypotheses!$D$14+Hypotheses!J65*Hypotheses!$D$19)</f>
        <v>951.50720236502241</v>
      </c>
      <c r="AD101" s="115"/>
      <c r="AE101" s="126">
        <f>C101*(ResourcesEmissions!$C$79-Hypotheses!$D$30*Hypotheses!H65+(1-Hypotheses!H65)*Hypotheses!$D$14+Hypotheses!H65*Hypotheses!$D$21)</f>
        <v>1263.821321123796</v>
      </c>
      <c r="AF101" s="126">
        <f>C101*(ResourcesEmissions!$C$79-Hypotheses!$D$30*Hypotheses!I65+(1-Hypotheses!I65)*Hypotheses!$D$14+Hypotheses!I65*Hypotheses!$D$21)</f>
        <v>1134.0318848848319</v>
      </c>
      <c r="AG101" s="126">
        <f>C101*(ResourcesEmissions!$C$79-Hypotheses!$D$30*Hypotheses!J65+(1-Hypotheses!J65)*Hypotheses!$D$14+Hypotheses!J65*Hypotheses!$D$21)</f>
        <v>971.79508958612666</v>
      </c>
      <c r="AH101" s="115"/>
      <c r="AI101" s="128">
        <f t="shared" si="20"/>
        <v>26333.176773758518</v>
      </c>
      <c r="AJ101" s="128">
        <f t="shared" si="20"/>
        <v>24966.477175550397</v>
      </c>
      <c r="AK101" s="128">
        <f t="shared" si="20"/>
        <v>23258.102677790244</v>
      </c>
      <c r="AL101" s="115"/>
      <c r="AM101" s="126">
        <f t="shared" si="21"/>
        <v>17426.266535103707</v>
      </c>
      <c r="AN101" s="126">
        <f t="shared" si="21"/>
        <v>17098.258631533761</v>
      </c>
      <c r="AO101" s="126">
        <f t="shared" si="21"/>
        <v>16688.248752071322</v>
      </c>
      <c r="AP101" s="115"/>
      <c r="AQ101" s="126">
        <f t="shared" si="22"/>
        <v>17426.266535103707</v>
      </c>
      <c r="AR101" s="126">
        <f t="shared" si="22"/>
        <v>17098.258631533761</v>
      </c>
      <c r="AS101" s="126">
        <f t="shared" si="22"/>
        <v>16688.248752071322</v>
      </c>
    </row>
    <row r="102" spans="1:45" x14ac:dyDescent="0.25">
      <c r="A102" s="94">
        <v>2047</v>
      </c>
      <c r="B102" s="139" cm="1">
        <f t="array" ref="B102">SUMPRODUCT((BXL!$C$4:'BXL'!$C$103=A102)*BXL!$X$4:$X$103)+SUMPRODUCT((BXL!$AA$4:'BXL'!$AA$103=A102)*BXL!$AQ$4:$AQ$103)+SUMPRODUCT((BXL!$AB$4:'BXL'!$AB$103=A102)*BXL!$AQ$4:$AQ$103)</f>
        <v>16000</v>
      </c>
      <c r="C102" s="139" cm="1">
        <f t="array" ref="C102">SUMPRODUCT((BXL!$C$4:'BXL'!$C$103=A102)*BXL!$Y$4:$Y$103)+SUMPRODUCT((BXL!$AA$4:'BXL'!$AA$103=A102)*BXL!$AR$4:$AR$103)+SUMPRODUCT((BXL!$AB$4:'BXL'!$AB$103=A102)*BXL!$AR$4:$AR$103)</f>
        <v>720</v>
      </c>
      <c r="D102" s="136" cm="1">
        <f t="array" ref="D102">SUMPRODUCT((BXL!$C$4:'BXL'!$C$103=A102)*BXL!$O$4:$O$103)+SUMPRODUCT((BXL!$AA$4:'BXL'!$AA$103=A102)*BXL!$AM$4:$AM$103)+SUMPRODUCT((BXL!$AB$4:'BXL'!$AB$103=A102)*BXL!$AM$4:$AM$103)</f>
        <v>0</v>
      </c>
      <c r="E102" s="136" cm="1">
        <f t="array" ref="E102">SUMPRODUCT((BXL!$C$4:'BXL'!$C$103=A102)*BXL!$R$4:$R$103)+SUMPRODUCT((BXL!$AA$4:'BXL'!$AA$103=A102)*BXL!$AP$4:$AP$103)+SUMPRODUCT((BXL!$AB$4:'BXL'!$AB$103=A102)*BXL!$AP$4:$AP$103)</f>
        <v>720</v>
      </c>
      <c r="F102" s="136" cm="1">
        <f t="array" ref="F102">SUMPRODUCT((BXL!$C$4:'BXL'!$C$103=A102)*BXL!$V$4:$V$103)+SUMPRODUCT((BXL!$AA$4:'BXL'!$AA$103=A102)*BXL!$AS$4:$AS$103)+SUMPRODUCT((BXL!$AB$4:'BXL'!$AB$103=A102)*BXL!$AS$4:$AS$103)</f>
        <v>42.666666666666671</v>
      </c>
      <c r="G102" s="136" cm="1">
        <f t="array" ref="G102">SUMPRODUCT((BXL!$C$4:'BXL'!$C$103=A102)*BXL!$W$4:$W$103)+SUMPRODUCT((BXL!$AA$4:'BXL'!$AA$103=A102)*BXL!$AT$4:$AT$103)+SUMPRODUCT((BXL!$AB$4:'BXL'!$AB$103=A102)*BXL!$AT$4:$AT$103)</f>
        <v>42.666666666666671</v>
      </c>
      <c r="H102" s="115"/>
      <c r="I102" s="139">
        <f t="shared" si="13"/>
        <v>23834.342352500003</v>
      </c>
      <c r="J102" s="136">
        <f t="shared" si="19"/>
        <v>2060.8110500000003</v>
      </c>
      <c r="K102" s="136">
        <f t="shared" si="19"/>
        <v>21773.5313025</v>
      </c>
      <c r="L102" s="136">
        <f t="shared" si="19"/>
        <v>1578.3564059649123</v>
      </c>
      <c r="M102" s="136">
        <f t="shared" si="19"/>
        <v>1258.4618720000001</v>
      </c>
      <c r="N102" s="115"/>
      <c r="O102" s="131"/>
      <c r="P102" s="131"/>
      <c r="Q102" s="131"/>
      <c r="R102" s="115"/>
      <c r="S102" s="131"/>
      <c r="T102" s="131"/>
      <c r="U102" s="131"/>
      <c r="V102" s="115"/>
      <c r="W102" s="128">
        <f>C102*(ResourcesEmissions!$B$79-Hypotheses!$D$31*Hypotheses!H66)</f>
        <v>754.34399999999994</v>
      </c>
      <c r="X102" s="128">
        <f>C102*(ResourcesEmissions!$B$79-Hypotheses!$D$31*Hypotheses!I66)</f>
        <v>581.97126928146645</v>
      </c>
      <c r="Y102" s="128">
        <f>C102*(ResourcesEmissions!$B$79-Hypotheses!$D$31*Hypotheses!J66)</f>
        <v>366.50535588329956</v>
      </c>
      <c r="Z102" s="115"/>
      <c r="AA102" s="126">
        <f>C102*(ResourcesEmissions!$C$79-Hypotheses!$D$30*Hypotheses!H66+(1-Hypotheses!H66)*Hypotheses!$D$14+Hypotheses!H66*Hypotheses!$D$19)</f>
        <v>401.54088693098367</v>
      </c>
      <c r="AB102" s="126">
        <f>C102*(ResourcesEmissions!$C$79-Hypotheses!$D$30*Hypotheses!I66+(1-Hypotheses!I66)*Hypotheses!$D$14+Hypotheses!I66*Hypotheses!$D$19)</f>
        <v>357.58584059775768</v>
      </c>
      <c r="AC102" s="126">
        <f>C102*(ResourcesEmissions!$C$79-Hypotheses!$D$30*Hypotheses!J66+(1-Hypotheses!J66)*Hypotheses!$D$14+Hypotheses!J66*Hypotheses!$D$19)</f>
        <v>302.64203268122509</v>
      </c>
      <c r="AD102" s="115"/>
      <c r="AE102" s="126">
        <f>C102*(ResourcesEmissions!$C$79-Hypotheses!$D$30*Hypotheses!H66+(1-Hypotheses!H66)*Hypotheses!$D$14+Hypotheses!H66*Hypotheses!$D$21)</f>
        <v>402.18888693098364</v>
      </c>
      <c r="AF102" s="126">
        <f>C102*(ResourcesEmissions!$C$79-Hypotheses!$D$30*Hypotheses!I66+(1-Hypotheses!I66)*Hypotheses!$D$14+Hypotheses!I66*Hypotheses!$D$21)</f>
        <v>360.81943155853571</v>
      </c>
      <c r="AG102" s="126">
        <f>C102*(ResourcesEmissions!$C$79-Hypotheses!$D$30*Hypotheses!J66+(1-Hypotheses!J66)*Hypotheses!$D$14+Hypotheses!J66*Hypotheses!$D$21)</f>
        <v>309.10761234297559</v>
      </c>
      <c r="AH102" s="115"/>
      <c r="AI102" s="128">
        <f t="shared" si="20"/>
        <v>27087.520773758519</v>
      </c>
      <c r="AJ102" s="128">
        <f t="shared" si="20"/>
        <v>25548.448444831862</v>
      </c>
      <c r="AK102" s="128">
        <f t="shared" si="20"/>
        <v>23624.608033673543</v>
      </c>
      <c r="AL102" s="115"/>
      <c r="AM102" s="126">
        <f t="shared" si="21"/>
        <v>17828.455422034691</v>
      </c>
      <c r="AN102" s="126">
        <f t="shared" si="21"/>
        <v>17459.078063092296</v>
      </c>
      <c r="AO102" s="126">
        <f t="shared" si="21"/>
        <v>16997.356364414296</v>
      </c>
      <c r="AP102" s="115"/>
      <c r="AQ102" s="126">
        <f t="shared" si="22"/>
        <v>17828.455422034691</v>
      </c>
      <c r="AR102" s="126">
        <f t="shared" si="22"/>
        <v>17459.078063092296</v>
      </c>
      <c r="AS102" s="126">
        <f t="shared" si="22"/>
        <v>16997.356364414296</v>
      </c>
    </row>
    <row r="103" spans="1:45" x14ac:dyDescent="0.25">
      <c r="A103" s="94">
        <v>2048</v>
      </c>
      <c r="B103" s="139" cm="1">
        <f t="array" ref="B103">SUMPRODUCT((BXL!$C$4:'BXL'!$C$103=A103)*BXL!$X$4:$X$103)+SUMPRODUCT((BXL!$AA$4:'BXL'!$AA$103=A103)*BXL!$AQ$4:$AQ$103)+SUMPRODUCT((BXL!$AB$4:'BXL'!$AB$103=A103)*BXL!$AQ$4:$AQ$103)</f>
        <v>0</v>
      </c>
      <c r="C103" s="139" cm="1">
        <f t="array" ref="C103">SUMPRODUCT((BXL!$C$4:'BXL'!$C$103=A103)*BXL!$Y$4:$Y$103)+SUMPRODUCT((BXL!$AA$4:'BXL'!$AA$103=A103)*BXL!$AR$4:$AR$103)+SUMPRODUCT((BXL!$AB$4:'BXL'!$AB$103=A103)*BXL!$AR$4:$AR$103)</f>
        <v>0</v>
      </c>
      <c r="D103" s="136" cm="1">
        <f t="array" ref="D103">SUMPRODUCT((BXL!$C$4:'BXL'!$C$103=A103)*BXL!$O$4:$O$103)+SUMPRODUCT((BXL!$AA$4:'BXL'!$AA$103=A103)*BXL!$AM$4:$AM$103)+SUMPRODUCT((BXL!$AB$4:'BXL'!$AB$103=A103)*BXL!$AM$4:$AM$103)</f>
        <v>0</v>
      </c>
      <c r="E103" s="136" cm="1">
        <f t="array" ref="E103">SUMPRODUCT((BXL!$C$4:'BXL'!$C$103=A103)*BXL!$R$4:$R$103)+SUMPRODUCT((BXL!$AA$4:'BXL'!$AA$103=A103)*BXL!$AP$4:$AP$103)+SUMPRODUCT((BXL!$AB$4:'BXL'!$AB$103=A103)*BXL!$AP$4:$AP$103)</f>
        <v>0</v>
      </c>
      <c r="F103" s="136" cm="1">
        <f t="array" ref="F103">SUMPRODUCT((BXL!$C$4:'BXL'!$C$103=A103)*BXL!$V$4:$V$103)+SUMPRODUCT((BXL!$AA$4:'BXL'!$AA$103=A103)*BXL!$AS$4:$AS$103)+SUMPRODUCT((BXL!$AB$4:'BXL'!$AB$103=A103)*BXL!$AS$4:$AS$103)</f>
        <v>0</v>
      </c>
      <c r="G103" s="136" cm="1">
        <f t="array" ref="G103">SUMPRODUCT((BXL!$C$4:'BXL'!$C$103=A103)*BXL!$W$4:$W$103)+SUMPRODUCT((BXL!$AA$4:'BXL'!$AA$103=A103)*BXL!$AT$4:$AT$103)+SUMPRODUCT((BXL!$AB$4:'BXL'!$AB$103=A103)*BXL!$AT$4:$AT$103)</f>
        <v>0</v>
      </c>
      <c r="H103" s="115"/>
      <c r="I103" s="139">
        <f t="shared" ref="I103:I125" si="23">C103+I102</f>
        <v>23834.342352500003</v>
      </c>
      <c r="J103" s="136">
        <f t="shared" ref="J103:M118" si="24">D103+J102</f>
        <v>2060.8110500000003</v>
      </c>
      <c r="K103" s="136">
        <f t="shared" si="24"/>
        <v>21773.5313025</v>
      </c>
      <c r="L103" s="136">
        <f t="shared" si="24"/>
        <v>1578.3564059649123</v>
      </c>
      <c r="M103" s="136">
        <f t="shared" si="24"/>
        <v>1258.4618720000001</v>
      </c>
      <c r="N103" s="115"/>
      <c r="O103" s="131"/>
      <c r="P103" s="131"/>
      <c r="Q103" s="131"/>
      <c r="R103" s="115"/>
      <c r="S103" s="131"/>
      <c r="T103" s="131"/>
      <c r="U103" s="131"/>
      <c r="V103" s="115"/>
      <c r="W103" s="128">
        <f>C103*(ResourcesEmissions!$B$79-Hypotheses!$D$31*Hypotheses!H67)</f>
        <v>0</v>
      </c>
      <c r="X103" s="128">
        <f>C103*(ResourcesEmissions!$B$79-Hypotheses!$D$31*Hypotheses!I67)</f>
        <v>0</v>
      </c>
      <c r="Y103" s="128">
        <f>C103*(ResourcesEmissions!$B$79-Hypotheses!$D$31*Hypotheses!J67)</f>
        <v>0</v>
      </c>
      <c r="Z103" s="115"/>
      <c r="AA103" s="126">
        <f>C103*(ResourcesEmissions!$C$79-Hypotheses!$D$30*Hypotheses!H67+(1-Hypotheses!H67)*Hypotheses!$D$14+Hypotheses!H67*Hypotheses!$D$19)</f>
        <v>0</v>
      </c>
      <c r="AB103" s="126">
        <f>C103*(ResourcesEmissions!$C$79-Hypotheses!$D$30*Hypotheses!I67+(1-Hypotheses!I67)*Hypotheses!$D$14+Hypotheses!I67*Hypotheses!$D$19)</f>
        <v>0</v>
      </c>
      <c r="AC103" s="126">
        <f>C103*(ResourcesEmissions!$C$79-Hypotheses!$D$30*Hypotheses!J67+(1-Hypotheses!J67)*Hypotheses!$D$14+Hypotheses!J67*Hypotheses!$D$19)</f>
        <v>0</v>
      </c>
      <c r="AD103" s="115"/>
      <c r="AE103" s="126">
        <f>C103*(ResourcesEmissions!$C$79-Hypotheses!$D$30*Hypotheses!H67+(1-Hypotheses!H67)*Hypotheses!$D$14+Hypotheses!H67*Hypotheses!$D$21)</f>
        <v>0</v>
      </c>
      <c r="AF103" s="126">
        <f>C103*(ResourcesEmissions!$C$79-Hypotheses!$D$30*Hypotheses!I67+(1-Hypotheses!I67)*Hypotheses!$D$14+Hypotheses!I67*Hypotheses!$D$21)</f>
        <v>0</v>
      </c>
      <c r="AG103" s="126">
        <f>C103*(ResourcesEmissions!$C$79-Hypotheses!$D$30*Hypotheses!J67+(1-Hypotheses!J67)*Hypotheses!$D$14+Hypotheses!J67*Hypotheses!$D$21)</f>
        <v>0</v>
      </c>
      <c r="AH103" s="115"/>
      <c r="AI103" s="128">
        <f t="shared" si="20"/>
        <v>27087.520773758519</v>
      </c>
      <c r="AJ103" s="128">
        <f t="shared" si="20"/>
        <v>25548.448444831862</v>
      </c>
      <c r="AK103" s="128">
        <f t="shared" si="20"/>
        <v>23624.608033673543</v>
      </c>
      <c r="AL103" s="115"/>
      <c r="AM103" s="126">
        <f t="shared" si="21"/>
        <v>17828.455422034691</v>
      </c>
      <c r="AN103" s="126">
        <f t="shared" si="21"/>
        <v>17459.078063092296</v>
      </c>
      <c r="AO103" s="126">
        <f t="shared" si="21"/>
        <v>16997.356364414296</v>
      </c>
      <c r="AP103" s="115"/>
      <c r="AQ103" s="126">
        <f t="shared" si="22"/>
        <v>17828.455422034691</v>
      </c>
      <c r="AR103" s="126">
        <f t="shared" si="22"/>
        <v>17459.078063092296</v>
      </c>
      <c r="AS103" s="126">
        <f t="shared" si="22"/>
        <v>16997.356364414296</v>
      </c>
    </row>
    <row r="104" spans="1:45" x14ac:dyDescent="0.25">
      <c r="A104" s="94">
        <v>2049</v>
      </c>
      <c r="B104" s="139" cm="1">
        <f t="array" ref="B104">SUMPRODUCT((BXL!$C$4:'BXL'!$C$103=A104)*BXL!$X$4:$X$103)+SUMPRODUCT((BXL!$AA$4:'BXL'!$AA$103=A104)*BXL!$AQ$4:$AQ$103)+SUMPRODUCT((BXL!$AB$4:'BXL'!$AB$103=A104)*BXL!$AQ$4:$AQ$103)</f>
        <v>8426</v>
      </c>
      <c r="C104" s="139" cm="1">
        <f t="array" ref="C104">SUMPRODUCT((BXL!$C$4:'BXL'!$C$103=A104)*BXL!$Y$4:$Y$103)+SUMPRODUCT((BXL!$AA$4:'BXL'!$AA$103=A104)*BXL!$AR$4:$AR$103)+SUMPRODUCT((BXL!$AB$4:'BXL'!$AB$103=A104)*BXL!$AR$4:$AR$103)</f>
        <v>245.51999999999998</v>
      </c>
      <c r="D104" s="136" cm="1">
        <f t="array" ref="D104">SUMPRODUCT((BXL!$C$4:'BXL'!$C$103=A104)*BXL!$O$4:$O$103)+SUMPRODUCT((BXL!$AA$4:'BXL'!$AA$103=A104)*BXL!$AM$4:$AM$103)+SUMPRODUCT((BXL!$AB$4:'BXL'!$AB$103=A104)*BXL!$AM$4:$AM$103)</f>
        <v>91.52</v>
      </c>
      <c r="E104" s="136" cm="1">
        <f t="array" ref="E104">SUMPRODUCT((BXL!$C$4:'BXL'!$C$103=A104)*BXL!$R$4:$R$103)+SUMPRODUCT((BXL!$AA$4:'BXL'!$AA$103=A104)*BXL!$AP$4:$AP$103)+SUMPRODUCT((BXL!$AB$4:'BXL'!$AB$103=A104)*BXL!$AP$4:$AP$103)</f>
        <v>154</v>
      </c>
      <c r="F104" s="136" cm="1">
        <f t="array" ref="F104">SUMPRODUCT((BXL!$C$4:'BXL'!$C$103=A104)*BXL!$V$4:$V$103)+SUMPRODUCT((BXL!$AA$4:'BXL'!$AA$103=A104)*BXL!$AS$4:$AS$103)+SUMPRODUCT((BXL!$AB$4:'BXL'!$AB$103=A104)*BXL!$AS$4:$AS$103)</f>
        <v>20.533333333333331</v>
      </c>
      <c r="G104" s="136" cm="1">
        <f t="array" ref="G104">SUMPRODUCT((BXL!$C$4:'BXL'!$C$103=A104)*BXL!$W$4:$W$103)+SUMPRODUCT((BXL!$AA$4:'BXL'!$AA$103=A104)*BXL!$AT$4:$AT$103)+SUMPRODUCT((BXL!$AB$4:'BXL'!$AB$103=A104)*BXL!$AT$4:$AT$103)</f>
        <v>10.266666666666666</v>
      </c>
      <c r="H104" s="115"/>
      <c r="I104" s="139">
        <f t="shared" si="23"/>
        <v>24079.862352500004</v>
      </c>
      <c r="J104" s="136">
        <f t="shared" si="24"/>
        <v>2152.3310500000002</v>
      </c>
      <c r="K104" s="136">
        <f t="shared" si="24"/>
        <v>21927.5313025</v>
      </c>
      <c r="L104" s="136">
        <f t="shared" si="24"/>
        <v>1598.8897392982456</v>
      </c>
      <c r="M104" s="136">
        <f t="shared" si="24"/>
        <v>1268.7285386666667</v>
      </c>
      <c r="N104" s="115"/>
      <c r="O104" s="131"/>
      <c r="P104" s="131"/>
      <c r="Q104" s="131"/>
      <c r="R104" s="115"/>
      <c r="S104" s="131"/>
      <c r="T104" s="131"/>
      <c r="U104" s="131"/>
      <c r="V104" s="115"/>
      <c r="W104" s="128">
        <f>C104*(ResourcesEmissions!$B$79-Hypotheses!$D$31*Hypotheses!H68)</f>
        <v>257.23130399999997</v>
      </c>
      <c r="X104" s="128">
        <f>C104*(ResourcesEmissions!$B$79-Hypotheses!$D$31*Hypotheses!I68)</f>
        <v>198.36018750941977</v>
      </c>
      <c r="Y104" s="128">
        <f>C104*(ResourcesEmissions!$B$79-Hypotheses!$D$31*Hypotheses!J68)</f>
        <v>124.77129189619455</v>
      </c>
      <c r="Z104" s="115"/>
      <c r="AA104" s="126">
        <f>C104*(ResourcesEmissions!$C$79-Hypotheses!$D$30*Hypotheses!H68+(1-Hypotheses!H68)*Hypotheses!$D$14+Hypotheses!H68*Hypotheses!$D$19)</f>
        <v>136.92544244346541</v>
      </c>
      <c r="AB104" s="126">
        <f>C104*(ResourcesEmissions!$C$79-Hypotheses!$D$30*Hypotheses!I68+(1-Hypotheses!I68)*Hypotheses!$D$14+Hypotheses!I68*Hypotheses!$D$19)</f>
        <v>121.91330773836749</v>
      </c>
      <c r="AC104" s="126">
        <f>C104*(ResourcesEmissions!$C$79-Hypotheses!$D$30*Hypotheses!J68+(1-Hypotheses!J68)*Hypotheses!$D$14+Hypotheses!J68*Hypotheses!$D$19)</f>
        <v>103.14813935699506</v>
      </c>
      <c r="AD104" s="115"/>
      <c r="AE104" s="126">
        <f>C104*(ResourcesEmissions!$C$79-Hypotheses!$D$30*Hypotheses!H68+(1-Hypotheses!H68)*Hypotheses!$D$14+Hypotheses!H68*Hypotheses!$D$21)</f>
        <v>137.14641044346541</v>
      </c>
      <c r="AF104" s="126">
        <f>C104*(ResourcesEmissions!$C$79-Hypotheses!$D$30*Hypotheses!I68+(1-Hypotheses!I68)*Hypotheses!$D$14+Hypotheses!I68*Hypotheses!$D$21)</f>
        <v>123.0173424857262</v>
      </c>
      <c r="AG104" s="126">
        <f>C104*(ResourcesEmissions!$C$79-Hypotheses!$D$30*Hypotheses!J68+(1-Hypotheses!J68)*Hypotheses!$D$14+Hypotheses!J68*Hypotheses!$D$21)</f>
        <v>105.35600753855213</v>
      </c>
      <c r="AH104" s="115"/>
      <c r="AI104" s="128">
        <f t="shared" si="20"/>
        <v>27344.75207775852</v>
      </c>
      <c r="AJ104" s="128">
        <f t="shared" si="20"/>
        <v>25746.808632341283</v>
      </c>
      <c r="AK104" s="128">
        <f t="shared" si="20"/>
        <v>23749.379325569738</v>
      </c>
      <c r="AL104" s="115"/>
      <c r="AM104" s="126">
        <f t="shared" si="21"/>
        <v>17965.601832478158</v>
      </c>
      <c r="AN104" s="126">
        <f t="shared" si="21"/>
        <v>17582.095405578024</v>
      </c>
      <c r="AO104" s="126">
        <f t="shared" si="21"/>
        <v>17102.712371952846</v>
      </c>
      <c r="AP104" s="115"/>
      <c r="AQ104" s="126">
        <f t="shared" si="22"/>
        <v>17965.601832478158</v>
      </c>
      <c r="AR104" s="126">
        <f t="shared" si="22"/>
        <v>17582.095405578024</v>
      </c>
      <c r="AS104" s="126">
        <f t="shared" si="22"/>
        <v>17102.712371952846</v>
      </c>
    </row>
    <row r="105" spans="1:45" x14ac:dyDescent="0.25">
      <c r="A105" s="94">
        <v>2050</v>
      </c>
      <c r="B105" s="139" cm="1">
        <f t="array" ref="B105">SUMPRODUCT((BXL!$C$4:'BXL'!$C$103=A105)*BXL!$X$4:$X$103)+SUMPRODUCT((BXL!$AA$4:'BXL'!$AA$103=A105)*BXL!$AQ$4:$AQ$103)+SUMPRODUCT((BXL!$AB$4:'BXL'!$AB$103=A105)*BXL!$AQ$4:$AQ$103)</f>
        <v>0</v>
      </c>
      <c r="C105" s="139" cm="1">
        <f t="array" ref="C105">SUMPRODUCT((BXL!$C$4:'BXL'!$C$103=A105)*BXL!$Y$4:$Y$103)+SUMPRODUCT((BXL!$AA$4:'BXL'!$AA$103=A105)*BXL!$AR$4:$AR$103)+SUMPRODUCT((BXL!$AB$4:'BXL'!$AB$103=A105)*BXL!$AR$4:$AR$103)</f>
        <v>0</v>
      </c>
      <c r="D105" s="136" cm="1">
        <f t="array" ref="D105">SUMPRODUCT((BXL!$C$4:'BXL'!$C$103=A105)*BXL!$O$4:$O$103)+SUMPRODUCT((BXL!$AA$4:'BXL'!$AA$103=A105)*BXL!$AM$4:$AM$103)+SUMPRODUCT((BXL!$AB$4:'BXL'!$AB$103=A105)*BXL!$AM$4:$AM$103)</f>
        <v>0</v>
      </c>
      <c r="E105" s="136" cm="1">
        <f t="array" ref="E105">SUMPRODUCT((BXL!$C$4:'BXL'!$C$103=A105)*BXL!$R$4:$R$103)+SUMPRODUCT((BXL!$AA$4:'BXL'!$AA$103=A105)*BXL!$AP$4:$AP$103)+SUMPRODUCT((BXL!$AB$4:'BXL'!$AB$103=A105)*BXL!$AP$4:$AP$103)</f>
        <v>0</v>
      </c>
      <c r="F105" s="136" cm="1">
        <f t="array" ref="F105">SUMPRODUCT((BXL!$C$4:'BXL'!$C$103=A105)*BXL!$V$4:$V$103)+SUMPRODUCT((BXL!$AA$4:'BXL'!$AA$103=A105)*BXL!$AS$4:$AS$103)+SUMPRODUCT((BXL!$AB$4:'BXL'!$AB$103=A105)*BXL!$AS$4:$AS$103)</f>
        <v>0</v>
      </c>
      <c r="G105" s="136" cm="1">
        <f t="array" ref="G105">SUMPRODUCT((BXL!$C$4:'BXL'!$C$103=A105)*BXL!$W$4:$W$103)+SUMPRODUCT((BXL!$AA$4:'BXL'!$AA$103=A105)*BXL!$AT$4:$AT$103)+SUMPRODUCT((BXL!$AB$4:'BXL'!$AB$103=A105)*BXL!$AT$4:$AT$103)</f>
        <v>0</v>
      </c>
      <c r="H105" s="115"/>
      <c r="I105" s="139">
        <f t="shared" si="23"/>
        <v>24079.862352500004</v>
      </c>
      <c r="J105" s="136">
        <f t="shared" si="24"/>
        <v>2152.3310500000002</v>
      </c>
      <c r="K105" s="136">
        <f t="shared" si="24"/>
        <v>21927.5313025</v>
      </c>
      <c r="L105" s="136">
        <f t="shared" si="24"/>
        <v>1598.8897392982456</v>
      </c>
      <c r="M105" s="136">
        <f t="shared" si="24"/>
        <v>1268.7285386666667</v>
      </c>
      <c r="N105" s="115"/>
      <c r="O105" s="131"/>
      <c r="P105" s="131"/>
      <c r="Q105" s="131"/>
      <c r="R105" s="115"/>
      <c r="S105" s="131"/>
      <c r="T105" s="131"/>
      <c r="U105" s="131"/>
      <c r="V105" s="115"/>
      <c r="W105" s="128">
        <f>C105*(ResourcesEmissions!$B$79-Hypotheses!$D$31*Hypotheses!H69)</f>
        <v>0</v>
      </c>
      <c r="X105" s="128">
        <f>C105*(ResourcesEmissions!$B$79-Hypotheses!$D$31*Hypotheses!I69)</f>
        <v>0</v>
      </c>
      <c r="Y105" s="128">
        <f>C105*(ResourcesEmissions!$B$79-Hypotheses!$D$31*Hypotheses!J69)</f>
        <v>0</v>
      </c>
      <c r="Z105" s="115"/>
      <c r="AA105" s="126">
        <f>C105*(ResourcesEmissions!$C$79-Hypotheses!$D$30*Hypotheses!H69+(1-Hypotheses!H69)*Hypotheses!$D$14+Hypotheses!H69*Hypotheses!$D$19)</f>
        <v>0</v>
      </c>
      <c r="AB105" s="126">
        <f>C105*(ResourcesEmissions!$C$79-Hypotheses!$D$30*Hypotheses!I69+(1-Hypotheses!I69)*Hypotheses!$D$14+Hypotheses!I69*Hypotheses!$D$19)</f>
        <v>0</v>
      </c>
      <c r="AC105" s="126">
        <f>C105*(ResourcesEmissions!$C$79-Hypotheses!$D$30*Hypotheses!J69+(1-Hypotheses!J69)*Hypotheses!$D$14+Hypotheses!J69*Hypotheses!$D$19)</f>
        <v>0</v>
      </c>
      <c r="AD105" s="115"/>
      <c r="AE105" s="126">
        <f>C105*(ResourcesEmissions!$C$79-Hypotheses!$D$30*Hypotheses!H69+(1-Hypotheses!H69)*Hypotheses!$D$14+Hypotheses!H69*Hypotheses!$D$21)</f>
        <v>0</v>
      </c>
      <c r="AF105" s="126">
        <f>C105*(ResourcesEmissions!$C$79-Hypotheses!$D$30*Hypotheses!I69+(1-Hypotheses!I69)*Hypotheses!$D$14+Hypotheses!I69*Hypotheses!$D$21)</f>
        <v>0</v>
      </c>
      <c r="AG105" s="126">
        <f>C105*(ResourcesEmissions!$C$79-Hypotheses!$D$30*Hypotheses!J69+(1-Hypotheses!J69)*Hypotheses!$D$14+Hypotheses!J69*Hypotheses!$D$21)</f>
        <v>0</v>
      </c>
      <c r="AH105" s="115"/>
      <c r="AI105" s="128">
        <f t="shared" si="20"/>
        <v>27344.75207775852</v>
      </c>
      <c r="AJ105" s="128">
        <f t="shared" si="20"/>
        <v>25746.808632341283</v>
      </c>
      <c r="AK105" s="128">
        <f t="shared" si="20"/>
        <v>23749.379325569738</v>
      </c>
      <c r="AL105" s="115"/>
      <c r="AM105" s="126">
        <f t="shared" si="21"/>
        <v>17965.601832478158</v>
      </c>
      <c r="AN105" s="126">
        <f t="shared" si="21"/>
        <v>17582.095405578024</v>
      </c>
      <c r="AO105" s="126">
        <f t="shared" si="21"/>
        <v>17102.712371952846</v>
      </c>
      <c r="AP105" s="115"/>
      <c r="AQ105" s="126">
        <f t="shared" si="22"/>
        <v>17965.601832478158</v>
      </c>
      <c r="AR105" s="126">
        <f t="shared" si="22"/>
        <v>17582.095405578024</v>
      </c>
      <c r="AS105" s="126">
        <f t="shared" si="22"/>
        <v>17102.712371952846</v>
      </c>
    </row>
    <row r="106" spans="1:45" x14ac:dyDescent="0.25">
      <c r="A106" s="94">
        <v>2051</v>
      </c>
      <c r="B106" s="139" cm="1">
        <f t="array" ref="B106">SUMPRODUCT((BXL!$C$4:'BXL'!$C$103=A106)*BXL!$X$4:$X$103)+SUMPRODUCT((BXL!$AA$4:'BXL'!$AA$103=A106)*BXL!$AQ$4:$AQ$103)+SUMPRODUCT((BXL!$AB$4:'BXL'!$AB$103=A106)*BXL!$AQ$4:$AQ$103)</f>
        <v>0</v>
      </c>
      <c r="C106" s="139" cm="1">
        <f t="array" ref="C106">SUMPRODUCT((BXL!$C$4:'BXL'!$C$103=A106)*BXL!$Y$4:$Y$103)+SUMPRODUCT((BXL!$AA$4:'BXL'!$AA$103=A106)*BXL!$AR$4:$AR$103)+SUMPRODUCT((BXL!$AB$4:'BXL'!$AB$103=A106)*BXL!$AR$4:$AR$103)</f>
        <v>0</v>
      </c>
      <c r="D106" s="136" cm="1">
        <f t="array" ref="D106">SUMPRODUCT((BXL!$C$4:'BXL'!$C$103=A106)*BXL!$O$4:$O$103)+SUMPRODUCT((BXL!$AA$4:'BXL'!$AA$103=A106)*BXL!$AM$4:$AM$103)+SUMPRODUCT((BXL!$AB$4:'BXL'!$AB$103=A106)*BXL!$AM$4:$AM$103)</f>
        <v>0</v>
      </c>
      <c r="E106" s="136" cm="1">
        <f t="array" ref="E106">SUMPRODUCT((BXL!$C$4:'BXL'!$C$103=A106)*BXL!$R$4:$R$103)+SUMPRODUCT((BXL!$AA$4:'BXL'!$AA$103=A106)*BXL!$AP$4:$AP$103)+SUMPRODUCT((BXL!$AB$4:'BXL'!$AB$103=A106)*BXL!$AP$4:$AP$103)</f>
        <v>0</v>
      </c>
      <c r="F106" s="136" cm="1">
        <f t="array" ref="F106">SUMPRODUCT((BXL!$C$4:'BXL'!$C$103=A106)*BXL!$V$4:$V$103)+SUMPRODUCT((BXL!$AA$4:'BXL'!$AA$103=A106)*BXL!$AS$4:$AS$103)+SUMPRODUCT((BXL!$AB$4:'BXL'!$AB$103=A106)*BXL!$AS$4:$AS$103)</f>
        <v>0</v>
      </c>
      <c r="G106" s="136" cm="1">
        <f t="array" ref="G106">SUMPRODUCT((BXL!$C$4:'BXL'!$C$103=A106)*BXL!$W$4:$W$103)+SUMPRODUCT((BXL!$AA$4:'BXL'!$AA$103=A106)*BXL!$AT$4:$AT$103)+SUMPRODUCT((BXL!$AB$4:'BXL'!$AB$103=A106)*BXL!$AT$4:$AT$103)</f>
        <v>0</v>
      </c>
      <c r="H106" s="115"/>
      <c r="I106" s="139">
        <f t="shared" si="23"/>
        <v>24079.862352500004</v>
      </c>
      <c r="J106" s="136">
        <f t="shared" si="24"/>
        <v>2152.3310500000002</v>
      </c>
      <c r="K106" s="136">
        <f t="shared" si="24"/>
        <v>21927.5313025</v>
      </c>
      <c r="L106" s="136">
        <f t="shared" si="24"/>
        <v>1598.8897392982456</v>
      </c>
      <c r="M106" s="136">
        <f t="shared" si="24"/>
        <v>1268.7285386666667</v>
      </c>
      <c r="N106" s="115"/>
      <c r="O106" s="131"/>
      <c r="P106" s="131"/>
      <c r="Q106" s="131"/>
      <c r="R106" s="115"/>
      <c r="S106" s="131"/>
      <c r="T106" s="131"/>
      <c r="U106" s="131"/>
      <c r="V106" s="115"/>
      <c r="W106" s="128">
        <f>C106*(ResourcesEmissions!$B$79-Hypotheses!$D$31*Hypotheses!H70)</f>
        <v>0</v>
      </c>
      <c r="X106" s="128">
        <f>C106*(ResourcesEmissions!$B$79-Hypotheses!$D$31*Hypotheses!I70)</f>
        <v>0</v>
      </c>
      <c r="Y106" s="128">
        <f>C106*(ResourcesEmissions!$B$79-Hypotheses!$D$31*Hypotheses!J70)</f>
        <v>0</v>
      </c>
      <c r="Z106" s="115"/>
      <c r="AA106" s="126">
        <f>C106*(ResourcesEmissions!$C$79-Hypotheses!$D$30*Hypotheses!H70+(1-Hypotheses!H70)*Hypotheses!$D$14+Hypotheses!H70*Hypotheses!$D$19)</f>
        <v>0</v>
      </c>
      <c r="AB106" s="126">
        <f>C106*(ResourcesEmissions!$C$79-Hypotheses!$D$30*Hypotheses!I70+(1-Hypotheses!I70)*Hypotheses!$D$14+Hypotheses!I70*Hypotheses!$D$19)</f>
        <v>0</v>
      </c>
      <c r="AC106" s="126">
        <f>C106*(ResourcesEmissions!$C$79-Hypotheses!$D$30*Hypotheses!J70+(1-Hypotheses!J70)*Hypotheses!$D$14+Hypotheses!J70*Hypotheses!$D$19)</f>
        <v>0</v>
      </c>
      <c r="AD106" s="115"/>
      <c r="AE106" s="126">
        <f>C106*(ResourcesEmissions!$C$79-Hypotheses!$D$30*Hypotheses!H70+(1-Hypotheses!H70)*Hypotheses!$D$14+Hypotheses!H70*Hypotheses!$D$21)</f>
        <v>0</v>
      </c>
      <c r="AF106" s="126">
        <f>C106*(ResourcesEmissions!$C$79-Hypotheses!$D$30*Hypotheses!I70+(1-Hypotheses!I70)*Hypotheses!$D$14+Hypotheses!I70*Hypotheses!$D$21)</f>
        <v>0</v>
      </c>
      <c r="AG106" s="126">
        <f>C106*(ResourcesEmissions!$C$79-Hypotheses!$D$30*Hypotheses!J70+(1-Hypotheses!J70)*Hypotheses!$D$14+Hypotheses!J70*Hypotheses!$D$21)</f>
        <v>0</v>
      </c>
      <c r="AH106" s="115"/>
      <c r="AI106" s="128">
        <f t="shared" si="20"/>
        <v>27344.75207775852</v>
      </c>
      <c r="AJ106" s="128">
        <f t="shared" si="20"/>
        <v>25746.808632341283</v>
      </c>
      <c r="AK106" s="128">
        <f t="shared" si="20"/>
        <v>23749.379325569738</v>
      </c>
      <c r="AL106" s="115"/>
      <c r="AM106" s="126">
        <f t="shared" si="21"/>
        <v>17965.601832478158</v>
      </c>
      <c r="AN106" s="126">
        <f t="shared" si="21"/>
        <v>17582.095405578024</v>
      </c>
      <c r="AO106" s="126">
        <f t="shared" si="21"/>
        <v>17102.712371952846</v>
      </c>
      <c r="AP106" s="115"/>
      <c r="AQ106" s="126">
        <f t="shared" si="22"/>
        <v>17965.601832478158</v>
      </c>
      <c r="AR106" s="126">
        <f t="shared" si="22"/>
        <v>17582.095405578024</v>
      </c>
      <c r="AS106" s="126">
        <f t="shared" si="22"/>
        <v>17102.712371952846</v>
      </c>
    </row>
    <row r="107" spans="1:45" x14ac:dyDescent="0.25">
      <c r="A107" s="94">
        <v>2052</v>
      </c>
      <c r="B107" s="139" cm="1">
        <f t="array" ref="B107">SUMPRODUCT((BXL!$C$4:'BXL'!$C$103=A107)*BXL!$X$4:$X$103)+SUMPRODUCT((BXL!$AA$4:'BXL'!$AA$103=A107)*BXL!$AQ$4:$AQ$103)+SUMPRODUCT((BXL!$AB$4:'BXL'!$AB$103=A107)*BXL!$AQ$4:$AQ$103)</f>
        <v>0</v>
      </c>
      <c r="C107" s="139" cm="1">
        <f t="array" ref="C107">SUMPRODUCT((BXL!$C$4:'BXL'!$C$103=A107)*BXL!$Y$4:$Y$103)+SUMPRODUCT((BXL!$AA$4:'BXL'!$AA$103=A107)*BXL!$AR$4:$AR$103)+SUMPRODUCT((BXL!$AB$4:'BXL'!$AB$103=A107)*BXL!$AR$4:$AR$103)</f>
        <v>0</v>
      </c>
      <c r="D107" s="136" cm="1">
        <f t="array" ref="D107">SUMPRODUCT((BXL!$C$4:'BXL'!$C$103=A107)*BXL!$O$4:$O$103)+SUMPRODUCT((BXL!$AA$4:'BXL'!$AA$103=A107)*BXL!$AM$4:$AM$103)+SUMPRODUCT((BXL!$AB$4:'BXL'!$AB$103=A107)*BXL!$AM$4:$AM$103)</f>
        <v>0</v>
      </c>
      <c r="E107" s="136" cm="1">
        <f t="array" ref="E107">SUMPRODUCT((BXL!$C$4:'BXL'!$C$103=A107)*BXL!$R$4:$R$103)+SUMPRODUCT((BXL!$AA$4:'BXL'!$AA$103=A107)*BXL!$AP$4:$AP$103)+SUMPRODUCT((BXL!$AB$4:'BXL'!$AB$103=A107)*BXL!$AP$4:$AP$103)</f>
        <v>0</v>
      </c>
      <c r="F107" s="136" cm="1">
        <f t="array" ref="F107">SUMPRODUCT((BXL!$C$4:'BXL'!$C$103=A107)*BXL!$V$4:$V$103)+SUMPRODUCT((BXL!$AA$4:'BXL'!$AA$103=A107)*BXL!$AS$4:$AS$103)+SUMPRODUCT((BXL!$AB$4:'BXL'!$AB$103=A107)*BXL!$AS$4:$AS$103)</f>
        <v>0</v>
      </c>
      <c r="G107" s="136" cm="1">
        <f t="array" ref="G107">SUMPRODUCT((BXL!$C$4:'BXL'!$C$103=A107)*BXL!$W$4:$W$103)+SUMPRODUCT((BXL!$AA$4:'BXL'!$AA$103=A107)*BXL!$AT$4:$AT$103)+SUMPRODUCT((BXL!$AB$4:'BXL'!$AB$103=A107)*BXL!$AT$4:$AT$103)</f>
        <v>0</v>
      </c>
      <c r="H107" s="115"/>
      <c r="I107" s="139">
        <f t="shared" si="23"/>
        <v>24079.862352500004</v>
      </c>
      <c r="J107" s="136">
        <f t="shared" si="24"/>
        <v>2152.3310500000002</v>
      </c>
      <c r="K107" s="136">
        <f t="shared" si="24"/>
        <v>21927.5313025</v>
      </c>
      <c r="L107" s="136">
        <f t="shared" si="24"/>
        <v>1598.8897392982456</v>
      </c>
      <c r="M107" s="136">
        <f t="shared" si="24"/>
        <v>1268.7285386666667</v>
      </c>
      <c r="N107" s="115"/>
      <c r="O107" s="131"/>
      <c r="P107" s="131"/>
      <c r="Q107" s="131"/>
      <c r="R107" s="115"/>
      <c r="S107" s="131"/>
      <c r="T107" s="131"/>
      <c r="U107" s="131"/>
      <c r="V107" s="115"/>
      <c r="W107" s="128">
        <f>C107*(ResourcesEmissions!$B$79-Hypotheses!$D$31*Hypotheses!H71)</f>
        <v>0</v>
      </c>
      <c r="X107" s="128">
        <f>C107*(ResourcesEmissions!$B$79-Hypotheses!$D$31*Hypotheses!I71)</f>
        <v>0</v>
      </c>
      <c r="Y107" s="128">
        <f>C107*(ResourcesEmissions!$B$79-Hypotheses!$D$31*Hypotheses!J71)</f>
        <v>0</v>
      </c>
      <c r="Z107" s="115"/>
      <c r="AA107" s="126">
        <f>C107*(ResourcesEmissions!$C$79-Hypotheses!$D$30*Hypotheses!H71+(1-Hypotheses!H71)*Hypotheses!$D$14+Hypotheses!H71*Hypotheses!$D$19)</f>
        <v>0</v>
      </c>
      <c r="AB107" s="126">
        <f>C107*(ResourcesEmissions!$C$79-Hypotheses!$D$30*Hypotheses!I71+(1-Hypotheses!I71)*Hypotheses!$D$14+Hypotheses!I71*Hypotheses!$D$19)</f>
        <v>0</v>
      </c>
      <c r="AC107" s="126">
        <f>C107*(ResourcesEmissions!$C$79-Hypotheses!$D$30*Hypotheses!J71+(1-Hypotheses!J71)*Hypotheses!$D$14+Hypotheses!J71*Hypotheses!$D$19)</f>
        <v>0</v>
      </c>
      <c r="AD107" s="115"/>
      <c r="AE107" s="126">
        <f>C107*(ResourcesEmissions!$C$79-Hypotheses!$D$30*Hypotheses!H71+(1-Hypotheses!H71)*Hypotheses!$D$14+Hypotheses!H71*Hypotheses!$D$21)</f>
        <v>0</v>
      </c>
      <c r="AF107" s="126">
        <f>C107*(ResourcesEmissions!$C$79-Hypotheses!$D$30*Hypotheses!I71+(1-Hypotheses!I71)*Hypotheses!$D$14+Hypotheses!I71*Hypotheses!$D$21)</f>
        <v>0</v>
      </c>
      <c r="AG107" s="126">
        <f>C107*(ResourcesEmissions!$C$79-Hypotheses!$D$30*Hypotheses!J71+(1-Hypotheses!J71)*Hypotheses!$D$14+Hypotheses!J71*Hypotheses!$D$21)</f>
        <v>0</v>
      </c>
      <c r="AH107" s="115"/>
      <c r="AI107" s="128">
        <f t="shared" si="20"/>
        <v>27344.75207775852</v>
      </c>
      <c r="AJ107" s="128">
        <f t="shared" si="20"/>
        <v>25746.808632341283</v>
      </c>
      <c r="AK107" s="128">
        <f t="shared" si="20"/>
        <v>23749.379325569738</v>
      </c>
      <c r="AL107" s="115"/>
      <c r="AM107" s="126">
        <f t="shared" si="21"/>
        <v>17965.601832478158</v>
      </c>
      <c r="AN107" s="126">
        <f t="shared" si="21"/>
        <v>17582.095405578024</v>
      </c>
      <c r="AO107" s="126">
        <f t="shared" si="21"/>
        <v>17102.712371952846</v>
      </c>
      <c r="AP107" s="115"/>
      <c r="AQ107" s="126">
        <f t="shared" si="22"/>
        <v>17965.601832478158</v>
      </c>
      <c r="AR107" s="126">
        <f t="shared" si="22"/>
        <v>17582.095405578024</v>
      </c>
      <c r="AS107" s="126">
        <f t="shared" si="22"/>
        <v>17102.712371952846</v>
      </c>
    </row>
    <row r="108" spans="1:45" x14ac:dyDescent="0.25">
      <c r="A108" s="94">
        <v>2053</v>
      </c>
      <c r="B108" s="139" cm="1">
        <f t="array" ref="B108">SUMPRODUCT((BXL!$C$4:'BXL'!$C$103=A108)*BXL!$X$4:$X$103)+SUMPRODUCT((BXL!$AA$4:'BXL'!$AA$103=A108)*BXL!$AQ$4:$AQ$103)+SUMPRODUCT((BXL!$AB$4:'BXL'!$AB$103=A108)*BXL!$AQ$4:$AQ$103)</f>
        <v>15659.999999999998</v>
      </c>
      <c r="C108" s="139" cm="1">
        <f t="array" ref="C108">SUMPRODUCT((BXL!$C$4:'BXL'!$C$103=A108)*BXL!$Y$4:$Y$103)+SUMPRODUCT((BXL!$AA$4:'BXL'!$AA$103=A108)*BXL!$AR$4:$AR$103)+SUMPRODUCT((BXL!$AB$4:'BXL'!$AB$103=A108)*BXL!$AR$4:$AR$103)</f>
        <v>626.4</v>
      </c>
      <c r="D108" s="136" cm="1">
        <f t="array" ref="D108">SUMPRODUCT((BXL!$C$4:'BXL'!$C$103=A108)*BXL!$O$4:$O$103)+SUMPRODUCT((BXL!$AA$4:'BXL'!$AA$103=A108)*BXL!$AM$4:$AM$103)+SUMPRODUCT((BXL!$AB$4:'BXL'!$AB$103=A108)*BXL!$AM$4:$AM$103)</f>
        <v>0</v>
      </c>
      <c r="E108" s="136" cm="1">
        <f t="array" ref="E108">SUMPRODUCT((BXL!$C$4:'BXL'!$C$103=A108)*BXL!$R$4:$R$103)+SUMPRODUCT((BXL!$AA$4:'BXL'!$AA$103=A108)*BXL!$AP$4:$AP$103)+SUMPRODUCT((BXL!$AB$4:'BXL'!$AB$103=A108)*BXL!$AP$4:$AP$103)</f>
        <v>626.4</v>
      </c>
      <c r="F108" s="136" cm="1">
        <f t="array" ref="F108">SUMPRODUCT((BXL!$C$4:'BXL'!$C$103=A108)*BXL!$V$4:$V$103)+SUMPRODUCT((BXL!$AA$4:'BXL'!$AA$103=A108)*BXL!$AS$4:$AS$103)+SUMPRODUCT((BXL!$AB$4:'BXL'!$AB$103=A108)*BXL!$AS$4:$AS$103)</f>
        <v>36.54</v>
      </c>
      <c r="G108" s="136" cm="1">
        <f t="array" ref="G108">SUMPRODUCT((BXL!$C$4:'BXL'!$C$103=A108)*BXL!$W$4:$W$103)+SUMPRODUCT((BXL!$AA$4:'BXL'!$AA$103=A108)*BXL!$AT$4:$AT$103)+SUMPRODUCT((BXL!$AB$4:'BXL'!$AB$103=A108)*BXL!$AT$4:$AT$103)</f>
        <v>36.54</v>
      </c>
      <c r="H108" s="115"/>
      <c r="I108" s="139">
        <f t="shared" si="23"/>
        <v>24706.262352500005</v>
      </c>
      <c r="J108" s="136">
        <f t="shared" si="24"/>
        <v>2152.3310500000002</v>
      </c>
      <c r="K108" s="136">
        <f t="shared" si="24"/>
        <v>22553.931302500001</v>
      </c>
      <c r="L108" s="136">
        <f t="shared" si="24"/>
        <v>1635.4297392982455</v>
      </c>
      <c r="M108" s="136">
        <f t="shared" si="24"/>
        <v>1305.2685386666667</v>
      </c>
      <c r="N108" s="115"/>
      <c r="O108" s="131"/>
      <c r="P108" s="131"/>
      <c r="Q108" s="131"/>
      <c r="R108" s="115"/>
      <c r="S108" s="131"/>
      <c r="T108" s="131"/>
      <c r="U108" s="131"/>
      <c r="V108" s="115"/>
      <c r="W108" s="128">
        <f>C108*(ResourcesEmissions!$B$79-Hypotheses!$D$31*Hypotheses!H72)</f>
        <v>656.27927999999986</v>
      </c>
      <c r="X108" s="128">
        <f>C108*(ResourcesEmissions!$B$79-Hypotheses!$D$31*Hypotheses!I72)</f>
        <v>505.96183064697544</v>
      </c>
      <c r="Y108" s="128">
        <f>C108*(ResourcesEmissions!$B$79-Hypotheses!$D$31*Hypotheses!J72)</f>
        <v>318.06501895569477</v>
      </c>
      <c r="Z108" s="115"/>
      <c r="AA108" s="126">
        <f>C108*(ResourcesEmissions!$C$79-Hypotheses!$D$30*Hypotheses!H72+(1-Hypotheses!H72)*Hypotheses!$D$14+Hypotheses!H72*Hypotheses!$D$19)</f>
        <v>349.34057162995578</v>
      </c>
      <c r="AB108" s="126">
        <f>C108*(ResourcesEmissions!$C$79-Hypotheses!$D$30*Hypotheses!I72+(1-Hypotheses!I72)*Hypotheses!$D$14+Hypotheses!I72*Hypotheses!$D$19)</f>
        <v>311.00962204493459</v>
      </c>
      <c r="AC108" s="126">
        <f>C108*(ResourcesEmissions!$C$79-Hypotheses!$D$30*Hypotheses!J72+(1-Hypotheses!J72)*Hypotheses!$D$14+Hypotheses!J72*Hypotheses!$D$19)</f>
        <v>263.09593506365803</v>
      </c>
      <c r="AD108" s="115"/>
      <c r="AE108" s="126">
        <f>C108*(ResourcesEmissions!$C$79-Hypotheses!$D$30*Hypotheses!H72+(1-Hypotheses!H72)*Hypotheses!$D$14+Hypotheses!H72*Hypotheses!$D$21)</f>
        <v>349.90433162995578</v>
      </c>
      <c r="AF108" s="126">
        <f>C108*(ResourcesEmissions!$C$79-Hypotheses!$D$30*Hypotheses!I72+(1-Hypotheses!I72)*Hypotheses!$D$14+Hypotheses!I72*Hypotheses!$D$21)</f>
        <v>313.82814378523</v>
      </c>
      <c r="AG108" s="126">
        <f>C108*(ResourcesEmissions!$C$79-Hypotheses!$D$30*Hypotheses!J72+(1-Hypotheses!J72)*Hypotheses!$D$14+Hypotheses!J72*Hypotheses!$D$21)</f>
        <v>268.73290897932259</v>
      </c>
      <c r="AH108" s="115"/>
      <c r="AI108" s="128">
        <f t="shared" si="20"/>
        <v>28001.031357758518</v>
      </c>
      <c r="AJ108" s="128">
        <f t="shared" si="20"/>
        <v>26252.770462988257</v>
      </c>
      <c r="AK108" s="128">
        <f t="shared" si="20"/>
        <v>24067.444344525433</v>
      </c>
      <c r="AL108" s="115"/>
      <c r="AM108" s="126">
        <f t="shared" si="21"/>
        <v>18315.506164108112</v>
      </c>
      <c r="AN108" s="126">
        <f t="shared" si="21"/>
        <v>17895.923549363255</v>
      </c>
      <c r="AO108" s="126">
        <f t="shared" si="21"/>
        <v>17371.44528093217</v>
      </c>
      <c r="AP108" s="115"/>
      <c r="AQ108" s="126">
        <f t="shared" si="22"/>
        <v>18315.506164108112</v>
      </c>
      <c r="AR108" s="126">
        <f t="shared" si="22"/>
        <v>17895.923549363255</v>
      </c>
      <c r="AS108" s="126">
        <f t="shared" si="22"/>
        <v>17371.44528093217</v>
      </c>
    </row>
    <row r="109" spans="1:45" x14ac:dyDescent="0.25">
      <c r="A109" s="94">
        <v>2054</v>
      </c>
      <c r="B109" s="139" cm="1">
        <f t="array" ref="B109">SUMPRODUCT((BXL!$C$4:'BXL'!$C$103=A109)*BXL!$X$4:$X$103)+SUMPRODUCT((BXL!$AA$4:'BXL'!$AA$103=A109)*BXL!$AQ$4:$AQ$103)+SUMPRODUCT((BXL!$AB$4:'BXL'!$AB$103=A109)*BXL!$AQ$4:$AQ$103)</f>
        <v>0</v>
      </c>
      <c r="C109" s="139" cm="1">
        <f t="array" ref="C109">SUMPRODUCT((BXL!$C$4:'BXL'!$C$103=A109)*BXL!$Y$4:$Y$103)+SUMPRODUCT((BXL!$AA$4:'BXL'!$AA$103=A109)*BXL!$AR$4:$AR$103)+SUMPRODUCT((BXL!$AB$4:'BXL'!$AB$103=A109)*BXL!$AR$4:$AR$103)</f>
        <v>0</v>
      </c>
      <c r="D109" s="136" cm="1">
        <f t="array" ref="D109">SUMPRODUCT((BXL!$C$4:'BXL'!$C$103=A109)*BXL!$O$4:$O$103)+SUMPRODUCT((BXL!$AA$4:'BXL'!$AA$103=A109)*BXL!$AM$4:$AM$103)+SUMPRODUCT((BXL!$AB$4:'BXL'!$AB$103=A109)*BXL!$AM$4:$AM$103)</f>
        <v>0</v>
      </c>
      <c r="E109" s="136" cm="1">
        <f t="array" ref="E109">SUMPRODUCT((BXL!$C$4:'BXL'!$C$103=A109)*BXL!$R$4:$R$103)+SUMPRODUCT((BXL!$AA$4:'BXL'!$AA$103=A109)*BXL!$AP$4:$AP$103)+SUMPRODUCT((BXL!$AB$4:'BXL'!$AB$103=A109)*BXL!$AP$4:$AP$103)</f>
        <v>0</v>
      </c>
      <c r="F109" s="136" cm="1">
        <f t="array" ref="F109">SUMPRODUCT((BXL!$C$4:'BXL'!$C$103=A109)*BXL!$V$4:$V$103)+SUMPRODUCT((BXL!$AA$4:'BXL'!$AA$103=A109)*BXL!$AS$4:$AS$103)+SUMPRODUCT((BXL!$AB$4:'BXL'!$AB$103=A109)*BXL!$AS$4:$AS$103)</f>
        <v>0</v>
      </c>
      <c r="G109" s="136" cm="1">
        <f t="array" ref="G109">SUMPRODUCT((BXL!$C$4:'BXL'!$C$103=A109)*BXL!$W$4:$W$103)+SUMPRODUCT((BXL!$AA$4:'BXL'!$AA$103=A109)*BXL!$AT$4:$AT$103)+SUMPRODUCT((BXL!$AB$4:'BXL'!$AB$103=A109)*BXL!$AT$4:$AT$103)</f>
        <v>0</v>
      </c>
      <c r="H109" s="115"/>
      <c r="I109" s="139">
        <f t="shared" si="23"/>
        <v>24706.262352500005</v>
      </c>
      <c r="J109" s="136">
        <f t="shared" si="24"/>
        <v>2152.3310500000002</v>
      </c>
      <c r="K109" s="136">
        <f t="shared" si="24"/>
        <v>22553.931302500001</v>
      </c>
      <c r="L109" s="136">
        <f t="shared" si="24"/>
        <v>1635.4297392982455</v>
      </c>
      <c r="M109" s="136">
        <f t="shared" si="24"/>
        <v>1305.2685386666667</v>
      </c>
      <c r="N109" s="115"/>
      <c r="O109" s="131"/>
      <c r="P109" s="131"/>
      <c r="Q109" s="131"/>
      <c r="R109" s="115"/>
      <c r="S109" s="131"/>
      <c r="T109" s="131"/>
      <c r="U109" s="131"/>
      <c r="V109" s="115"/>
      <c r="W109" s="128">
        <f>C109*(ResourcesEmissions!$B$79-Hypotheses!$D$31*Hypotheses!H73)</f>
        <v>0</v>
      </c>
      <c r="X109" s="128">
        <f>C109*(ResourcesEmissions!$B$79-Hypotheses!$D$31*Hypotheses!I73)</f>
        <v>0</v>
      </c>
      <c r="Y109" s="128">
        <f>C109*(ResourcesEmissions!$B$79-Hypotheses!$D$31*Hypotheses!J73)</f>
        <v>0</v>
      </c>
      <c r="Z109" s="115"/>
      <c r="AA109" s="126">
        <f>C109*(ResourcesEmissions!$C$79-Hypotheses!$D$30*Hypotheses!H73+(1-Hypotheses!H73)*Hypotheses!$D$14+Hypotheses!H73*Hypotheses!$D$19)</f>
        <v>0</v>
      </c>
      <c r="AB109" s="126">
        <f>C109*(ResourcesEmissions!$C$79-Hypotheses!$D$30*Hypotheses!I73+(1-Hypotheses!I73)*Hypotheses!$D$14+Hypotheses!I73*Hypotheses!$D$19)</f>
        <v>0</v>
      </c>
      <c r="AC109" s="126">
        <f>C109*(ResourcesEmissions!$C$79-Hypotheses!$D$30*Hypotheses!J73+(1-Hypotheses!J73)*Hypotheses!$D$14+Hypotheses!J73*Hypotheses!$D$19)</f>
        <v>0</v>
      </c>
      <c r="AD109" s="115"/>
      <c r="AE109" s="126">
        <f>C109*(ResourcesEmissions!$C$79-Hypotheses!$D$30*Hypotheses!H73+(1-Hypotheses!H73)*Hypotheses!$D$14+Hypotheses!H73*Hypotheses!$D$21)</f>
        <v>0</v>
      </c>
      <c r="AF109" s="126">
        <f>C109*(ResourcesEmissions!$C$79-Hypotheses!$D$30*Hypotheses!I73+(1-Hypotheses!I73)*Hypotheses!$D$14+Hypotheses!I73*Hypotheses!$D$21)</f>
        <v>0</v>
      </c>
      <c r="AG109" s="126">
        <f>C109*(ResourcesEmissions!$C$79-Hypotheses!$D$30*Hypotheses!J73+(1-Hypotheses!J73)*Hypotheses!$D$14+Hypotheses!J73*Hypotheses!$D$21)</f>
        <v>0</v>
      </c>
      <c r="AH109" s="115"/>
      <c r="AI109" s="128">
        <f t="shared" si="20"/>
        <v>28001.031357758518</v>
      </c>
      <c r="AJ109" s="128">
        <f t="shared" si="20"/>
        <v>26252.770462988257</v>
      </c>
      <c r="AK109" s="128">
        <f t="shared" si="20"/>
        <v>24067.444344525433</v>
      </c>
      <c r="AL109" s="115"/>
      <c r="AM109" s="126">
        <f t="shared" si="21"/>
        <v>18315.506164108112</v>
      </c>
      <c r="AN109" s="126">
        <f t="shared" si="21"/>
        <v>17895.923549363255</v>
      </c>
      <c r="AO109" s="126">
        <f t="shared" si="21"/>
        <v>17371.44528093217</v>
      </c>
      <c r="AP109" s="115"/>
      <c r="AQ109" s="126">
        <f t="shared" si="22"/>
        <v>18315.506164108112</v>
      </c>
      <c r="AR109" s="126">
        <f t="shared" si="22"/>
        <v>17895.923549363255</v>
      </c>
      <c r="AS109" s="126">
        <f t="shared" si="22"/>
        <v>17371.44528093217</v>
      </c>
    </row>
    <row r="110" spans="1:45" x14ac:dyDescent="0.25">
      <c r="A110" s="94">
        <v>2055</v>
      </c>
      <c r="B110" s="139" cm="1">
        <f t="array" ref="B110">SUMPRODUCT((BXL!$C$4:'BXL'!$C$103=A110)*BXL!$X$4:$X$103)+SUMPRODUCT((BXL!$AA$4:'BXL'!$AA$103=A110)*BXL!$AQ$4:$AQ$103)+SUMPRODUCT((BXL!$AB$4:'BXL'!$AB$103=A110)*BXL!$AQ$4:$AQ$103)</f>
        <v>0</v>
      </c>
      <c r="C110" s="139" cm="1">
        <f t="array" ref="C110">SUMPRODUCT((BXL!$C$4:'BXL'!$C$103=A110)*BXL!$Y$4:$Y$103)+SUMPRODUCT((BXL!$AA$4:'BXL'!$AA$103=A110)*BXL!$AR$4:$AR$103)+SUMPRODUCT((BXL!$AB$4:'BXL'!$AB$103=A110)*BXL!$AR$4:$AR$103)</f>
        <v>0</v>
      </c>
      <c r="D110" s="136" cm="1">
        <f t="array" ref="D110">SUMPRODUCT((BXL!$C$4:'BXL'!$C$103=A110)*BXL!$O$4:$O$103)+SUMPRODUCT((BXL!$AA$4:'BXL'!$AA$103=A110)*BXL!$AM$4:$AM$103)+SUMPRODUCT((BXL!$AB$4:'BXL'!$AB$103=A110)*BXL!$AM$4:$AM$103)</f>
        <v>0</v>
      </c>
      <c r="E110" s="136" cm="1">
        <f t="array" ref="E110">SUMPRODUCT((BXL!$C$4:'BXL'!$C$103=A110)*BXL!$R$4:$R$103)+SUMPRODUCT((BXL!$AA$4:'BXL'!$AA$103=A110)*BXL!$AP$4:$AP$103)+SUMPRODUCT((BXL!$AB$4:'BXL'!$AB$103=A110)*BXL!$AP$4:$AP$103)</f>
        <v>0</v>
      </c>
      <c r="F110" s="136" cm="1">
        <f t="array" ref="F110">SUMPRODUCT((BXL!$C$4:'BXL'!$C$103=A110)*BXL!$V$4:$V$103)+SUMPRODUCT((BXL!$AA$4:'BXL'!$AA$103=A110)*BXL!$AS$4:$AS$103)+SUMPRODUCT((BXL!$AB$4:'BXL'!$AB$103=A110)*BXL!$AS$4:$AS$103)</f>
        <v>0</v>
      </c>
      <c r="G110" s="136" cm="1">
        <f t="array" ref="G110">SUMPRODUCT((BXL!$C$4:'BXL'!$C$103=A110)*BXL!$W$4:$W$103)+SUMPRODUCT((BXL!$AA$4:'BXL'!$AA$103=A110)*BXL!$AT$4:$AT$103)+SUMPRODUCT((BXL!$AB$4:'BXL'!$AB$103=A110)*BXL!$AT$4:$AT$103)</f>
        <v>0</v>
      </c>
      <c r="H110" s="115"/>
      <c r="I110" s="139">
        <f t="shared" si="23"/>
        <v>24706.262352500005</v>
      </c>
      <c r="J110" s="136">
        <f t="shared" si="24"/>
        <v>2152.3310500000002</v>
      </c>
      <c r="K110" s="136">
        <f t="shared" si="24"/>
        <v>22553.931302500001</v>
      </c>
      <c r="L110" s="136">
        <f t="shared" si="24"/>
        <v>1635.4297392982455</v>
      </c>
      <c r="M110" s="136">
        <f t="shared" si="24"/>
        <v>1305.2685386666667</v>
      </c>
      <c r="N110" s="115"/>
      <c r="O110" s="131"/>
      <c r="P110" s="131"/>
      <c r="Q110" s="131"/>
      <c r="R110" s="115"/>
      <c r="S110" s="131"/>
      <c r="T110" s="131"/>
      <c r="U110" s="131"/>
      <c r="V110" s="115"/>
      <c r="W110" s="128">
        <f>C110*(ResourcesEmissions!$B$79-Hypotheses!$D$31*Hypotheses!H74)</f>
        <v>0</v>
      </c>
      <c r="X110" s="128">
        <f>C110*(ResourcesEmissions!$B$79-Hypotheses!$D$31*Hypotheses!I74)</f>
        <v>0</v>
      </c>
      <c r="Y110" s="128">
        <f>C110*(ResourcesEmissions!$B$79-Hypotheses!$D$31*Hypotheses!J74)</f>
        <v>0</v>
      </c>
      <c r="Z110" s="115"/>
      <c r="AA110" s="126">
        <f>C110*(ResourcesEmissions!$C$79-Hypotheses!$D$30*Hypotheses!H74+(1-Hypotheses!H74)*Hypotheses!$D$14+Hypotheses!H74*Hypotheses!$D$19)</f>
        <v>0</v>
      </c>
      <c r="AB110" s="126">
        <f>C110*(ResourcesEmissions!$C$79-Hypotheses!$D$30*Hypotheses!I74+(1-Hypotheses!I74)*Hypotheses!$D$14+Hypotheses!I74*Hypotheses!$D$19)</f>
        <v>0</v>
      </c>
      <c r="AC110" s="126">
        <f>C110*(ResourcesEmissions!$C$79-Hypotheses!$D$30*Hypotheses!J74+(1-Hypotheses!J74)*Hypotheses!$D$14+Hypotheses!J74*Hypotheses!$D$19)</f>
        <v>0</v>
      </c>
      <c r="AD110" s="115"/>
      <c r="AE110" s="126">
        <f>C110*(ResourcesEmissions!$C$79-Hypotheses!$D$30*Hypotheses!H74+(1-Hypotheses!H74)*Hypotheses!$D$14+Hypotheses!H74*Hypotheses!$D$21)</f>
        <v>0</v>
      </c>
      <c r="AF110" s="126">
        <f>C110*(ResourcesEmissions!$C$79-Hypotheses!$D$30*Hypotheses!I74+(1-Hypotheses!I74)*Hypotheses!$D$14+Hypotheses!I74*Hypotheses!$D$21)</f>
        <v>0</v>
      </c>
      <c r="AG110" s="126">
        <f>C110*(ResourcesEmissions!$C$79-Hypotheses!$D$30*Hypotheses!J74+(1-Hypotheses!J74)*Hypotheses!$D$14+Hypotheses!J74*Hypotheses!$D$21)</f>
        <v>0</v>
      </c>
      <c r="AH110" s="115"/>
      <c r="AI110" s="128">
        <f t="shared" si="20"/>
        <v>28001.031357758518</v>
      </c>
      <c r="AJ110" s="128">
        <f t="shared" si="20"/>
        <v>26252.770462988257</v>
      </c>
      <c r="AK110" s="128">
        <f t="shared" si="20"/>
        <v>24067.444344525433</v>
      </c>
      <c r="AL110" s="115"/>
      <c r="AM110" s="126">
        <f t="shared" si="21"/>
        <v>18315.506164108112</v>
      </c>
      <c r="AN110" s="126">
        <f t="shared" si="21"/>
        <v>17895.923549363255</v>
      </c>
      <c r="AO110" s="126">
        <f t="shared" si="21"/>
        <v>17371.44528093217</v>
      </c>
      <c r="AP110" s="115"/>
      <c r="AQ110" s="126">
        <f t="shared" si="22"/>
        <v>18315.506164108112</v>
      </c>
      <c r="AR110" s="126">
        <f t="shared" si="22"/>
        <v>17895.923549363255</v>
      </c>
      <c r="AS110" s="126">
        <f t="shared" si="22"/>
        <v>17371.44528093217</v>
      </c>
    </row>
    <row r="111" spans="1:45" x14ac:dyDescent="0.25">
      <c r="A111" s="94">
        <v>2056</v>
      </c>
      <c r="B111" s="139" cm="1">
        <f t="array" ref="B111">SUMPRODUCT((BXL!$C$4:'BXL'!$C$103=A111)*BXL!$X$4:$X$103)+SUMPRODUCT((BXL!$AA$4:'BXL'!$AA$103=A111)*BXL!$AQ$4:$AQ$103)+SUMPRODUCT((BXL!$AB$4:'BXL'!$AB$103=A111)*BXL!$AQ$4:$AQ$103)</f>
        <v>0</v>
      </c>
      <c r="C111" s="139" cm="1">
        <f t="array" ref="C111">SUMPRODUCT((BXL!$C$4:'BXL'!$C$103=A111)*BXL!$Y$4:$Y$103)+SUMPRODUCT((BXL!$AA$4:'BXL'!$AA$103=A111)*BXL!$AR$4:$AR$103)+SUMPRODUCT((BXL!$AB$4:'BXL'!$AB$103=A111)*BXL!$AR$4:$AR$103)</f>
        <v>0</v>
      </c>
      <c r="D111" s="136" cm="1">
        <f t="array" ref="D111">SUMPRODUCT((BXL!$C$4:'BXL'!$C$103=A111)*BXL!$O$4:$O$103)+SUMPRODUCT((BXL!$AA$4:'BXL'!$AA$103=A111)*BXL!$AM$4:$AM$103)+SUMPRODUCT((BXL!$AB$4:'BXL'!$AB$103=A111)*BXL!$AM$4:$AM$103)</f>
        <v>0</v>
      </c>
      <c r="E111" s="136" cm="1">
        <f t="array" ref="E111">SUMPRODUCT((BXL!$C$4:'BXL'!$C$103=A111)*BXL!$R$4:$R$103)+SUMPRODUCT((BXL!$AA$4:'BXL'!$AA$103=A111)*BXL!$AP$4:$AP$103)+SUMPRODUCT((BXL!$AB$4:'BXL'!$AB$103=A111)*BXL!$AP$4:$AP$103)</f>
        <v>0</v>
      </c>
      <c r="F111" s="136" cm="1">
        <f t="array" ref="F111">SUMPRODUCT((BXL!$C$4:'BXL'!$C$103=A111)*BXL!$V$4:$V$103)+SUMPRODUCT((BXL!$AA$4:'BXL'!$AA$103=A111)*BXL!$AS$4:$AS$103)+SUMPRODUCT((BXL!$AB$4:'BXL'!$AB$103=A111)*BXL!$AS$4:$AS$103)</f>
        <v>0</v>
      </c>
      <c r="G111" s="136" cm="1">
        <f t="array" ref="G111">SUMPRODUCT((BXL!$C$4:'BXL'!$C$103=A111)*BXL!$W$4:$W$103)+SUMPRODUCT((BXL!$AA$4:'BXL'!$AA$103=A111)*BXL!$AT$4:$AT$103)+SUMPRODUCT((BXL!$AB$4:'BXL'!$AB$103=A111)*BXL!$AT$4:$AT$103)</f>
        <v>0</v>
      </c>
      <c r="H111" s="115"/>
      <c r="I111" s="139">
        <f t="shared" si="23"/>
        <v>24706.262352500005</v>
      </c>
      <c r="J111" s="136">
        <f t="shared" si="24"/>
        <v>2152.3310500000002</v>
      </c>
      <c r="K111" s="136">
        <f t="shared" si="24"/>
        <v>22553.931302500001</v>
      </c>
      <c r="L111" s="136">
        <f t="shared" si="24"/>
        <v>1635.4297392982455</v>
      </c>
      <c r="M111" s="136">
        <f t="shared" si="24"/>
        <v>1305.2685386666667</v>
      </c>
      <c r="N111" s="115"/>
      <c r="O111" s="131"/>
      <c r="P111" s="131"/>
      <c r="Q111" s="131"/>
      <c r="R111" s="115"/>
      <c r="S111" s="131"/>
      <c r="T111" s="131"/>
      <c r="U111" s="131"/>
      <c r="V111" s="115"/>
      <c r="W111" s="128">
        <f>C111*(ResourcesEmissions!$B$79-Hypotheses!$D$31*Hypotheses!H75)</f>
        <v>0</v>
      </c>
      <c r="X111" s="128">
        <f>C111*(ResourcesEmissions!$B$79-Hypotheses!$D$31*Hypotheses!I75)</f>
        <v>0</v>
      </c>
      <c r="Y111" s="128">
        <f>C111*(ResourcesEmissions!$B$79-Hypotheses!$D$31*Hypotheses!J75)</f>
        <v>0</v>
      </c>
      <c r="Z111" s="115"/>
      <c r="AA111" s="126">
        <f>C111*(ResourcesEmissions!$C$79-Hypotheses!$D$30*Hypotheses!H75+(1-Hypotheses!H75)*Hypotheses!$D$14+Hypotheses!H75*Hypotheses!$D$19)</f>
        <v>0</v>
      </c>
      <c r="AB111" s="126">
        <f>C111*(ResourcesEmissions!$C$79-Hypotheses!$D$30*Hypotheses!I75+(1-Hypotheses!I75)*Hypotheses!$D$14+Hypotheses!I75*Hypotheses!$D$19)</f>
        <v>0</v>
      </c>
      <c r="AC111" s="126">
        <f>C111*(ResourcesEmissions!$C$79-Hypotheses!$D$30*Hypotheses!J75+(1-Hypotheses!J75)*Hypotheses!$D$14+Hypotheses!J75*Hypotheses!$D$19)</f>
        <v>0</v>
      </c>
      <c r="AD111" s="115"/>
      <c r="AE111" s="126">
        <f>C111*(ResourcesEmissions!$C$79-Hypotheses!$D$30*Hypotheses!H75+(1-Hypotheses!H75)*Hypotheses!$D$14+Hypotheses!H75*Hypotheses!$D$21)</f>
        <v>0</v>
      </c>
      <c r="AF111" s="126">
        <f>C111*(ResourcesEmissions!$C$79-Hypotheses!$D$30*Hypotheses!I75+(1-Hypotheses!I75)*Hypotheses!$D$14+Hypotheses!I75*Hypotheses!$D$21)</f>
        <v>0</v>
      </c>
      <c r="AG111" s="126">
        <f>C111*(ResourcesEmissions!$C$79-Hypotheses!$D$30*Hypotheses!J75+(1-Hypotheses!J75)*Hypotheses!$D$14+Hypotheses!J75*Hypotheses!$D$21)</f>
        <v>0</v>
      </c>
      <c r="AH111" s="115"/>
      <c r="AI111" s="128">
        <f t="shared" si="20"/>
        <v>28001.031357758518</v>
      </c>
      <c r="AJ111" s="128">
        <f t="shared" si="20"/>
        <v>26252.770462988257</v>
      </c>
      <c r="AK111" s="128">
        <f t="shared" si="20"/>
        <v>24067.444344525433</v>
      </c>
      <c r="AL111" s="115"/>
      <c r="AM111" s="126">
        <f t="shared" si="21"/>
        <v>18315.506164108112</v>
      </c>
      <c r="AN111" s="126">
        <f t="shared" si="21"/>
        <v>17895.923549363255</v>
      </c>
      <c r="AO111" s="126">
        <f t="shared" si="21"/>
        <v>17371.44528093217</v>
      </c>
      <c r="AP111" s="115"/>
      <c r="AQ111" s="126">
        <f t="shared" si="22"/>
        <v>18315.506164108112</v>
      </c>
      <c r="AR111" s="126">
        <f t="shared" si="22"/>
        <v>17895.923549363255</v>
      </c>
      <c r="AS111" s="126">
        <f t="shared" si="22"/>
        <v>17371.44528093217</v>
      </c>
    </row>
    <row r="112" spans="1:45" x14ac:dyDescent="0.25">
      <c r="A112" s="94">
        <v>2057</v>
      </c>
      <c r="B112" s="139" cm="1">
        <f t="array" ref="B112">SUMPRODUCT((BXL!$C$4:'BXL'!$C$103=A112)*BXL!$X$4:$X$103)+SUMPRODUCT((BXL!$AA$4:'BXL'!$AA$103=A112)*BXL!$AQ$4:$AQ$103)+SUMPRODUCT((BXL!$AB$4:'BXL'!$AB$103=A112)*BXL!$AQ$4:$AQ$103)</f>
        <v>0</v>
      </c>
      <c r="C112" s="139" cm="1">
        <f t="array" ref="C112">SUMPRODUCT((BXL!$C$4:'BXL'!$C$103=A112)*BXL!$Y$4:$Y$103)+SUMPRODUCT((BXL!$AA$4:'BXL'!$AA$103=A112)*BXL!$AR$4:$AR$103)+SUMPRODUCT((BXL!$AB$4:'BXL'!$AB$103=A112)*BXL!$AR$4:$AR$103)</f>
        <v>0</v>
      </c>
      <c r="D112" s="136" cm="1">
        <f t="array" ref="D112">SUMPRODUCT((BXL!$C$4:'BXL'!$C$103=A112)*BXL!$O$4:$O$103)+SUMPRODUCT((BXL!$AA$4:'BXL'!$AA$103=A112)*BXL!$AM$4:$AM$103)+SUMPRODUCT((BXL!$AB$4:'BXL'!$AB$103=A112)*BXL!$AM$4:$AM$103)</f>
        <v>0</v>
      </c>
      <c r="E112" s="136" cm="1">
        <f t="array" ref="E112">SUMPRODUCT((BXL!$C$4:'BXL'!$C$103=A112)*BXL!$R$4:$R$103)+SUMPRODUCT((BXL!$AA$4:'BXL'!$AA$103=A112)*BXL!$AP$4:$AP$103)+SUMPRODUCT((BXL!$AB$4:'BXL'!$AB$103=A112)*BXL!$AP$4:$AP$103)</f>
        <v>0</v>
      </c>
      <c r="F112" s="136" cm="1">
        <f t="array" ref="F112">SUMPRODUCT((BXL!$C$4:'BXL'!$C$103=A112)*BXL!$V$4:$V$103)+SUMPRODUCT((BXL!$AA$4:'BXL'!$AA$103=A112)*BXL!$AS$4:$AS$103)+SUMPRODUCT((BXL!$AB$4:'BXL'!$AB$103=A112)*BXL!$AS$4:$AS$103)</f>
        <v>0</v>
      </c>
      <c r="G112" s="136" cm="1">
        <f t="array" ref="G112">SUMPRODUCT((BXL!$C$4:'BXL'!$C$103=A112)*BXL!$W$4:$W$103)+SUMPRODUCT((BXL!$AA$4:'BXL'!$AA$103=A112)*BXL!$AT$4:$AT$103)+SUMPRODUCT((BXL!$AB$4:'BXL'!$AB$103=A112)*BXL!$AT$4:$AT$103)</f>
        <v>0</v>
      </c>
      <c r="H112" s="115"/>
      <c r="I112" s="139">
        <f t="shared" si="23"/>
        <v>24706.262352500005</v>
      </c>
      <c r="J112" s="136">
        <f t="shared" si="24"/>
        <v>2152.3310500000002</v>
      </c>
      <c r="K112" s="136">
        <f t="shared" si="24"/>
        <v>22553.931302500001</v>
      </c>
      <c r="L112" s="136">
        <f t="shared" si="24"/>
        <v>1635.4297392982455</v>
      </c>
      <c r="M112" s="136">
        <f t="shared" si="24"/>
        <v>1305.2685386666667</v>
      </c>
      <c r="N112" s="115"/>
      <c r="O112" s="131"/>
      <c r="P112" s="131"/>
      <c r="Q112" s="131"/>
      <c r="R112" s="115"/>
      <c r="S112" s="131"/>
      <c r="T112" s="131"/>
      <c r="U112" s="131"/>
      <c r="V112" s="115"/>
      <c r="W112" s="128">
        <f>C112*(ResourcesEmissions!$B$79-Hypotheses!$D$31*Hypotheses!H76)</f>
        <v>0</v>
      </c>
      <c r="X112" s="128">
        <f>C112*(ResourcesEmissions!$B$79-Hypotheses!$D$31*Hypotheses!I76)</f>
        <v>0</v>
      </c>
      <c r="Y112" s="128">
        <f>C112*(ResourcesEmissions!$B$79-Hypotheses!$D$31*Hypotheses!J76)</f>
        <v>0</v>
      </c>
      <c r="Z112" s="115"/>
      <c r="AA112" s="126">
        <f>C112*(ResourcesEmissions!$C$79-Hypotheses!$D$30*Hypotheses!H76+(1-Hypotheses!H76)*Hypotheses!$D$14+Hypotheses!H76*Hypotheses!$D$19)</f>
        <v>0</v>
      </c>
      <c r="AB112" s="126">
        <f>C112*(ResourcesEmissions!$C$79-Hypotheses!$D$30*Hypotheses!I76+(1-Hypotheses!I76)*Hypotheses!$D$14+Hypotheses!I76*Hypotheses!$D$19)</f>
        <v>0</v>
      </c>
      <c r="AC112" s="126">
        <f>C112*(ResourcesEmissions!$C$79-Hypotheses!$D$30*Hypotheses!J76+(1-Hypotheses!J76)*Hypotheses!$D$14+Hypotheses!J76*Hypotheses!$D$19)</f>
        <v>0</v>
      </c>
      <c r="AD112" s="115"/>
      <c r="AE112" s="126">
        <f>C112*(ResourcesEmissions!$C$79-Hypotheses!$D$30*Hypotheses!H76+(1-Hypotheses!H76)*Hypotheses!$D$14+Hypotheses!H76*Hypotheses!$D$21)</f>
        <v>0</v>
      </c>
      <c r="AF112" s="126">
        <f>C112*(ResourcesEmissions!$C$79-Hypotheses!$D$30*Hypotheses!I76+(1-Hypotheses!I76)*Hypotheses!$D$14+Hypotheses!I76*Hypotheses!$D$21)</f>
        <v>0</v>
      </c>
      <c r="AG112" s="126">
        <f>C112*(ResourcesEmissions!$C$79-Hypotheses!$D$30*Hypotheses!J76+(1-Hypotheses!J76)*Hypotheses!$D$14+Hypotheses!J76*Hypotheses!$D$21)</f>
        <v>0</v>
      </c>
      <c r="AH112" s="115"/>
      <c r="AI112" s="128">
        <f t="shared" si="20"/>
        <v>28001.031357758518</v>
      </c>
      <c r="AJ112" s="128">
        <f t="shared" si="20"/>
        <v>26252.770462988257</v>
      </c>
      <c r="AK112" s="128">
        <f t="shared" si="20"/>
        <v>24067.444344525433</v>
      </c>
      <c r="AL112" s="115"/>
      <c r="AM112" s="126">
        <f t="shared" si="21"/>
        <v>18315.506164108112</v>
      </c>
      <c r="AN112" s="126">
        <f t="shared" si="21"/>
        <v>17895.923549363255</v>
      </c>
      <c r="AO112" s="126">
        <f t="shared" si="21"/>
        <v>17371.44528093217</v>
      </c>
      <c r="AP112" s="115"/>
      <c r="AQ112" s="126">
        <f t="shared" si="22"/>
        <v>18315.506164108112</v>
      </c>
      <c r="AR112" s="126">
        <f t="shared" si="22"/>
        <v>17895.923549363255</v>
      </c>
      <c r="AS112" s="126">
        <f t="shared" si="22"/>
        <v>17371.44528093217</v>
      </c>
    </row>
    <row r="113" spans="1:45" x14ac:dyDescent="0.25">
      <c r="A113" s="94">
        <v>2058</v>
      </c>
      <c r="B113" s="139" cm="1">
        <f t="array" ref="B113">SUMPRODUCT((BXL!$C$4:'BXL'!$C$103=A113)*BXL!$X$4:$X$103)+SUMPRODUCT((BXL!$AA$4:'BXL'!$AA$103=A113)*BXL!$AQ$4:$AQ$103)+SUMPRODUCT((BXL!$AB$4:'BXL'!$AB$103=A113)*BXL!$AQ$4:$AQ$103)</f>
        <v>0</v>
      </c>
      <c r="C113" s="139" cm="1">
        <f t="array" ref="C113">SUMPRODUCT((BXL!$C$4:'BXL'!$C$103=A113)*BXL!$Y$4:$Y$103)+SUMPRODUCT((BXL!$AA$4:'BXL'!$AA$103=A113)*BXL!$AR$4:$AR$103)+SUMPRODUCT((BXL!$AB$4:'BXL'!$AB$103=A113)*BXL!$AR$4:$AR$103)</f>
        <v>0</v>
      </c>
      <c r="D113" s="136" cm="1">
        <f t="array" ref="D113">SUMPRODUCT((BXL!$C$4:'BXL'!$C$103=A113)*BXL!$O$4:$O$103)+SUMPRODUCT((BXL!$AA$4:'BXL'!$AA$103=A113)*BXL!$AM$4:$AM$103)+SUMPRODUCT((BXL!$AB$4:'BXL'!$AB$103=A113)*BXL!$AM$4:$AM$103)</f>
        <v>0</v>
      </c>
      <c r="E113" s="136" cm="1">
        <f t="array" ref="E113">SUMPRODUCT((BXL!$C$4:'BXL'!$C$103=A113)*BXL!$R$4:$R$103)+SUMPRODUCT((BXL!$AA$4:'BXL'!$AA$103=A113)*BXL!$AP$4:$AP$103)+SUMPRODUCT((BXL!$AB$4:'BXL'!$AB$103=A113)*BXL!$AP$4:$AP$103)</f>
        <v>0</v>
      </c>
      <c r="F113" s="136" cm="1">
        <f t="array" ref="F113">SUMPRODUCT((BXL!$C$4:'BXL'!$C$103=A113)*BXL!$V$4:$V$103)+SUMPRODUCT((BXL!$AA$4:'BXL'!$AA$103=A113)*BXL!$AS$4:$AS$103)+SUMPRODUCT((BXL!$AB$4:'BXL'!$AB$103=A113)*BXL!$AS$4:$AS$103)</f>
        <v>0</v>
      </c>
      <c r="G113" s="136" cm="1">
        <f t="array" ref="G113">SUMPRODUCT((BXL!$C$4:'BXL'!$C$103=A113)*BXL!$W$4:$W$103)+SUMPRODUCT((BXL!$AA$4:'BXL'!$AA$103=A113)*BXL!$AT$4:$AT$103)+SUMPRODUCT((BXL!$AB$4:'BXL'!$AB$103=A113)*BXL!$AT$4:$AT$103)</f>
        <v>0</v>
      </c>
      <c r="H113" s="115"/>
      <c r="I113" s="139">
        <f t="shared" si="23"/>
        <v>24706.262352500005</v>
      </c>
      <c r="J113" s="136">
        <f t="shared" si="24"/>
        <v>2152.3310500000002</v>
      </c>
      <c r="K113" s="136">
        <f t="shared" si="24"/>
        <v>22553.931302500001</v>
      </c>
      <c r="L113" s="136">
        <f t="shared" si="24"/>
        <v>1635.4297392982455</v>
      </c>
      <c r="M113" s="136">
        <f t="shared" si="24"/>
        <v>1305.2685386666667</v>
      </c>
      <c r="N113" s="115"/>
      <c r="O113" s="131"/>
      <c r="P113" s="131"/>
      <c r="Q113" s="131"/>
      <c r="R113" s="115"/>
      <c r="S113" s="131"/>
      <c r="T113" s="131"/>
      <c r="U113" s="131"/>
      <c r="V113" s="115"/>
      <c r="W113" s="128">
        <f>C113*(ResourcesEmissions!$B$79-Hypotheses!$D$31*Hypotheses!H77)</f>
        <v>0</v>
      </c>
      <c r="X113" s="128">
        <f>C113*(ResourcesEmissions!$B$79-Hypotheses!$D$31*Hypotheses!I77)</f>
        <v>0</v>
      </c>
      <c r="Y113" s="128">
        <f>C113*(ResourcesEmissions!$B$79-Hypotheses!$D$31*Hypotheses!J77)</f>
        <v>0</v>
      </c>
      <c r="Z113" s="115"/>
      <c r="AA113" s="126">
        <f>C113*(ResourcesEmissions!$C$79-Hypotheses!$D$30*Hypotheses!H77+(1-Hypotheses!H77)*Hypotheses!$D$14+Hypotheses!H77*Hypotheses!$D$19)</f>
        <v>0</v>
      </c>
      <c r="AB113" s="126">
        <f>C113*(ResourcesEmissions!$C$79-Hypotheses!$D$30*Hypotheses!I77+(1-Hypotheses!I77)*Hypotheses!$D$14+Hypotheses!I77*Hypotheses!$D$19)</f>
        <v>0</v>
      </c>
      <c r="AC113" s="126">
        <f>C113*(ResourcesEmissions!$C$79-Hypotheses!$D$30*Hypotheses!J77+(1-Hypotheses!J77)*Hypotheses!$D$14+Hypotheses!J77*Hypotheses!$D$19)</f>
        <v>0</v>
      </c>
      <c r="AD113" s="115"/>
      <c r="AE113" s="126">
        <f>C113*(ResourcesEmissions!$C$79-Hypotheses!$D$30*Hypotheses!H77+(1-Hypotheses!H77)*Hypotheses!$D$14+Hypotheses!H77*Hypotheses!$D$21)</f>
        <v>0</v>
      </c>
      <c r="AF113" s="126">
        <f>C113*(ResourcesEmissions!$C$79-Hypotheses!$D$30*Hypotheses!I77+(1-Hypotheses!I77)*Hypotheses!$D$14+Hypotheses!I77*Hypotheses!$D$21)</f>
        <v>0</v>
      </c>
      <c r="AG113" s="126">
        <f>C113*(ResourcesEmissions!$C$79-Hypotheses!$D$30*Hypotheses!J77+(1-Hypotheses!J77)*Hypotheses!$D$14+Hypotheses!J77*Hypotheses!$D$21)</f>
        <v>0</v>
      </c>
      <c r="AH113" s="115"/>
      <c r="AI113" s="128">
        <f t="shared" ref="AI113:AK125" si="25">W113+AI112</f>
        <v>28001.031357758518</v>
      </c>
      <c r="AJ113" s="128">
        <f t="shared" si="25"/>
        <v>26252.770462988257</v>
      </c>
      <c r="AK113" s="128">
        <f t="shared" si="25"/>
        <v>24067.444344525433</v>
      </c>
      <c r="AL113" s="115"/>
      <c r="AM113" s="126">
        <f t="shared" ref="AM113:AO125" si="26">AE113+AM112</f>
        <v>18315.506164108112</v>
      </c>
      <c r="AN113" s="126">
        <f t="shared" si="26"/>
        <v>17895.923549363255</v>
      </c>
      <c r="AO113" s="126">
        <f t="shared" si="26"/>
        <v>17371.44528093217</v>
      </c>
      <c r="AP113" s="115"/>
      <c r="AQ113" s="126">
        <f t="shared" ref="AQ113:AS125" si="27">AE113+AQ112</f>
        <v>18315.506164108112</v>
      </c>
      <c r="AR113" s="126">
        <f t="shared" si="27"/>
        <v>17895.923549363255</v>
      </c>
      <c r="AS113" s="126">
        <f t="shared" si="27"/>
        <v>17371.44528093217</v>
      </c>
    </row>
    <row r="114" spans="1:45" x14ac:dyDescent="0.25">
      <c r="A114" s="94">
        <v>2059</v>
      </c>
      <c r="B114" s="139" cm="1">
        <f t="array" ref="B114">SUMPRODUCT((BXL!$C$4:'BXL'!$C$103=A114)*BXL!$X$4:$X$103)+SUMPRODUCT((BXL!$AA$4:'BXL'!$AA$103=A114)*BXL!$AQ$4:$AQ$103)+SUMPRODUCT((BXL!$AB$4:'BXL'!$AB$103=A114)*BXL!$AQ$4:$AQ$103)</f>
        <v>0</v>
      </c>
      <c r="C114" s="139" cm="1">
        <f t="array" ref="C114">SUMPRODUCT((BXL!$C$4:'BXL'!$C$103=A114)*BXL!$Y$4:$Y$103)+SUMPRODUCT((BXL!$AA$4:'BXL'!$AA$103=A114)*BXL!$AR$4:$AR$103)+SUMPRODUCT((BXL!$AB$4:'BXL'!$AB$103=A114)*BXL!$AR$4:$AR$103)</f>
        <v>0</v>
      </c>
      <c r="D114" s="136" cm="1">
        <f t="array" ref="D114">SUMPRODUCT((BXL!$C$4:'BXL'!$C$103=A114)*BXL!$O$4:$O$103)+SUMPRODUCT((BXL!$AA$4:'BXL'!$AA$103=A114)*BXL!$AM$4:$AM$103)+SUMPRODUCT((BXL!$AB$4:'BXL'!$AB$103=A114)*BXL!$AM$4:$AM$103)</f>
        <v>0</v>
      </c>
      <c r="E114" s="136" cm="1">
        <f t="array" ref="E114">SUMPRODUCT((BXL!$C$4:'BXL'!$C$103=A114)*BXL!$R$4:$R$103)+SUMPRODUCT((BXL!$AA$4:'BXL'!$AA$103=A114)*BXL!$AP$4:$AP$103)+SUMPRODUCT((BXL!$AB$4:'BXL'!$AB$103=A114)*BXL!$AP$4:$AP$103)</f>
        <v>0</v>
      </c>
      <c r="F114" s="136" cm="1">
        <f t="array" ref="F114">SUMPRODUCT((BXL!$C$4:'BXL'!$C$103=A114)*BXL!$V$4:$V$103)+SUMPRODUCT((BXL!$AA$4:'BXL'!$AA$103=A114)*BXL!$AS$4:$AS$103)+SUMPRODUCT((BXL!$AB$4:'BXL'!$AB$103=A114)*BXL!$AS$4:$AS$103)</f>
        <v>0</v>
      </c>
      <c r="G114" s="136" cm="1">
        <f t="array" ref="G114">SUMPRODUCT((BXL!$C$4:'BXL'!$C$103=A114)*BXL!$W$4:$W$103)+SUMPRODUCT((BXL!$AA$4:'BXL'!$AA$103=A114)*BXL!$AT$4:$AT$103)+SUMPRODUCT((BXL!$AB$4:'BXL'!$AB$103=A114)*BXL!$AT$4:$AT$103)</f>
        <v>0</v>
      </c>
      <c r="H114" s="115"/>
      <c r="I114" s="139">
        <f t="shared" si="23"/>
        <v>24706.262352500005</v>
      </c>
      <c r="J114" s="136">
        <f t="shared" si="24"/>
        <v>2152.3310500000002</v>
      </c>
      <c r="K114" s="136">
        <f t="shared" si="24"/>
        <v>22553.931302500001</v>
      </c>
      <c r="L114" s="136">
        <f t="shared" si="24"/>
        <v>1635.4297392982455</v>
      </c>
      <c r="M114" s="136">
        <f t="shared" si="24"/>
        <v>1305.2685386666667</v>
      </c>
      <c r="N114" s="115"/>
      <c r="O114" s="131"/>
      <c r="P114" s="131"/>
      <c r="Q114" s="131"/>
      <c r="R114" s="115"/>
      <c r="S114" s="131"/>
      <c r="T114" s="131"/>
      <c r="U114" s="131"/>
      <c r="V114" s="115"/>
      <c r="W114" s="128">
        <f>C114*(ResourcesEmissions!$B$79-Hypotheses!$D$31*Hypotheses!H78)</f>
        <v>0</v>
      </c>
      <c r="X114" s="128">
        <f>C114*(ResourcesEmissions!$B$79-Hypotheses!$D$31*Hypotheses!I78)</f>
        <v>0</v>
      </c>
      <c r="Y114" s="128">
        <f>C114*(ResourcesEmissions!$B$79-Hypotheses!$D$31*Hypotheses!J78)</f>
        <v>0</v>
      </c>
      <c r="Z114" s="115"/>
      <c r="AA114" s="126">
        <f>C114*(ResourcesEmissions!$C$79-Hypotheses!$D$30*Hypotheses!H78+(1-Hypotheses!H78)*Hypotheses!$D$14+Hypotheses!H78*Hypotheses!$D$19)</f>
        <v>0</v>
      </c>
      <c r="AB114" s="126">
        <f>C114*(ResourcesEmissions!$C$79-Hypotheses!$D$30*Hypotheses!I78+(1-Hypotheses!I78)*Hypotheses!$D$14+Hypotheses!I78*Hypotheses!$D$19)</f>
        <v>0</v>
      </c>
      <c r="AC114" s="126">
        <f>C114*(ResourcesEmissions!$C$79-Hypotheses!$D$30*Hypotheses!J78+(1-Hypotheses!J78)*Hypotheses!$D$14+Hypotheses!J78*Hypotheses!$D$19)</f>
        <v>0</v>
      </c>
      <c r="AD114" s="115"/>
      <c r="AE114" s="126">
        <f>C114*(ResourcesEmissions!$C$79-Hypotheses!$D$30*Hypotheses!H78+(1-Hypotheses!H78)*Hypotheses!$D$14+Hypotheses!H78*Hypotheses!$D$21)</f>
        <v>0</v>
      </c>
      <c r="AF114" s="126">
        <f>C114*(ResourcesEmissions!$C$79-Hypotheses!$D$30*Hypotheses!I78+(1-Hypotheses!I78)*Hypotheses!$D$14+Hypotheses!I78*Hypotheses!$D$21)</f>
        <v>0</v>
      </c>
      <c r="AG114" s="126">
        <f>C114*(ResourcesEmissions!$C$79-Hypotheses!$D$30*Hypotheses!J78+(1-Hypotheses!J78)*Hypotheses!$D$14+Hypotheses!J78*Hypotheses!$D$21)</f>
        <v>0</v>
      </c>
      <c r="AH114" s="115"/>
      <c r="AI114" s="128">
        <f t="shared" si="25"/>
        <v>28001.031357758518</v>
      </c>
      <c r="AJ114" s="128">
        <f t="shared" si="25"/>
        <v>26252.770462988257</v>
      </c>
      <c r="AK114" s="128">
        <f t="shared" si="25"/>
        <v>24067.444344525433</v>
      </c>
      <c r="AL114" s="115"/>
      <c r="AM114" s="126">
        <f t="shared" si="26"/>
        <v>18315.506164108112</v>
      </c>
      <c r="AN114" s="126">
        <f t="shared" si="26"/>
        <v>17895.923549363255</v>
      </c>
      <c r="AO114" s="126">
        <f t="shared" si="26"/>
        <v>17371.44528093217</v>
      </c>
      <c r="AP114" s="115"/>
      <c r="AQ114" s="126">
        <f t="shared" si="27"/>
        <v>18315.506164108112</v>
      </c>
      <c r="AR114" s="126">
        <f t="shared" si="27"/>
        <v>17895.923549363255</v>
      </c>
      <c r="AS114" s="126">
        <f t="shared" si="27"/>
        <v>17371.44528093217</v>
      </c>
    </row>
    <row r="115" spans="1:45" x14ac:dyDescent="0.25">
      <c r="A115" s="94">
        <v>2060</v>
      </c>
      <c r="B115" s="139" cm="1">
        <f t="array" ref="B115">SUMPRODUCT((BXL!$C$4:'BXL'!$C$103=A115)*BXL!$X$4:$X$103)+SUMPRODUCT((BXL!$AA$4:'BXL'!$AA$103=A115)*BXL!$AQ$4:$AQ$103)+SUMPRODUCT((BXL!$AB$4:'BXL'!$AB$103=A115)*BXL!$AQ$4:$AQ$103)</f>
        <v>24930</v>
      </c>
      <c r="C115" s="139" cm="1">
        <f t="array" ref="C115">SUMPRODUCT((BXL!$C$4:'BXL'!$C$103=A115)*BXL!$Y$4:$Y$103)+SUMPRODUCT((BXL!$AA$4:'BXL'!$AA$103=A115)*BXL!$AR$4:$AR$103)+SUMPRODUCT((BXL!$AB$4:'BXL'!$AB$103=A115)*BXL!$AR$4:$AR$103)</f>
        <v>1047.5999999999999</v>
      </c>
      <c r="D115" s="136" cm="1">
        <f t="array" ref="D115">SUMPRODUCT((BXL!$C$4:'BXL'!$C$103=A115)*BXL!$O$4:$O$103)+SUMPRODUCT((BXL!$AA$4:'BXL'!$AA$103=A115)*BXL!$AM$4:$AM$103)+SUMPRODUCT((BXL!$AB$4:'BXL'!$AB$103=A115)*BXL!$AM$4:$AM$103)</f>
        <v>0</v>
      </c>
      <c r="E115" s="136" cm="1">
        <f t="array" ref="E115">SUMPRODUCT((BXL!$C$4:'BXL'!$C$103=A115)*BXL!$R$4:$R$103)+SUMPRODUCT((BXL!$AA$4:'BXL'!$AA$103=A115)*BXL!$AP$4:$AP$103)+SUMPRODUCT((BXL!$AB$4:'BXL'!$AB$103=A115)*BXL!$AP$4:$AP$103)</f>
        <v>1047.5999999999999</v>
      </c>
      <c r="F115" s="136" cm="1">
        <f t="array" ref="F115">SUMPRODUCT((BXL!$C$4:'BXL'!$C$103=A115)*BXL!$V$4:$V$103)+SUMPRODUCT((BXL!$AA$4:'BXL'!$AA$103=A115)*BXL!$AS$4:$AS$103)+SUMPRODUCT((BXL!$AB$4:'BXL'!$AB$103=A115)*BXL!$AS$4:$AS$103)</f>
        <v>57.229199999999999</v>
      </c>
      <c r="G115" s="136" cm="1">
        <f t="array" ref="G115">SUMPRODUCT((BXL!$C$4:'BXL'!$C$103=A115)*BXL!$W$4:$W$103)+SUMPRODUCT((BXL!$AA$4:'BXL'!$AA$103=A115)*BXL!$AT$4:$AT$103)+SUMPRODUCT((BXL!$AB$4:'BXL'!$AB$103=A115)*BXL!$AT$4:$AT$103)</f>
        <v>57.229199999999999</v>
      </c>
      <c r="H115" s="115"/>
      <c r="I115" s="139">
        <f t="shared" si="23"/>
        <v>25753.862352500004</v>
      </c>
      <c r="J115" s="136">
        <f t="shared" si="24"/>
        <v>2152.3310500000002</v>
      </c>
      <c r="K115" s="136">
        <f t="shared" si="24"/>
        <v>23601.5313025</v>
      </c>
      <c r="L115" s="136">
        <f t="shared" si="24"/>
        <v>1692.6589392982455</v>
      </c>
      <c r="M115" s="136">
        <f t="shared" si="24"/>
        <v>1362.4977386666667</v>
      </c>
      <c r="N115" s="115"/>
      <c r="O115" s="131"/>
      <c r="P115" s="131"/>
      <c r="Q115" s="131"/>
      <c r="R115" s="115"/>
      <c r="S115" s="131"/>
      <c r="T115" s="131"/>
      <c r="U115" s="131"/>
      <c r="V115" s="115"/>
      <c r="W115" s="128">
        <f>C115*(ResourcesEmissions!$B$79-Hypotheses!$D$31*Hypotheses!H79)</f>
        <v>1097.5705199999998</v>
      </c>
      <c r="X115" s="128">
        <f>C115*(ResourcesEmissions!$B$79-Hypotheses!$D$31*Hypotheses!I79)</f>
        <v>846.14745696655518</v>
      </c>
      <c r="Y115" s="128">
        <f>C115*(ResourcesEmissions!$B$79-Hypotheses!$D$31*Hypotheses!J79)</f>
        <v>531.86862817474946</v>
      </c>
      <c r="Z115" s="115"/>
      <c r="AA115" s="126">
        <f>C115*(ResourcesEmissions!$C$79-Hypotheses!$D$30*Hypotheses!H79+(1-Hypotheses!H79)*Hypotheses!$D$14+Hypotheses!H79*Hypotheses!$D$19)</f>
        <v>584.24199048458115</v>
      </c>
      <c r="AB115" s="126">
        <f>C115*(ResourcesEmissions!$C$79-Hypotheses!$D$30*Hypotheses!I79+(1-Hypotheses!I79)*Hypotheses!$D$14+Hypotheses!I79*Hypotheses!$D$19)</f>
        <v>520.12910941105281</v>
      </c>
      <c r="AC115" s="126">
        <f>C115*(ResourcesEmissions!$C$79-Hypotheses!$D$30*Hypotheses!J79+(1-Hypotheses!J79)*Hypotheses!$D$14+Hypotheses!J79*Hypotheses!$D$19)</f>
        <v>439.98800806914244</v>
      </c>
      <c r="AD115" s="115"/>
      <c r="AE115" s="126">
        <f>C115*(ResourcesEmissions!$C$79-Hypotheses!$D$30*Hypotheses!H79+(1-Hypotheses!H79)*Hypotheses!$D$14+Hypotheses!H79*Hypotheses!$D$21)</f>
        <v>585.1848304845812</v>
      </c>
      <c r="AF115" s="126">
        <f>C115*(ResourcesEmissions!$C$79-Hypotheses!$D$30*Hypotheses!I79+(1-Hypotheses!I79)*Hypotheses!$D$14+Hypotheses!I79*Hypotheses!$D$21)</f>
        <v>524.84329535655456</v>
      </c>
      <c r="AG115" s="126">
        <f>C115*(ResourcesEmissions!$C$79-Hypotheses!$D$30*Hypotheses!J79+(1-Hypotheses!J79)*Hypotheses!$D$14+Hypotheses!J79*Hypotheses!$D$21)</f>
        <v>449.41637644652121</v>
      </c>
      <c r="AH115" s="115"/>
      <c r="AI115" s="128">
        <f t="shared" si="25"/>
        <v>29098.60187775852</v>
      </c>
      <c r="AJ115" s="128">
        <f t="shared" si="25"/>
        <v>27098.917919954813</v>
      </c>
      <c r="AK115" s="128">
        <f t="shared" si="25"/>
        <v>24599.312972700183</v>
      </c>
      <c r="AL115" s="115"/>
      <c r="AM115" s="126">
        <f t="shared" si="26"/>
        <v>18900.690994592693</v>
      </c>
      <c r="AN115" s="126">
        <f t="shared" si="26"/>
        <v>18420.766844719808</v>
      </c>
      <c r="AO115" s="126">
        <f t="shared" si="26"/>
        <v>17820.861657378693</v>
      </c>
      <c r="AP115" s="115"/>
      <c r="AQ115" s="126">
        <f t="shared" si="27"/>
        <v>18900.690994592693</v>
      </c>
      <c r="AR115" s="126">
        <f t="shared" si="27"/>
        <v>18420.766844719808</v>
      </c>
      <c r="AS115" s="126">
        <f t="shared" si="27"/>
        <v>17820.861657378693</v>
      </c>
    </row>
    <row r="116" spans="1:45" x14ac:dyDescent="0.25">
      <c r="A116" s="94">
        <v>2061</v>
      </c>
      <c r="B116" s="139" cm="1">
        <f t="array" ref="B116">SUMPRODUCT((BXL!$C$4:'BXL'!$C$103=A116)*BXL!$X$4:$X$103)+SUMPRODUCT((BXL!$AA$4:'BXL'!$AA$103=A116)*BXL!$AQ$4:$AQ$103)+SUMPRODUCT((BXL!$AB$4:'BXL'!$AB$103=A116)*BXL!$AQ$4:$AQ$103)</f>
        <v>10080</v>
      </c>
      <c r="C116" s="139" cm="1">
        <f t="array" ref="C116">SUMPRODUCT((BXL!$C$4:'BXL'!$C$103=A116)*BXL!$Y$4:$Y$103)+SUMPRODUCT((BXL!$AA$4:'BXL'!$AA$103=A116)*BXL!$AR$4:$AR$103)+SUMPRODUCT((BXL!$AB$4:'BXL'!$AB$103=A116)*BXL!$AR$4:$AR$103)</f>
        <v>453.6</v>
      </c>
      <c r="D116" s="136" cm="1">
        <f t="array" ref="D116">SUMPRODUCT((BXL!$C$4:'BXL'!$C$103=A116)*BXL!$O$4:$O$103)+SUMPRODUCT((BXL!$AA$4:'BXL'!$AA$103=A116)*BXL!$AM$4:$AM$103)+SUMPRODUCT((BXL!$AB$4:'BXL'!$AB$103=A116)*BXL!$AM$4:$AM$103)</f>
        <v>0</v>
      </c>
      <c r="E116" s="136" cm="1">
        <f t="array" ref="E116">SUMPRODUCT((BXL!$C$4:'BXL'!$C$103=A116)*BXL!$R$4:$R$103)+SUMPRODUCT((BXL!$AA$4:'BXL'!$AA$103=A116)*BXL!$AP$4:$AP$103)+SUMPRODUCT((BXL!$AB$4:'BXL'!$AB$103=A116)*BXL!$AP$4:$AP$103)</f>
        <v>453.6</v>
      </c>
      <c r="F116" s="136" cm="1">
        <f t="array" ref="F116">SUMPRODUCT((BXL!$C$4:'BXL'!$C$103=A116)*BXL!$V$4:$V$103)+SUMPRODUCT((BXL!$AA$4:'BXL'!$AA$103=A116)*BXL!$AS$4:$AS$103)+SUMPRODUCT((BXL!$AB$4:'BXL'!$AB$103=A116)*BXL!$AS$4:$AS$103)</f>
        <v>22.5792</v>
      </c>
      <c r="G116" s="136" cm="1">
        <f t="array" ref="G116">SUMPRODUCT((BXL!$C$4:'BXL'!$C$103=A116)*BXL!$W$4:$W$103)+SUMPRODUCT((BXL!$AA$4:'BXL'!$AA$103=A116)*BXL!$AT$4:$AT$103)+SUMPRODUCT((BXL!$AB$4:'BXL'!$AB$103=A116)*BXL!$AT$4:$AT$103)</f>
        <v>22.5792</v>
      </c>
      <c r="H116" s="115"/>
      <c r="I116" s="139">
        <f t="shared" si="23"/>
        <v>26207.462352500002</v>
      </c>
      <c r="J116" s="136">
        <f t="shared" si="24"/>
        <v>2152.3310500000002</v>
      </c>
      <c r="K116" s="136">
        <f t="shared" si="24"/>
        <v>24055.131302499998</v>
      </c>
      <c r="L116" s="136">
        <f t="shared" si="24"/>
        <v>1715.2381392982454</v>
      </c>
      <c r="M116" s="136">
        <f t="shared" si="24"/>
        <v>1385.0769386666666</v>
      </c>
      <c r="N116" s="115"/>
      <c r="O116" s="131"/>
      <c r="P116" s="131"/>
      <c r="Q116" s="131"/>
      <c r="R116" s="115"/>
      <c r="S116" s="131"/>
      <c r="T116" s="131"/>
      <c r="U116" s="131"/>
      <c r="V116" s="115"/>
      <c r="W116" s="128">
        <f>C116*(ResourcesEmissions!$B$79-Hypotheses!$D$31*Hypotheses!H80)</f>
        <v>475.23671999999993</v>
      </c>
      <c r="X116" s="128">
        <f>C116*(ResourcesEmissions!$B$79-Hypotheses!$D$31*Hypotheses!I80)</f>
        <v>366.37296606794433</v>
      </c>
      <c r="Y116" s="128">
        <f>C116*(ResourcesEmissions!$B$79-Hypotheses!$D$31*Hypotheses!J80)</f>
        <v>230.2932736528748</v>
      </c>
      <c r="Z116" s="115"/>
      <c r="AA116" s="126">
        <f>C116*(ResourcesEmissions!$C$79-Hypotheses!$D$30*Hypotheses!H80+(1-Hypotheses!H80)*Hypotheses!$D$14+Hypotheses!H80*Hypotheses!$D$19)</f>
        <v>252.97075876651971</v>
      </c>
      <c r="AB116" s="126">
        <f>C116*(ResourcesEmissions!$C$79-Hypotheses!$D$30*Hypotheses!I80+(1-Hypotheses!I80)*Hypotheses!$D$14+Hypotheses!I80*Hypotheses!$D$19)</f>
        <v>225.21050151384557</v>
      </c>
      <c r="AC116" s="126">
        <f>C116*(ResourcesEmissions!$C$79-Hypotheses!$D$30*Hypotheses!J80+(1-Hypotheses!J80)*Hypotheses!$D$14+Hypotheses!J80*Hypotheses!$D$19)</f>
        <v>190.51017994800281</v>
      </c>
      <c r="AD116" s="115"/>
      <c r="AE116" s="126">
        <f>C116*(ResourcesEmissions!$C$79-Hypotheses!$D$30*Hypotheses!H80+(1-Hypotheses!H80)*Hypotheses!$D$14+Hypotheses!H80*Hypotheses!$D$21)</f>
        <v>253.37899876651971</v>
      </c>
      <c r="AF116" s="126">
        <f>C116*(ResourcesEmissions!$C$79-Hypotheses!$D$30*Hypotheses!I80+(1-Hypotheses!I80)*Hypotheses!$D$14+Hypotheses!I80*Hypotheses!$D$21)</f>
        <v>227.2516978228264</v>
      </c>
      <c r="AG116" s="126">
        <f>C116*(ResourcesEmissions!$C$79-Hypotheses!$D$30*Hypotheses!J80+(1-Hypotheses!J80)*Hypotheses!$D$14+Hypotheses!J80*Hypotheses!$D$21)</f>
        <v>194.59257164320971</v>
      </c>
      <c r="AH116" s="115"/>
      <c r="AI116" s="128">
        <f t="shared" si="25"/>
        <v>29573.83859775852</v>
      </c>
      <c r="AJ116" s="128">
        <f t="shared" si="25"/>
        <v>27465.290886022758</v>
      </c>
      <c r="AK116" s="128">
        <f t="shared" si="25"/>
        <v>24829.606246353058</v>
      </c>
      <c r="AL116" s="115"/>
      <c r="AM116" s="126">
        <f t="shared" si="26"/>
        <v>19154.069993359211</v>
      </c>
      <c r="AN116" s="126">
        <f t="shared" si="26"/>
        <v>18648.018542542635</v>
      </c>
      <c r="AO116" s="126">
        <f t="shared" si="26"/>
        <v>18015.454229021903</v>
      </c>
      <c r="AP116" s="115"/>
      <c r="AQ116" s="126">
        <f t="shared" si="27"/>
        <v>19154.069993359211</v>
      </c>
      <c r="AR116" s="126">
        <f t="shared" si="27"/>
        <v>18648.018542542635</v>
      </c>
      <c r="AS116" s="126">
        <f t="shared" si="27"/>
        <v>18015.454229021903</v>
      </c>
    </row>
    <row r="117" spans="1:45" x14ac:dyDescent="0.25">
      <c r="A117" s="94">
        <v>2062</v>
      </c>
      <c r="B117" s="139" cm="1">
        <f t="array" ref="B117">SUMPRODUCT((BXL!$C$4:'BXL'!$C$103=A117)*BXL!$X$4:$X$103)+SUMPRODUCT((BXL!$AA$4:'BXL'!$AA$103=A117)*BXL!$AQ$4:$AQ$103)+SUMPRODUCT((BXL!$AB$4:'BXL'!$AB$103=A117)*BXL!$AQ$4:$AQ$103)</f>
        <v>13282.5</v>
      </c>
      <c r="C117" s="139" cm="1">
        <f t="array" ref="C117">SUMPRODUCT((BXL!$C$4:'BXL'!$C$103=A117)*BXL!$Y$4:$Y$103)+SUMPRODUCT((BXL!$AA$4:'BXL'!$AA$103=A117)*BXL!$AR$4:$AR$103)+SUMPRODUCT((BXL!$AB$4:'BXL'!$AB$103=A117)*BXL!$AR$4:$AR$103)</f>
        <v>531.30000000000007</v>
      </c>
      <c r="D117" s="136" cm="1">
        <f t="array" ref="D117">SUMPRODUCT((BXL!$C$4:'BXL'!$C$103=A117)*BXL!$O$4:$O$103)+SUMPRODUCT((BXL!$AA$4:'BXL'!$AA$103=A117)*BXL!$AM$4:$AM$103)+SUMPRODUCT((BXL!$AB$4:'BXL'!$AB$103=A117)*BXL!$AM$4:$AM$103)</f>
        <v>0</v>
      </c>
      <c r="E117" s="136" cm="1">
        <f t="array" ref="E117">SUMPRODUCT((BXL!$C$4:'BXL'!$C$103=A117)*BXL!$R$4:$R$103)+SUMPRODUCT((BXL!$AA$4:'BXL'!$AA$103=A117)*BXL!$AP$4:$AP$103)+SUMPRODUCT((BXL!$AB$4:'BXL'!$AB$103=A117)*BXL!$AP$4:$AP$103)</f>
        <v>531.30000000000007</v>
      </c>
      <c r="F117" s="136" cm="1">
        <f t="array" ref="F117">SUMPRODUCT((BXL!$C$4:'BXL'!$C$103=A117)*BXL!$V$4:$V$103)+SUMPRODUCT((BXL!$AA$4:'BXL'!$AA$103=A117)*BXL!$AS$4:$AS$103)+SUMPRODUCT((BXL!$AB$4:'BXL'!$AB$103=A117)*BXL!$AS$4:$AS$103)</f>
        <v>32.5914</v>
      </c>
      <c r="G117" s="136" cm="1">
        <f t="array" ref="G117">SUMPRODUCT((BXL!$C$4:'BXL'!$C$103=A117)*BXL!$W$4:$W$103)+SUMPRODUCT((BXL!$AA$4:'BXL'!$AA$103=A117)*BXL!$AT$4:$AT$103)+SUMPRODUCT((BXL!$AB$4:'BXL'!$AB$103=A117)*BXL!$AT$4:$AT$103)</f>
        <v>32.5914</v>
      </c>
      <c r="H117" s="115"/>
      <c r="I117" s="139">
        <f t="shared" si="23"/>
        <v>26738.762352500002</v>
      </c>
      <c r="J117" s="136">
        <f t="shared" si="24"/>
        <v>2152.3310500000002</v>
      </c>
      <c r="K117" s="136">
        <f t="shared" si="24"/>
        <v>24586.431302499997</v>
      </c>
      <c r="L117" s="136">
        <f t="shared" si="24"/>
        <v>1747.8295392982454</v>
      </c>
      <c r="M117" s="136">
        <f t="shared" si="24"/>
        <v>1417.6683386666666</v>
      </c>
      <c r="N117" s="115"/>
      <c r="O117" s="131"/>
      <c r="P117" s="131"/>
      <c r="Q117" s="131"/>
      <c r="R117" s="115"/>
      <c r="S117" s="131"/>
      <c r="T117" s="131"/>
      <c r="U117" s="131"/>
      <c r="V117" s="115"/>
      <c r="W117" s="128">
        <f>C117*(ResourcesEmissions!$B$79-Hypotheses!$D$31*Hypotheses!H81)</f>
        <v>556.64301</v>
      </c>
      <c r="X117" s="128">
        <f>C117*(ResourcesEmissions!$B$79-Hypotheses!$D$31*Hypotheses!I81)</f>
        <v>429.13118481349534</v>
      </c>
      <c r="Y117" s="128">
        <f>C117*(ResourcesEmissions!$B$79-Hypotheses!$D$31*Hypotheses!J81)</f>
        <v>269.74140333036462</v>
      </c>
      <c r="Z117" s="115"/>
      <c r="AA117" s="126">
        <f>C117*(ResourcesEmissions!$C$79-Hypotheses!$D$30*Hypotheses!H81+(1-Hypotheses!H81)*Hypotheses!$D$14+Hypotheses!H81*Hypotheses!$D$19)</f>
        <v>296.30371281448839</v>
      </c>
      <c r="AB117" s="126">
        <f>C117*(ResourcesEmissions!$C$79-Hypotheses!$D$30*Hypotheses!I81+(1-Hypotheses!I81)*Hypotheses!$D$14+Hypotheses!I81*Hypotheses!$D$19)</f>
        <v>263.78819739192977</v>
      </c>
      <c r="AC117" s="126">
        <f>C117*(ResourcesEmissions!$C$79-Hypotheses!$D$30*Hypotheses!J81+(1-Hypotheses!J81)*Hypotheses!$D$14+Hypotheses!J81*Hypotheses!$D$19)</f>
        <v>223.14380311373137</v>
      </c>
      <c r="AD117" s="115"/>
      <c r="AE117" s="126">
        <f>C117*(ResourcesEmissions!$C$79-Hypotheses!$D$30*Hypotheses!H81+(1-Hypotheses!H81)*Hypotheses!$D$14+Hypotheses!H81*Hypotheses!$D$21)</f>
        <v>296.78188281448837</v>
      </c>
      <c r="AF117" s="126">
        <f>C117*(ResourcesEmissions!$C$79-Hypotheses!$D$30*Hypotheses!I81+(1-Hypotheses!I81)*Hypotheses!$D$14+Hypotheses!I81*Hypotheses!$D$21)</f>
        <v>266.17904476972734</v>
      </c>
      <c r="AG117" s="126">
        <f>C117*(ResourcesEmissions!$C$79-Hypotheses!$D$30*Hypotheses!J81+(1-Hypotheses!J81)*Hypotheses!$D$14+Hypotheses!J81*Hypotheses!$D$21)</f>
        <v>227.92549721377594</v>
      </c>
      <c r="AH117" s="115"/>
      <c r="AI117" s="128">
        <f t="shared" si="25"/>
        <v>30130.48160775852</v>
      </c>
      <c r="AJ117" s="128">
        <f t="shared" si="25"/>
        <v>27894.422070836252</v>
      </c>
      <c r="AK117" s="128">
        <f t="shared" si="25"/>
        <v>25099.347649683423</v>
      </c>
      <c r="AL117" s="115"/>
      <c r="AM117" s="126">
        <f t="shared" si="26"/>
        <v>19450.8518761737</v>
      </c>
      <c r="AN117" s="126">
        <f t="shared" si="26"/>
        <v>18914.197587312363</v>
      </c>
      <c r="AO117" s="126">
        <f t="shared" si="26"/>
        <v>18243.379726235678</v>
      </c>
      <c r="AP117" s="115"/>
      <c r="AQ117" s="126">
        <f t="shared" si="27"/>
        <v>19450.8518761737</v>
      </c>
      <c r="AR117" s="126">
        <f t="shared" si="27"/>
        <v>18914.197587312363</v>
      </c>
      <c r="AS117" s="126">
        <f t="shared" si="27"/>
        <v>18243.379726235678</v>
      </c>
    </row>
    <row r="118" spans="1:45" x14ac:dyDescent="0.25">
      <c r="A118" s="94">
        <v>2063</v>
      </c>
      <c r="B118" s="139" cm="1">
        <f t="array" ref="B118">SUMPRODUCT((BXL!$C$4:'BXL'!$C$103=A118)*BXL!$X$4:$X$103)+SUMPRODUCT((BXL!$AA$4:'BXL'!$AA$103=A118)*BXL!$AQ$4:$AQ$103)+SUMPRODUCT((BXL!$AB$4:'BXL'!$AB$103=A118)*BXL!$AQ$4:$AQ$103)</f>
        <v>37000</v>
      </c>
      <c r="C118" s="139" cm="1">
        <f t="array" ref="C118">SUMPRODUCT((BXL!$C$4:'BXL'!$C$103=A118)*BXL!$Y$4:$Y$103)+SUMPRODUCT((BXL!$AA$4:'BXL'!$AA$103=A118)*BXL!$AR$4:$AR$103)+SUMPRODUCT((BXL!$AB$4:'BXL'!$AB$103=A118)*BXL!$AR$4:$AR$103)</f>
        <v>0</v>
      </c>
      <c r="D118" s="136" cm="1">
        <f t="array" ref="D118">SUMPRODUCT((BXL!$C$4:'BXL'!$C$103=A118)*BXL!$O$4:$O$103)+SUMPRODUCT((BXL!$AA$4:'BXL'!$AA$103=A118)*BXL!$AM$4:$AM$103)+SUMPRODUCT((BXL!$AB$4:'BXL'!$AB$103=A118)*BXL!$AM$4:$AM$103)</f>
        <v>240</v>
      </c>
      <c r="E118" s="136" cm="1">
        <f t="array" ref="E118">SUMPRODUCT((BXL!$C$4:'BXL'!$C$103=A118)*BXL!$R$4:$R$103)+SUMPRODUCT((BXL!$AA$4:'BXL'!$AA$103=A118)*BXL!$AP$4:$AP$103)+SUMPRODUCT((BXL!$AB$4:'BXL'!$AB$103=A118)*BXL!$AP$4:$AP$103)</f>
        <v>1000</v>
      </c>
      <c r="F118" s="136" cm="1">
        <f t="array" ref="F118">SUMPRODUCT((BXL!$C$4:'BXL'!$C$103=A118)*BXL!$V$4:$V$103)+SUMPRODUCT((BXL!$AA$4:'BXL'!$AA$103=A118)*BXL!$AS$4:$AS$103)+SUMPRODUCT((BXL!$AB$4:'BXL'!$AB$103=A118)*BXL!$AS$4:$AS$103)</f>
        <v>133.33333333333334</v>
      </c>
      <c r="G118" s="136" cm="1">
        <f t="array" ref="G118">SUMPRODUCT((BXL!$C$4:'BXL'!$C$103=A118)*BXL!$W$4:$W$103)+SUMPRODUCT((BXL!$AA$4:'BXL'!$AA$103=A118)*BXL!$AT$4:$AT$103)+SUMPRODUCT((BXL!$AB$4:'BXL'!$AB$103=A118)*BXL!$AT$4:$AT$103)</f>
        <v>66.666666666666671</v>
      </c>
      <c r="H118" s="115"/>
      <c r="I118" s="139">
        <f t="shared" si="23"/>
        <v>26738.762352500002</v>
      </c>
      <c r="J118" s="136">
        <f t="shared" si="24"/>
        <v>2392.3310500000002</v>
      </c>
      <c r="K118" s="136">
        <f t="shared" si="24"/>
        <v>25586.431302499997</v>
      </c>
      <c r="L118" s="136">
        <f t="shared" si="24"/>
        <v>1881.1628726315787</v>
      </c>
      <c r="M118" s="136">
        <f t="shared" si="24"/>
        <v>1484.3350053333334</v>
      </c>
      <c r="N118" s="115"/>
      <c r="O118" s="131"/>
      <c r="P118" s="131"/>
      <c r="Q118" s="131"/>
      <c r="R118" s="115"/>
      <c r="S118" s="131"/>
      <c r="T118" s="131"/>
      <c r="U118" s="131"/>
      <c r="V118" s="115"/>
      <c r="W118" s="128">
        <f>C118*(ResourcesEmissions!$B$79-Hypotheses!$D$31*Hypotheses!H82)</f>
        <v>0</v>
      </c>
      <c r="X118" s="128">
        <f>C118*(ResourcesEmissions!$B$79-Hypotheses!$D$31*Hypotheses!I82)</f>
        <v>0</v>
      </c>
      <c r="Y118" s="128">
        <f>C118*(ResourcesEmissions!$B$79-Hypotheses!$D$31*Hypotheses!J82)</f>
        <v>0</v>
      </c>
      <c r="Z118" s="115"/>
      <c r="AA118" s="126">
        <f>C118*(ResourcesEmissions!$C$79-Hypotheses!$D$30*Hypotheses!H82+(1-Hypotheses!H82)*Hypotheses!$D$14+Hypotheses!H82*Hypotheses!$D$19)</f>
        <v>0</v>
      </c>
      <c r="AB118" s="126">
        <f>C118*(ResourcesEmissions!$C$79-Hypotheses!$D$30*Hypotheses!I82+(1-Hypotheses!I82)*Hypotheses!$D$14+Hypotheses!I82*Hypotheses!$D$19)</f>
        <v>0</v>
      </c>
      <c r="AC118" s="126">
        <f>C118*(ResourcesEmissions!$C$79-Hypotheses!$D$30*Hypotheses!J82+(1-Hypotheses!J82)*Hypotheses!$D$14+Hypotheses!J82*Hypotheses!$D$19)</f>
        <v>0</v>
      </c>
      <c r="AD118" s="115"/>
      <c r="AE118" s="126">
        <f>C118*(ResourcesEmissions!$C$79-Hypotheses!$D$30*Hypotheses!H82+(1-Hypotheses!H82)*Hypotheses!$D$14+Hypotheses!H82*Hypotheses!$D$21)</f>
        <v>0</v>
      </c>
      <c r="AF118" s="126">
        <f>C118*(ResourcesEmissions!$C$79-Hypotheses!$D$30*Hypotheses!I82+(1-Hypotheses!I82)*Hypotheses!$D$14+Hypotheses!I82*Hypotheses!$D$21)</f>
        <v>0</v>
      </c>
      <c r="AG118" s="126">
        <f>C118*(ResourcesEmissions!$C$79-Hypotheses!$D$30*Hypotheses!J82+(1-Hypotheses!J82)*Hypotheses!$D$14+Hypotheses!J82*Hypotheses!$D$21)</f>
        <v>0</v>
      </c>
      <c r="AH118" s="115"/>
      <c r="AI118" s="128">
        <f t="shared" si="25"/>
        <v>30130.48160775852</v>
      </c>
      <c r="AJ118" s="128">
        <f t="shared" si="25"/>
        <v>27894.422070836252</v>
      </c>
      <c r="AK118" s="128">
        <f t="shared" si="25"/>
        <v>25099.347649683423</v>
      </c>
      <c r="AL118" s="115"/>
      <c r="AM118" s="126">
        <f t="shared" si="26"/>
        <v>19450.8518761737</v>
      </c>
      <c r="AN118" s="126">
        <f t="shared" si="26"/>
        <v>18914.197587312363</v>
      </c>
      <c r="AO118" s="126">
        <f t="shared" si="26"/>
        <v>18243.379726235678</v>
      </c>
      <c r="AP118" s="115"/>
      <c r="AQ118" s="126">
        <f t="shared" si="27"/>
        <v>19450.8518761737</v>
      </c>
      <c r="AR118" s="126">
        <f t="shared" si="27"/>
        <v>18914.197587312363</v>
      </c>
      <c r="AS118" s="126">
        <f t="shared" si="27"/>
        <v>18243.379726235678</v>
      </c>
    </row>
    <row r="119" spans="1:45" x14ac:dyDescent="0.25">
      <c r="A119" s="94">
        <v>2064</v>
      </c>
      <c r="B119" s="139" cm="1">
        <f t="array" ref="B119">SUMPRODUCT((BXL!$C$4:'BXL'!$C$103=A119)*BXL!$X$4:$X$103)+SUMPRODUCT((BXL!$AA$4:'BXL'!$AA$103=A119)*BXL!$AQ$4:$AQ$103)+SUMPRODUCT((BXL!$AB$4:'BXL'!$AB$103=A119)*BXL!$AQ$4:$AQ$103)</f>
        <v>0</v>
      </c>
      <c r="C119" s="139" cm="1">
        <f t="array" ref="C119">SUMPRODUCT((BXL!$C$4:'BXL'!$C$103=A119)*BXL!$Y$4:$Y$103)+SUMPRODUCT((BXL!$AA$4:'BXL'!$AA$103=A119)*BXL!$AR$4:$AR$103)+SUMPRODUCT((BXL!$AB$4:'BXL'!$AB$103=A119)*BXL!$AR$4:$AR$103)</f>
        <v>0</v>
      </c>
      <c r="D119" s="136" cm="1">
        <f t="array" ref="D119">SUMPRODUCT((BXL!$C$4:'BXL'!$C$103=A119)*BXL!$O$4:$O$103)+SUMPRODUCT((BXL!$AA$4:'BXL'!$AA$103=A119)*BXL!$AM$4:$AM$103)+SUMPRODUCT((BXL!$AB$4:'BXL'!$AB$103=A119)*BXL!$AM$4:$AM$103)</f>
        <v>0</v>
      </c>
      <c r="E119" s="136" cm="1">
        <f t="array" ref="E119">SUMPRODUCT((BXL!$C$4:'BXL'!$C$103=A119)*BXL!$R$4:$R$103)+SUMPRODUCT((BXL!$AA$4:'BXL'!$AA$103=A119)*BXL!$AP$4:$AP$103)+SUMPRODUCT((BXL!$AB$4:'BXL'!$AB$103=A119)*BXL!$AP$4:$AP$103)</f>
        <v>0</v>
      </c>
      <c r="F119" s="136" cm="1">
        <f t="array" ref="F119">SUMPRODUCT((BXL!$C$4:'BXL'!$C$103=A119)*BXL!$V$4:$V$103)+SUMPRODUCT((BXL!$AA$4:'BXL'!$AA$103=A119)*BXL!$AS$4:$AS$103)+SUMPRODUCT((BXL!$AB$4:'BXL'!$AB$103=A119)*BXL!$AS$4:$AS$103)</f>
        <v>0</v>
      </c>
      <c r="G119" s="136" cm="1">
        <f t="array" ref="G119">SUMPRODUCT((BXL!$C$4:'BXL'!$C$103=A119)*BXL!$W$4:$W$103)+SUMPRODUCT((BXL!$AA$4:'BXL'!$AA$103=A119)*BXL!$AT$4:$AT$103)+SUMPRODUCT((BXL!$AB$4:'BXL'!$AB$103=A119)*BXL!$AT$4:$AT$103)</f>
        <v>0</v>
      </c>
      <c r="H119" s="115"/>
      <c r="I119" s="139">
        <f t="shared" si="23"/>
        <v>26738.762352500002</v>
      </c>
      <c r="J119" s="136">
        <f t="shared" ref="J119:M125" si="28">D119+J118</f>
        <v>2392.3310500000002</v>
      </c>
      <c r="K119" s="136">
        <f t="shared" si="28"/>
        <v>25586.431302499997</v>
      </c>
      <c r="L119" s="136">
        <f t="shared" si="28"/>
        <v>1881.1628726315787</v>
      </c>
      <c r="M119" s="136">
        <f t="shared" si="28"/>
        <v>1484.3350053333334</v>
      </c>
      <c r="N119" s="115"/>
      <c r="O119" s="131"/>
      <c r="P119" s="131"/>
      <c r="Q119" s="131"/>
      <c r="R119" s="115"/>
      <c r="S119" s="131"/>
      <c r="T119" s="131"/>
      <c r="U119" s="131"/>
      <c r="V119" s="115"/>
      <c r="W119" s="128">
        <f>C119*(ResourcesEmissions!$B$79-Hypotheses!$D$31*Hypotheses!H83)</f>
        <v>0</v>
      </c>
      <c r="X119" s="128">
        <f>C119*(ResourcesEmissions!$B$79-Hypotheses!$D$31*Hypotheses!I83)</f>
        <v>0</v>
      </c>
      <c r="Y119" s="128">
        <f>C119*(ResourcesEmissions!$B$79-Hypotheses!$D$31*Hypotheses!J83)</f>
        <v>0</v>
      </c>
      <c r="Z119" s="115"/>
      <c r="AA119" s="126">
        <f>C119*(ResourcesEmissions!$C$79-Hypotheses!$D$30*Hypotheses!H83+(1-Hypotheses!H83)*Hypotheses!$D$14+Hypotheses!H83*Hypotheses!$D$19)</f>
        <v>0</v>
      </c>
      <c r="AB119" s="126">
        <f>C119*(ResourcesEmissions!$C$79-Hypotheses!$D$30*Hypotheses!I83+(1-Hypotheses!I83)*Hypotheses!$D$14+Hypotheses!I83*Hypotheses!$D$19)</f>
        <v>0</v>
      </c>
      <c r="AC119" s="126">
        <f>C119*(ResourcesEmissions!$C$79-Hypotheses!$D$30*Hypotheses!J83+(1-Hypotheses!J83)*Hypotheses!$D$14+Hypotheses!J83*Hypotheses!$D$19)</f>
        <v>0</v>
      </c>
      <c r="AD119" s="115"/>
      <c r="AE119" s="126">
        <f>C119*(ResourcesEmissions!$C$79-Hypotheses!$D$30*Hypotheses!H83+(1-Hypotheses!H83)*Hypotheses!$D$14+Hypotheses!H83*Hypotheses!$D$21)</f>
        <v>0</v>
      </c>
      <c r="AF119" s="126">
        <f>C119*(ResourcesEmissions!$C$79-Hypotheses!$D$30*Hypotheses!I83+(1-Hypotheses!I83)*Hypotheses!$D$14+Hypotheses!I83*Hypotheses!$D$21)</f>
        <v>0</v>
      </c>
      <c r="AG119" s="126">
        <f>C119*(ResourcesEmissions!$C$79-Hypotheses!$D$30*Hypotheses!J83+(1-Hypotheses!J83)*Hypotheses!$D$14+Hypotheses!J83*Hypotheses!$D$21)</f>
        <v>0</v>
      </c>
      <c r="AH119" s="115"/>
      <c r="AI119" s="128">
        <f t="shared" si="25"/>
        <v>30130.48160775852</v>
      </c>
      <c r="AJ119" s="128">
        <f t="shared" si="25"/>
        <v>27894.422070836252</v>
      </c>
      <c r="AK119" s="128">
        <f t="shared" si="25"/>
        <v>25099.347649683423</v>
      </c>
      <c r="AL119" s="115"/>
      <c r="AM119" s="126">
        <f t="shared" si="26"/>
        <v>19450.8518761737</v>
      </c>
      <c r="AN119" s="126">
        <f t="shared" si="26"/>
        <v>18914.197587312363</v>
      </c>
      <c r="AO119" s="126">
        <f t="shared" si="26"/>
        <v>18243.379726235678</v>
      </c>
      <c r="AP119" s="115"/>
      <c r="AQ119" s="126">
        <f t="shared" si="27"/>
        <v>19450.8518761737</v>
      </c>
      <c r="AR119" s="126">
        <f t="shared" si="27"/>
        <v>18914.197587312363</v>
      </c>
      <c r="AS119" s="126">
        <f t="shared" si="27"/>
        <v>18243.379726235678</v>
      </c>
    </row>
    <row r="120" spans="1:45" x14ac:dyDescent="0.25">
      <c r="A120" s="94">
        <v>2065</v>
      </c>
      <c r="B120" s="139" cm="1">
        <f t="array" ref="B120">SUMPRODUCT((BXL!$C$4:'BXL'!$C$103=A120)*BXL!$X$4:$X$103)+SUMPRODUCT((BXL!$AA$4:'BXL'!$AA$103=A120)*BXL!$AQ$4:$AQ$103)+SUMPRODUCT((BXL!$AB$4:'BXL'!$AB$103=A120)*BXL!$AQ$4:$AQ$103)</f>
        <v>14540.3125</v>
      </c>
      <c r="C120" s="139" cm="1">
        <f t="array" ref="C120">SUMPRODUCT((BXL!$C$4:'BXL'!$C$103=A120)*BXL!$Y$4:$Y$103)+SUMPRODUCT((BXL!$AA$4:'BXL'!$AA$103=A120)*BXL!$AR$4:$AR$103)+SUMPRODUCT((BXL!$AB$4:'BXL'!$AB$103=A120)*BXL!$AR$4:$AR$103)</f>
        <v>654.31406249999998</v>
      </c>
      <c r="D120" s="136" cm="1">
        <f t="array" ref="D120">SUMPRODUCT((BXL!$C$4:'BXL'!$C$103=A120)*BXL!$O$4:$O$103)+SUMPRODUCT((BXL!$AA$4:'BXL'!$AA$103=A120)*BXL!$AM$4:$AM$103)+SUMPRODUCT((BXL!$AB$4:'BXL'!$AB$103=A120)*BXL!$AM$4:$AM$103)</f>
        <v>0</v>
      </c>
      <c r="E120" s="136" cm="1">
        <f t="array" ref="E120">SUMPRODUCT((BXL!$C$4:'BXL'!$C$103=A120)*BXL!$R$4:$R$103)+SUMPRODUCT((BXL!$AA$4:'BXL'!$AA$103=A120)*BXL!$AP$4:$AP$103)+SUMPRODUCT((BXL!$AB$4:'BXL'!$AB$103=A120)*BXL!$AP$4:$AP$103)</f>
        <v>654.31406249999998</v>
      </c>
      <c r="F120" s="136" cm="1">
        <f t="array" ref="F120">SUMPRODUCT((BXL!$C$4:'BXL'!$C$103=A120)*BXL!$V$4:$V$103)+SUMPRODUCT((BXL!$AA$4:'BXL'!$AA$103=A120)*BXL!$AS$4:$AS$103)+SUMPRODUCT((BXL!$AB$4:'BXL'!$AB$103=A120)*BXL!$AS$4:$AS$103)</f>
        <v>32.5914</v>
      </c>
      <c r="G120" s="136" cm="1">
        <f t="array" ref="G120">SUMPRODUCT((BXL!$C$4:'BXL'!$C$103=A120)*BXL!$W$4:$W$103)+SUMPRODUCT((BXL!$AA$4:'BXL'!$AA$103=A120)*BXL!$AT$4:$AT$103)+SUMPRODUCT((BXL!$AB$4:'BXL'!$AB$103=A120)*BXL!$AT$4:$AT$103)</f>
        <v>32.5914</v>
      </c>
      <c r="H120" s="115"/>
      <c r="I120" s="139">
        <f t="shared" si="23"/>
        <v>27393.076415000003</v>
      </c>
      <c r="J120" s="136">
        <f t="shared" si="28"/>
        <v>2392.3310500000002</v>
      </c>
      <c r="K120" s="136">
        <f t="shared" si="28"/>
        <v>26240.745364999999</v>
      </c>
      <c r="L120" s="136">
        <f t="shared" si="28"/>
        <v>1913.7542726315787</v>
      </c>
      <c r="M120" s="136">
        <f t="shared" si="28"/>
        <v>1516.9264053333334</v>
      </c>
      <c r="N120" s="115"/>
      <c r="O120" s="131"/>
      <c r="P120" s="131"/>
      <c r="Q120" s="131"/>
      <c r="R120" s="115"/>
      <c r="S120" s="131"/>
      <c r="T120" s="131"/>
      <c r="U120" s="131"/>
      <c r="V120" s="115"/>
      <c r="W120" s="128">
        <f>C120*(ResourcesEmissions!$B$79-Hypotheses!$D$31*Hypotheses!H84)</f>
        <v>685.5248432812499</v>
      </c>
      <c r="X120" s="128">
        <f>C120*(ResourcesEmissions!$B$79-Hypotheses!$D$31*Hypotheses!I84)</f>
        <v>528.4895163187208</v>
      </c>
      <c r="Y120" s="128">
        <f>C120*(ResourcesEmissions!$B$79-Hypotheses!$D$31*Hypotheses!J84)</f>
        <v>332.19535761555954</v>
      </c>
      <c r="Z120" s="115"/>
      <c r="AA120" s="126">
        <f>C120*(ResourcesEmissions!$C$79-Hypotheses!$D$30*Hypotheses!H84+(1-Hypotheses!H84)*Hypotheses!$D$14+Hypotheses!H84*Hypotheses!$D$19)</f>
        <v>364.90812359397927</v>
      </c>
      <c r="AB120" s="126">
        <f>C120*(ResourcesEmissions!$C$79-Hypotheses!$D$30*Hypotheses!I84+(1-Hypotheses!I84)*Hypotheses!$D$14+Hypotheses!I84*Hypotheses!$D$19)</f>
        <v>324.86411521853438</v>
      </c>
      <c r="AC120" s="126">
        <f>C120*(ResourcesEmissions!$C$79-Hypotheses!$D$30*Hypotheses!J84+(1-Hypotheses!J84)*Hypotheses!$D$14+Hypotheses!J84*Hypotheses!$D$19)</f>
        <v>274.80910474922825</v>
      </c>
      <c r="AD120" s="115"/>
      <c r="AE120" s="126">
        <f>C120*(ResourcesEmissions!$C$79-Hypotheses!$D$30*Hypotheses!H84+(1-Hypotheses!H84)*Hypotheses!$D$14+Hypotheses!H84*Hypotheses!$D$21)</f>
        <v>365.49700625022928</v>
      </c>
      <c r="AF120" s="126">
        <f>C120*(ResourcesEmissions!$C$79-Hypotheses!$D$30*Hypotheses!I84+(1-Hypotheses!I84)*Hypotheses!$D$14+Hypotheses!I84*Hypotheses!$D$21)</f>
        <v>327.80852777922229</v>
      </c>
      <c r="AG120" s="126">
        <f>C120*(ResourcesEmissions!$C$79-Hypotheses!$D$30*Hypotheses!J84+(1-Hypotheses!J84)*Hypotheses!$D$14+Hypotheses!J84*Hypotheses!$D$21)</f>
        <v>280.69792969046358</v>
      </c>
      <c r="AH120" s="115"/>
      <c r="AI120" s="128">
        <f t="shared" si="25"/>
        <v>30816.006451039771</v>
      </c>
      <c r="AJ120" s="128">
        <f t="shared" si="25"/>
        <v>28422.911587154973</v>
      </c>
      <c r="AK120" s="128">
        <f t="shared" si="25"/>
        <v>25431.543007298984</v>
      </c>
      <c r="AL120" s="115"/>
      <c r="AM120" s="126">
        <f t="shared" si="26"/>
        <v>19816.348882423928</v>
      </c>
      <c r="AN120" s="126">
        <f t="shared" si="26"/>
        <v>19242.006115091586</v>
      </c>
      <c r="AO120" s="126">
        <f t="shared" si="26"/>
        <v>18524.077655926143</v>
      </c>
      <c r="AP120" s="115"/>
      <c r="AQ120" s="126">
        <f t="shared" si="27"/>
        <v>19816.348882423928</v>
      </c>
      <c r="AR120" s="126">
        <f t="shared" si="27"/>
        <v>19242.006115091586</v>
      </c>
      <c r="AS120" s="126">
        <f t="shared" si="27"/>
        <v>18524.077655926143</v>
      </c>
    </row>
    <row r="121" spans="1:45" x14ac:dyDescent="0.25">
      <c r="A121" s="94">
        <v>2066</v>
      </c>
      <c r="B121" s="139" cm="1">
        <f t="array" ref="B121">SUMPRODUCT((BXL!$C$4:'BXL'!$C$103=A121)*BXL!$X$4:$X$103)+SUMPRODUCT((BXL!$AA$4:'BXL'!$AA$103=A121)*BXL!$AQ$4:$AQ$103)+SUMPRODUCT((BXL!$AB$4:'BXL'!$AB$103=A121)*BXL!$AQ$4:$AQ$103)</f>
        <v>0</v>
      </c>
      <c r="C121" s="139" cm="1">
        <f t="array" ref="C121">SUMPRODUCT((BXL!$C$4:'BXL'!$C$103=A121)*BXL!$Y$4:$Y$103)+SUMPRODUCT((BXL!$AA$4:'BXL'!$AA$103=A121)*BXL!$AR$4:$AR$103)+SUMPRODUCT((BXL!$AB$4:'BXL'!$AB$103=A121)*BXL!$AR$4:$AR$103)</f>
        <v>0</v>
      </c>
      <c r="D121" s="136" cm="1">
        <f t="array" ref="D121">SUMPRODUCT((BXL!$C$4:'BXL'!$C$103=A121)*BXL!$O$4:$O$103)+SUMPRODUCT((BXL!$AA$4:'BXL'!$AA$103=A121)*BXL!$AM$4:$AM$103)+SUMPRODUCT((BXL!$AB$4:'BXL'!$AB$103=A121)*BXL!$AM$4:$AM$103)</f>
        <v>0</v>
      </c>
      <c r="E121" s="136" cm="1">
        <f t="array" ref="E121">SUMPRODUCT((BXL!$C$4:'BXL'!$C$103=A121)*BXL!$R$4:$R$103)+SUMPRODUCT((BXL!$AA$4:'BXL'!$AA$103=A121)*BXL!$AP$4:$AP$103)+SUMPRODUCT((BXL!$AB$4:'BXL'!$AB$103=A121)*BXL!$AP$4:$AP$103)</f>
        <v>0</v>
      </c>
      <c r="F121" s="136" cm="1">
        <f t="array" ref="F121">SUMPRODUCT((BXL!$C$4:'BXL'!$C$103=A121)*BXL!$V$4:$V$103)+SUMPRODUCT((BXL!$AA$4:'BXL'!$AA$103=A121)*BXL!$AS$4:$AS$103)+SUMPRODUCT((BXL!$AB$4:'BXL'!$AB$103=A121)*BXL!$AS$4:$AS$103)</f>
        <v>0</v>
      </c>
      <c r="G121" s="136" cm="1">
        <f t="array" ref="G121">SUMPRODUCT((BXL!$C$4:'BXL'!$C$103=A121)*BXL!$W$4:$W$103)+SUMPRODUCT((BXL!$AA$4:'BXL'!$AA$103=A121)*BXL!$AT$4:$AT$103)+SUMPRODUCT((BXL!$AB$4:'BXL'!$AB$103=A121)*BXL!$AT$4:$AT$103)</f>
        <v>0</v>
      </c>
      <c r="H121" s="115"/>
      <c r="I121" s="139">
        <f t="shared" si="23"/>
        <v>27393.076415000003</v>
      </c>
      <c r="J121" s="136">
        <f t="shared" si="28"/>
        <v>2392.3310500000002</v>
      </c>
      <c r="K121" s="136">
        <f t="shared" si="28"/>
        <v>26240.745364999999</v>
      </c>
      <c r="L121" s="136">
        <f t="shared" si="28"/>
        <v>1913.7542726315787</v>
      </c>
      <c r="M121" s="136">
        <f t="shared" si="28"/>
        <v>1516.9264053333334</v>
      </c>
      <c r="N121" s="115"/>
      <c r="O121" s="131"/>
      <c r="P121" s="131"/>
      <c r="Q121" s="131"/>
      <c r="R121" s="115"/>
      <c r="S121" s="131"/>
      <c r="T121" s="131"/>
      <c r="U121" s="131"/>
      <c r="V121" s="115"/>
      <c r="W121" s="128">
        <f>C121*(ResourcesEmissions!$B$79-Hypotheses!$D$31*Hypotheses!H85)</f>
        <v>0</v>
      </c>
      <c r="X121" s="128">
        <f>C121*(ResourcesEmissions!$B$79-Hypotheses!$D$31*Hypotheses!I85)</f>
        <v>0</v>
      </c>
      <c r="Y121" s="128">
        <f>C121*(ResourcesEmissions!$B$79-Hypotheses!$D$31*Hypotheses!J85)</f>
        <v>0</v>
      </c>
      <c r="Z121" s="115"/>
      <c r="AA121" s="126">
        <f>C121*(ResourcesEmissions!$C$79-Hypotheses!$D$30*Hypotheses!H85+(1-Hypotheses!H85)*Hypotheses!$D$14+Hypotheses!H85*Hypotheses!$D$19)</f>
        <v>0</v>
      </c>
      <c r="AB121" s="126">
        <f>C121*(ResourcesEmissions!$C$79-Hypotheses!$D$30*Hypotheses!I85+(1-Hypotheses!I85)*Hypotheses!$D$14+Hypotheses!I85*Hypotheses!$D$19)</f>
        <v>0</v>
      </c>
      <c r="AC121" s="126">
        <f>C121*(ResourcesEmissions!$C$79-Hypotheses!$D$30*Hypotheses!J85+(1-Hypotheses!J85)*Hypotheses!$D$14+Hypotheses!J85*Hypotheses!$D$19)</f>
        <v>0</v>
      </c>
      <c r="AD121" s="115"/>
      <c r="AE121" s="126">
        <f>C121*(ResourcesEmissions!$C$79-Hypotheses!$D$30*Hypotheses!H85+(1-Hypotheses!H85)*Hypotheses!$D$14+Hypotheses!H85*Hypotheses!$D$21)</f>
        <v>0</v>
      </c>
      <c r="AF121" s="126">
        <f>C121*(ResourcesEmissions!$C$79-Hypotheses!$D$30*Hypotheses!I85+(1-Hypotheses!I85)*Hypotheses!$D$14+Hypotheses!I85*Hypotheses!$D$21)</f>
        <v>0</v>
      </c>
      <c r="AG121" s="126">
        <f>C121*(ResourcesEmissions!$C$79-Hypotheses!$D$30*Hypotheses!J85+(1-Hypotheses!J85)*Hypotheses!$D$14+Hypotheses!J85*Hypotheses!$D$21)</f>
        <v>0</v>
      </c>
      <c r="AH121" s="115"/>
      <c r="AI121" s="128">
        <f t="shared" si="25"/>
        <v>30816.006451039771</v>
      </c>
      <c r="AJ121" s="128">
        <f t="shared" si="25"/>
        <v>28422.911587154973</v>
      </c>
      <c r="AK121" s="128">
        <f t="shared" si="25"/>
        <v>25431.543007298984</v>
      </c>
      <c r="AL121" s="115"/>
      <c r="AM121" s="126">
        <f t="shared" si="26"/>
        <v>19816.348882423928</v>
      </c>
      <c r="AN121" s="126">
        <f t="shared" si="26"/>
        <v>19242.006115091586</v>
      </c>
      <c r="AO121" s="126">
        <f t="shared" si="26"/>
        <v>18524.077655926143</v>
      </c>
      <c r="AP121" s="115"/>
      <c r="AQ121" s="126">
        <f t="shared" si="27"/>
        <v>19816.348882423928</v>
      </c>
      <c r="AR121" s="126">
        <f t="shared" si="27"/>
        <v>19242.006115091586</v>
      </c>
      <c r="AS121" s="126">
        <f t="shared" si="27"/>
        <v>18524.077655926143</v>
      </c>
    </row>
    <row r="122" spans="1:45" x14ac:dyDescent="0.25">
      <c r="A122" s="94">
        <v>2067</v>
      </c>
      <c r="B122" s="139" cm="1">
        <f t="array" ref="B122">SUMPRODUCT((BXL!$C$4:'BXL'!$C$103=A122)*BXL!$X$4:$X$103)+SUMPRODUCT((BXL!$AA$4:'BXL'!$AA$103=A122)*BXL!$AQ$4:$AQ$103)+SUMPRODUCT((BXL!$AB$4:'BXL'!$AB$103=A122)*BXL!$AQ$4:$AQ$103)</f>
        <v>0</v>
      </c>
      <c r="C122" s="139" cm="1">
        <f t="array" ref="C122">SUMPRODUCT((BXL!$C$4:'BXL'!$C$103=A122)*BXL!$Y$4:$Y$103)+SUMPRODUCT((BXL!$AA$4:'BXL'!$AA$103=A122)*BXL!$AR$4:$AR$103)+SUMPRODUCT((BXL!$AB$4:'BXL'!$AB$103=A122)*BXL!$AR$4:$AR$103)</f>
        <v>0</v>
      </c>
      <c r="D122" s="136" cm="1">
        <f t="array" ref="D122">SUMPRODUCT((BXL!$C$4:'BXL'!$C$103=A122)*BXL!$O$4:$O$103)+SUMPRODUCT((BXL!$AA$4:'BXL'!$AA$103=A122)*BXL!$AM$4:$AM$103)+SUMPRODUCT((BXL!$AB$4:'BXL'!$AB$103=A122)*BXL!$AM$4:$AM$103)</f>
        <v>0</v>
      </c>
      <c r="E122" s="136" cm="1">
        <f t="array" ref="E122">SUMPRODUCT((BXL!$C$4:'BXL'!$C$103=A122)*BXL!$R$4:$R$103)+SUMPRODUCT((BXL!$AA$4:'BXL'!$AA$103=A122)*BXL!$AP$4:$AP$103)+SUMPRODUCT((BXL!$AB$4:'BXL'!$AB$103=A122)*BXL!$AP$4:$AP$103)</f>
        <v>0</v>
      </c>
      <c r="F122" s="136" cm="1">
        <f t="array" ref="F122">SUMPRODUCT((BXL!$C$4:'BXL'!$C$103=A122)*BXL!$V$4:$V$103)+SUMPRODUCT((BXL!$AA$4:'BXL'!$AA$103=A122)*BXL!$AS$4:$AS$103)+SUMPRODUCT((BXL!$AB$4:'BXL'!$AB$103=A122)*BXL!$AS$4:$AS$103)</f>
        <v>0</v>
      </c>
      <c r="G122" s="136" cm="1">
        <f t="array" ref="G122">SUMPRODUCT((BXL!$C$4:'BXL'!$C$103=A122)*BXL!$W$4:$W$103)+SUMPRODUCT((BXL!$AA$4:'BXL'!$AA$103=A122)*BXL!$AT$4:$AT$103)+SUMPRODUCT((BXL!$AB$4:'BXL'!$AB$103=A122)*BXL!$AT$4:$AT$103)</f>
        <v>0</v>
      </c>
      <c r="H122" s="115"/>
      <c r="I122" s="139">
        <f t="shared" si="23"/>
        <v>27393.076415000003</v>
      </c>
      <c r="J122" s="136">
        <f t="shared" si="28"/>
        <v>2392.3310500000002</v>
      </c>
      <c r="K122" s="136">
        <f t="shared" si="28"/>
        <v>26240.745364999999</v>
      </c>
      <c r="L122" s="136">
        <f t="shared" si="28"/>
        <v>1913.7542726315787</v>
      </c>
      <c r="M122" s="136">
        <f t="shared" si="28"/>
        <v>1516.9264053333334</v>
      </c>
      <c r="N122" s="115"/>
      <c r="O122" s="131"/>
      <c r="P122" s="131"/>
      <c r="Q122" s="131"/>
      <c r="R122" s="115"/>
      <c r="S122" s="131"/>
      <c r="T122" s="131"/>
      <c r="U122" s="131"/>
      <c r="V122" s="115"/>
      <c r="W122" s="128">
        <f>C122*(ResourcesEmissions!$B$79-Hypotheses!$D$31*Hypotheses!H86)</f>
        <v>0</v>
      </c>
      <c r="X122" s="128">
        <f>C122*(ResourcesEmissions!$B$79-Hypotheses!$D$31*Hypotheses!I86)</f>
        <v>0</v>
      </c>
      <c r="Y122" s="128">
        <f>C122*(ResourcesEmissions!$B$79-Hypotheses!$D$31*Hypotheses!J86)</f>
        <v>0</v>
      </c>
      <c r="Z122" s="115"/>
      <c r="AA122" s="126">
        <f>C122*(ResourcesEmissions!$C$79-Hypotheses!$D$30*Hypotheses!H86+(1-Hypotheses!H86)*Hypotheses!$D$14+Hypotheses!H86*Hypotheses!$D$19)</f>
        <v>0</v>
      </c>
      <c r="AB122" s="126">
        <f>C122*(ResourcesEmissions!$C$79-Hypotheses!$D$30*Hypotheses!I86+(1-Hypotheses!I86)*Hypotheses!$D$14+Hypotheses!I86*Hypotheses!$D$19)</f>
        <v>0</v>
      </c>
      <c r="AC122" s="126">
        <f>C122*(ResourcesEmissions!$C$79-Hypotheses!$D$30*Hypotheses!J86+(1-Hypotheses!J86)*Hypotheses!$D$14+Hypotheses!J86*Hypotheses!$D$19)</f>
        <v>0</v>
      </c>
      <c r="AD122" s="115"/>
      <c r="AE122" s="126">
        <f>C122*(ResourcesEmissions!$C$79-Hypotheses!$D$30*Hypotheses!H86+(1-Hypotheses!H86)*Hypotheses!$D$14+Hypotheses!H86*Hypotheses!$D$21)</f>
        <v>0</v>
      </c>
      <c r="AF122" s="126">
        <f>C122*(ResourcesEmissions!$C$79-Hypotheses!$D$30*Hypotheses!I86+(1-Hypotheses!I86)*Hypotheses!$D$14+Hypotheses!I86*Hypotheses!$D$21)</f>
        <v>0</v>
      </c>
      <c r="AG122" s="126">
        <f>C122*(ResourcesEmissions!$C$79-Hypotheses!$D$30*Hypotheses!J86+(1-Hypotheses!J86)*Hypotheses!$D$14+Hypotheses!J86*Hypotheses!$D$21)</f>
        <v>0</v>
      </c>
      <c r="AH122" s="115"/>
      <c r="AI122" s="128">
        <f t="shared" si="25"/>
        <v>30816.006451039771</v>
      </c>
      <c r="AJ122" s="128">
        <f t="shared" si="25"/>
        <v>28422.911587154973</v>
      </c>
      <c r="AK122" s="128">
        <f t="shared" si="25"/>
        <v>25431.543007298984</v>
      </c>
      <c r="AL122" s="115"/>
      <c r="AM122" s="126">
        <f t="shared" si="26"/>
        <v>19816.348882423928</v>
      </c>
      <c r="AN122" s="126">
        <f t="shared" si="26"/>
        <v>19242.006115091586</v>
      </c>
      <c r="AO122" s="126">
        <f t="shared" si="26"/>
        <v>18524.077655926143</v>
      </c>
      <c r="AP122" s="115"/>
      <c r="AQ122" s="126">
        <f t="shared" si="27"/>
        <v>19816.348882423928</v>
      </c>
      <c r="AR122" s="126">
        <f t="shared" si="27"/>
        <v>19242.006115091586</v>
      </c>
      <c r="AS122" s="126">
        <f t="shared" si="27"/>
        <v>18524.077655926143</v>
      </c>
    </row>
    <row r="123" spans="1:45" x14ac:dyDescent="0.25">
      <c r="A123" s="94">
        <v>2068</v>
      </c>
      <c r="B123" s="139" cm="1">
        <f t="array" ref="B123">SUMPRODUCT((BXL!$C$4:'BXL'!$C$103=A123)*BXL!$X$4:$X$103)+SUMPRODUCT((BXL!$AA$4:'BXL'!$AA$103=A123)*BXL!$AQ$4:$AQ$103)+SUMPRODUCT((BXL!$AB$4:'BXL'!$AB$103=A123)*BXL!$AQ$4:$AQ$103)</f>
        <v>0</v>
      </c>
      <c r="C123" s="139" cm="1">
        <f t="array" ref="C123">SUMPRODUCT((BXL!$C$4:'BXL'!$C$103=A123)*BXL!$Y$4:$Y$103)+SUMPRODUCT((BXL!$AA$4:'BXL'!$AA$103=A123)*BXL!$AR$4:$AR$103)+SUMPRODUCT((BXL!$AB$4:'BXL'!$AB$103=A123)*BXL!$AR$4:$AR$103)</f>
        <v>0</v>
      </c>
      <c r="D123" s="136" cm="1">
        <f t="array" ref="D123">SUMPRODUCT((BXL!$C$4:'BXL'!$C$103=A123)*BXL!$O$4:$O$103)+SUMPRODUCT((BXL!$AA$4:'BXL'!$AA$103=A123)*BXL!$AM$4:$AM$103)+SUMPRODUCT((BXL!$AB$4:'BXL'!$AB$103=A123)*BXL!$AM$4:$AM$103)</f>
        <v>0</v>
      </c>
      <c r="E123" s="136" cm="1">
        <f t="array" ref="E123">SUMPRODUCT((BXL!$C$4:'BXL'!$C$103=A123)*BXL!$R$4:$R$103)+SUMPRODUCT((BXL!$AA$4:'BXL'!$AA$103=A123)*BXL!$AP$4:$AP$103)+SUMPRODUCT((BXL!$AB$4:'BXL'!$AB$103=A123)*BXL!$AP$4:$AP$103)</f>
        <v>0</v>
      </c>
      <c r="F123" s="136" cm="1">
        <f t="array" ref="F123">SUMPRODUCT((BXL!$C$4:'BXL'!$C$103=A123)*BXL!$V$4:$V$103)+SUMPRODUCT((BXL!$AA$4:'BXL'!$AA$103=A123)*BXL!$AS$4:$AS$103)+SUMPRODUCT((BXL!$AB$4:'BXL'!$AB$103=A123)*BXL!$AS$4:$AS$103)</f>
        <v>0</v>
      </c>
      <c r="G123" s="136" cm="1">
        <f t="array" ref="G123">SUMPRODUCT((BXL!$C$4:'BXL'!$C$103=A123)*BXL!$W$4:$W$103)+SUMPRODUCT((BXL!$AA$4:'BXL'!$AA$103=A123)*BXL!$AT$4:$AT$103)+SUMPRODUCT((BXL!$AB$4:'BXL'!$AB$103=A123)*BXL!$AT$4:$AT$103)</f>
        <v>0</v>
      </c>
      <c r="H123" s="115"/>
      <c r="I123" s="139">
        <f t="shared" si="23"/>
        <v>27393.076415000003</v>
      </c>
      <c r="J123" s="136">
        <f t="shared" si="28"/>
        <v>2392.3310500000002</v>
      </c>
      <c r="K123" s="136">
        <f t="shared" si="28"/>
        <v>26240.745364999999</v>
      </c>
      <c r="L123" s="136">
        <f t="shared" si="28"/>
        <v>1913.7542726315787</v>
      </c>
      <c r="M123" s="136">
        <f t="shared" si="28"/>
        <v>1516.9264053333334</v>
      </c>
      <c r="N123" s="115"/>
      <c r="O123" s="131"/>
      <c r="P123" s="131"/>
      <c r="Q123" s="131"/>
      <c r="R123" s="115"/>
      <c r="S123" s="131"/>
      <c r="T123" s="131"/>
      <c r="U123" s="131"/>
      <c r="V123" s="115"/>
      <c r="W123" s="128">
        <f>C123*(ResourcesEmissions!$B$79-Hypotheses!$D$31*Hypotheses!H87)</f>
        <v>0</v>
      </c>
      <c r="X123" s="128">
        <f>C123*(ResourcesEmissions!$B$79-Hypotheses!$D$31*Hypotheses!I87)</f>
        <v>0</v>
      </c>
      <c r="Y123" s="128">
        <f>C123*(ResourcesEmissions!$B$79-Hypotheses!$D$31*Hypotheses!J87)</f>
        <v>0</v>
      </c>
      <c r="Z123" s="115"/>
      <c r="AA123" s="126">
        <f>C123*(ResourcesEmissions!$C$79-Hypotheses!$D$30*Hypotheses!H87+(1-Hypotheses!H87)*Hypotheses!$D$14+Hypotheses!H87*Hypotheses!$D$19)</f>
        <v>0</v>
      </c>
      <c r="AB123" s="126">
        <f>C123*(ResourcesEmissions!$C$79-Hypotheses!$D$30*Hypotheses!I87+(1-Hypotheses!I87)*Hypotheses!$D$14+Hypotheses!I87*Hypotheses!$D$19)</f>
        <v>0</v>
      </c>
      <c r="AC123" s="126">
        <f>C123*(ResourcesEmissions!$C$79-Hypotheses!$D$30*Hypotheses!J87+(1-Hypotheses!J87)*Hypotheses!$D$14+Hypotheses!J87*Hypotheses!$D$19)</f>
        <v>0</v>
      </c>
      <c r="AD123" s="115"/>
      <c r="AE123" s="126">
        <f>C123*(ResourcesEmissions!$C$79-Hypotheses!$D$30*Hypotheses!H87+(1-Hypotheses!H87)*Hypotheses!$D$14+Hypotheses!H87*Hypotheses!$D$21)</f>
        <v>0</v>
      </c>
      <c r="AF123" s="126">
        <f>C123*(ResourcesEmissions!$C$79-Hypotheses!$D$30*Hypotheses!I87+(1-Hypotheses!I87)*Hypotheses!$D$14+Hypotheses!I87*Hypotheses!$D$21)</f>
        <v>0</v>
      </c>
      <c r="AG123" s="126">
        <f>C123*(ResourcesEmissions!$C$79-Hypotheses!$D$30*Hypotheses!J87+(1-Hypotheses!J87)*Hypotheses!$D$14+Hypotheses!J87*Hypotheses!$D$21)</f>
        <v>0</v>
      </c>
      <c r="AH123" s="115"/>
      <c r="AI123" s="128">
        <f t="shared" si="25"/>
        <v>30816.006451039771</v>
      </c>
      <c r="AJ123" s="128">
        <f t="shared" si="25"/>
        <v>28422.911587154973</v>
      </c>
      <c r="AK123" s="128">
        <f t="shared" si="25"/>
        <v>25431.543007298984</v>
      </c>
      <c r="AL123" s="115"/>
      <c r="AM123" s="126">
        <f t="shared" si="26"/>
        <v>19816.348882423928</v>
      </c>
      <c r="AN123" s="126">
        <f t="shared" si="26"/>
        <v>19242.006115091586</v>
      </c>
      <c r="AO123" s="126">
        <f t="shared" si="26"/>
        <v>18524.077655926143</v>
      </c>
      <c r="AP123" s="115"/>
      <c r="AQ123" s="126">
        <f t="shared" si="27"/>
        <v>19816.348882423928</v>
      </c>
      <c r="AR123" s="126">
        <f t="shared" si="27"/>
        <v>19242.006115091586</v>
      </c>
      <c r="AS123" s="126">
        <f t="shared" si="27"/>
        <v>18524.077655926143</v>
      </c>
    </row>
    <row r="124" spans="1:45" x14ac:dyDescent="0.25">
      <c r="A124" s="94">
        <v>2069</v>
      </c>
      <c r="B124" s="139" cm="1">
        <f t="array" ref="B124">SUMPRODUCT((BXL!$C$4:'BXL'!$C$103=A124)*BXL!$X$4:$X$103)+SUMPRODUCT((BXL!$AA$4:'BXL'!$AA$103=A124)*BXL!$AQ$4:$AQ$103)+SUMPRODUCT((BXL!$AB$4:'BXL'!$AB$103=A124)*BXL!$AQ$4:$AQ$103)</f>
        <v>0</v>
      </c>
      <c r="C124" s="139" cm="1">
        <f t="array" ref="C124">SUMPRODUCT((BXL!$C$4:'BXL'!$C$103=A124)*BXL!$Y$4:$Y$103)+SUMPRODUCT((BXL!$AA$4:'BXL'!$AA$103=A124)*BXL!$AR$4:$AR$103)+SUMPRODUCT((BXL!$AB$4:'BXL'!$AB$103=A124)*BXL!$AR$4:$AR$103)</f>
        <v>0</v>
      </c>
      <c r="D124" s="136" cm="1">
        <f t="array" ref="D124">SUMPRODUCT((BXL!$C$4:'BXL'!$C$103=A124)*BXL!$O$4:$O$103)+SUMPRODUCT((BXL!$AA$4:'BXL'!$AA$103=A124)*BXL!$AM$4:$AM$103)+SUMPRODUCT((BXL!$AB$4:'BXL'!$AB$103=A124)*BXL!$AM$4:$AM$103)</f>
        <v>0</v>
      </c>
      <c r="E124" s="136" cm="1">
        <f t="array" ref="E124">SUMPRODUCT((BXL!$C$4:'BXL'!$C$103=A124)*BXL!$R$4:$R$103)+SUMPRODUCT((BXL!$AA$4:'BXL'!$AA$103=A124)*BXL!$AP$4:$AP$103)+SUMPRODUCT((BXL!$AB$4:'BXL'!$AB$103=A124)*BXL!$AP$4:$AP$103)</f>
        <v>0</v>
      </c>
      <c r="F124" s="136" cm="1">
        <f t="array" ref="F124">SUMPRODUCT((BXL!$C$4:'BXL'!$C$103=A124)*BXL!$V$4:$V$103)+SUMPRODUCT((BXL!$AA$4:'BXL'!$AA$103=A124)*BXL!$AS$4:$AS$103)+SUMPRODUCT((BXL!$AB$4:'BXL'!$AB$103=A124)*BXL!$AS$4:$AS$103)</f>
        <v>0</v>
      </c>
      <c r="G124" s="136" cm="1">
        <f t="array" ref="G124">SUMPRODUCT((BXL!$C$4:'BXL'!$C$103=A124)*BXL!$W$4:$W$103)+SUMPRODUCT((BXL!$AA$4:'BXL'!$AA$103=A124)*BXL!$AT$4:$AT$103)+SUMPRODUCT((BXL!$AB$4:'BXL'!$AB$103=A124)*BXL!$AT$4:$AT$103)</f>
        <v>0</v>
      </c>
      <c r="H124" s="115"/>
      <c r="I124" s="139">
        <f t="shared" si="23"/>
        <v>27393.076415000003</v>
      </c>
      <c r="J124" s="136">
        <f t="shared" si="28"/>
        <v>2392.3310500000002</v>
      </c>
      <c r="K124" s="136">
        <f t="shared" si="28"/>
        <v>26240.745364999999</v>
      </c>
      <c r="L124" s="136">
        <f t="shared" si="28"/>
        <v>1913.7542726315787</v>
      </c>
      <c r="M124" s="136">
        <f t="shared" si="28"/>
        <v>1516.9264053333334</v>
      </c>
      <c r="N124" s="115"/>
      <c r="O124" s="131"/>
      <c r="P124" s="131"/>
      <c r="Q124" s="131"/>
      <c r="R124" s="115"/>
      <c r="S124" s="131"/>
      <c r="T124" s="131"/>
      <c r="U124" s="131"/>
      <c r="V124" s="115"/>
      <c r="W124" s="128">
        <f>C124*(ResourcesEmissions!$B$79-Hypotheses!$D$31*Hypotheses!H88)</f>
        <v>0</v>
      </c>
      <c r="X124" s="128">
        <f>C124*(ResourcesEmissions!$B$79-Hypotheses!$D$31*Hypotheses!I88)</f>
        <v>0</v>
      </c>
      <c r="Y124" s="128">
        <f>C124*(ResourcesEmissions!$B$79-Hypotheses!$D$31*Hypotheses!J88)</f>
        <v>0</v>
      </c>
      <c r="Z124" s="115"/>
      <c r="AA124" s="126">
        <f>C124*(ResourcesEmissions!$C$79-Hypotheses!$D$30*Hypotheses!H88+(1-Hypotheses!H88)*Hypotheses!$D$14+Hypotheses!H88*Hypotheses!$D$19)</f>
        <v>0</v>
      </c>
      <c r="AB124" s="126">
        <f>C124*(ResourcesEmissions!$C$79-Hypotheses!$D$30*Hypotheses!I88+(1-Hypotheses!I88)*Hypotheses!$D$14+Hypotheses!I88*Hypotheses!$D$19)</f>
        <v>0</v>
      </c>
      <c r="AC124" s="126">
        <f>C124*(ResourcesEmissions!$C$79-Hypotheses!$D$30*Hypotheses!J88+(1-Hypotheses!J88)*Hypotheses!$D$14+Hypotheses!J88*Hypotheses!$D$19)</f>
        <v>0</v>
      </c>
      <c r="AD124" s="115"/>
      <c r="AE124" s="126">
        <f>C124*(ResourcesEmissions!$C$79-Hypotheses!$D$30*Hypotheses!H88+(1-Hypotheses!H88)*Hypotheses!$D$14+Hypotheses!H88*Hypotheses!$D$21)</f>
        <v>0</v>
      </c>
      <c r="AF124" s="126">
        <f>C124*(ResourcesEmissions!$C$79-Hypotheses!$D$30*Hypotheses!I88+(1-Hypotheses!I88)*Hypotheses!$D$14+Hypotheses!I88*Hypotheses!$D$21)</f>
        <v>0</v>
      </c>
      <c r="AG124" s="126">
        <f>C124*(ResourcesEmissions!$C$79-Hypotheses!$D$30*Hypotheses!J88+(1-Hypotheses!J88)*Hypotheses!$D$14+Hypotheses!J88*Hypotheses!$D$21)</f>
        <v>0</v>
      </c>
      <c r="AH124" s="115"/>
      <c r="AI124" s="128">
        <f t="shared" si="25"/>
        <v>30816.006451039771</v>
      </c>
      <c r="AJ124" s="128">
        <f t="shared" si="25"/>
        <v>28422.911587154973</v>
      </c>
      <c r="AK124" s="128">
        <f t="shared" si="25"/>
        <v>25431.543007298984</v>
      </c>
      <c r="AL124" s="115"/>
      <c r="AM124" s="126">
        <f t="shared" si="26"/>
        <v>19816.348882423928</v>
      </c>
      <c r="AN124" s="126">
        <f t="shared" si="26"/>
        <v>19242.006115091586</v>
      </c>
      <c r="AO124" s="126">
        <f t="shared" si="26"/>
        <v>18524.077655926143</v>
      </c>
      <c r="AP124" s="115"/>
      <c r="AQ124" s="126">
        <f t="shared" si="27"/>
        <v>19816.348882423928</v>
      </c>
      <c r="AR124" s="126">
        <f t="shared" si="27"/>
        <v>19242.006115091586</v>
      </c>
      <c r="AS124" s="126">
        <f t="shared" si="27"/>
        <v>18524.077655926143</v>
      </c>
    </row>
    <row r="125" spans="1:45" x14ac:dyDescent="0.25">
      <c r="A125" s="94">
        <v>2070</v>
      </c>
      <c r="B125" s="139" cm="1">
        <f t="array" ref="B125">SUMPRODUCT((BXL!$C$4:'BXL'!$C$103=A125)*BXL!$X$4:$X$103)+SUMPRODUCT((BXL!$AA$4:'BXL'!$AA$103=A125)*BXL!$AQ$4:$AQ$103)+SUMPRODUCT((BXL!$AB$4:'BXL'!$AB$103=A125)*BXL!$AQ$4:$AQ$103)</f>
        <v>0</v>
      </c>
      <c r="C125" s="139" cm="1">
        <f t="array" ref="C125">SUMPRODUCT((BXL!$C$4:'BXL'!$C$103=A125)*BXL!$Y$4:$Y$103)+SUMPRODUCT((BXL!$AA$4:'BXL'!$AA$103=A125)*BXL!$AR$4:$AR$103)+SUMPRODUCT((BXL!$AB$4:'BXL'!$AB$103=A125)*BXL!$AR$4:$AR$103)</f>
        <v>0</v>
      </c>
      <c r="D125" s="136" cm="1">
        <f t="array" ref="D125">SUMPRODUCT((BXL!$C$4:'BXL'!$C$103=A125)*BXL!$O$4:$O$103)+SUMPRODUCT((BXL!$AA$4:'BXL'!$AA$103=A125)*BXL!$AM$4:$AM$103)+SUMPRODUCT((BXL!$AB$4:'BXL'!$AB$103=A125)*BXL!$AM$4:$AM$103)</f>
        <v>0</v>
      </c>
      <c r="E125" s="136" cm="1">
        <f t="array" ref="E125">SUMPRODUCT((BXL!$C$4:'BXL'!$C$103=A125)*BXL!$R$4:$R$103)+SUMPRODUCT((BXL!$AA$4:'BXL'!$AA$103=A125)*BXL!$AP$4:$AP$103)+SUMPRODUCT((BXL!$AB$4:'BXL'!$AB$103=A125)*BXL!$AP$4:$AP$103)</f>
        <v>0</v>
      </c>
      <c r="F125" s="136" cm="1">
        <f t="array" ref="F125">SUMPRODUCT((BXL!$C$4:'BXL'!$C$103=A125)*BXL!$V$4:$V$103)+SUMPRODUCT((BXL!$AA$4:'BXL'!$AA$103=A125)*BXL!$AS$4:$AS$103)+SUMPRODUCT((BXL!$AB$4:'BXL'!$AB$103=A125)*BXL!$AS$4:$AS$103)</f>
        <v>0</v>
      </c>
      <c r="G125" s="136" cm="1">
        <f t="array" ref="G125">SUMPRODUCT((BXL!$C$4:'BXL'!$C$103=A125)*BXL!$W$4:$W$103)+SUMPRODUCT((BXL!$AA$4:'BXL'!$AA$103=A125)*BXL!$AT$4:$AT$103)+SUMPRODUCT((BXL!$AB$4:'BXL'!$AB$103=A125)*BXL!$AT$4:$AT$103)</f>
        <v>0</v>
      </c>
      <c r="H125" s="115"/>
      <c r="I125" s="139">
        <f t="shared" si="23"/>
        <v>27393.076415000003</v>
      </c>
      <c r="J125" s="136">
        <f t="shared" si="28"/>
        <v>2392.3310500000002</v>
      </c>
      <c r="K125" s="136">
        <f t="shared" si="28"/>
        <v>26240.745364999999</v>
      </c>
      <c r="L125" s="136">
        <f t="shared" si="28"/>
        <v>1913.7542726315787</v>
      </c>
      <c r="M125" s="136">
        <f t="shared" si="28"/>
        <v>1516.9264053333334</v>
      </c>
      <c r="N125" s="115"/>
      <c r="O125" s="131"/>
      <c r="P125" s="131"/>
      <c r="Q125" s="131"/>
      <c r="R125" s="115"/>
      <c r="S125" s="131"/>
      <c r="T125" s="131"/>
      <c r="U125" s="131"/>
      <c r="V125" s="115"/>
      <c r="W125" s="128">
        <f>C125*(ResourcesEmissions!$B$79-Hypotheses!$D$31*Hypotheses!H89)</f>
        <v>0</v>
      </c>
      <c r="X125" s="128">
        <f>C125*(ResourcesEmissions!$B$79-Hypotheses!$D$31*Hypotheses!I89)</f>
        <v>0</v>
      </c>
      <c r="Y125" s="128">
        <f>C125*(ResourcesEmissions!$B$79-Hypotheses!$D$31*Hypotheses!J89)</f>
        <v>0</v>
      </c>
      <c r="Z125" s="115"/>
      <c r="AA125" s="126">
        <f>C125*(ResourcesEmissions!$C$79-Hypotheses!$D$30*Hypotheses!H89+(1-Hypotheses!H89)*Hypotheses!$D$14+Hypotheses!H89*Hypotheses!$D$19)</f>
        <v>0</v>
      </c>
      <c r="AB125" s="126">
        <f>C125*(ResourcesEmissions!$C$79-Hypotheses!$D$30*Hypotheses!I89+(1-Hypotheses!I89)*Hypotheses!$D$14+Hypotheses!I89*Hypotheses!$D$19)</f>
        <v>0</v>
      </c>
      <c r="AC125" s="126">
        <f>C125*(ResourcesEmissions!$C$79-Hypotheses!$D$30*Hypotheses!J89+(1-Hypotheses!J89)*Hypotheses!$D$14+Hypotheses!J89*Hypotheses!$D$19)</f>
        <v>0</v>
      </c>
      <c r="AD125" s="115"/>
      <c r="AE125" s="126">
        <f>C125*(ResourcesEmissions!$C$79-Hypotheses!$D$30*Hypotheses!H89+(1-Hypotheses!H89)*Hypotheses!$D$14+Hypotheses!H89*Hypotheses!$D$21)</f>
        <v>0</v>
      </c>
      <c r="AF125" s="126">
        <f>C125*(ResourcesEmissions!$C$79-Hypotheses!$D$30*Hypotheses!I89+(1-Hypotheses!I89)*Hypotheses!$D$14+Hypotheses!I89*Hypotheses!$D$21)</f>
        <v>0</v>
      </c>
      <c r="AG125" s="126">
        <f>C125*(ResourcesEmissions!$C$79-Hypotheses!$D$30*Hypotheses!J89+(1-Hypotheses!J89)*Hypotheses!$D$14+Hypotheses!J89*Hypotheses!$D$21)</f>
        <v>0</v>
      </c>
      <c r="AH125" s="115"/>
      <c r="AI125" s="128">
        <f t="shared" si="25"/>
        <v>30816.006451039771</v>
      </c>
      <c r="AJ125" s="128">
        <f t="shared" si="25"/>
        <v>28422.911587154973</v>
      </c>
      <c r="AK125" s="128">
        <f t="shared" si="25"/>
        <v>25431.543007298984</v>
      </c>
      <c r="AL125" s="115"/>
      <c r="AM125" s="126">
        <f t="shared" si="26"/>
        <v>19816.348882423928</v>
      </c>
      <c r="AN125" s="126">
        <f t="shared" si="26"/>
        <v>19242.006115091586</v>
      </c>
      <c r="AO125" s="126">
        <f t="shared" si="26"/>
        <v>18524.077655926143</v>
      </c>
      <c r="AP125" s="115"/>
      <c r="AQ125" s="126">
        <f t="shared" si="27"/>
        <v>19816.348882423928</v>
      </c>
      <c r="AR125" s="126">
        <f t="shared" si="27"/>
        <v>19242.006115091586</v>
      </c>
      <c r="AS125" s="126">
        <f t="shared" si="27"/>
        <v>18524.077655926143</v>
      </c>
    </row>
    <row r="128" spans="1:45" x14ac:dyDescent="0.25">
      <c r="AQ128" s="255"/>
    </row>
  </sheetData>
  <mergeCells count="15">
    <mergeCell ref="B2:G2"/>
    <mergeCell ref="I2:M2"/>
    <mergeCell ref="O2:Q2"/>
    <mergeCell ref="S2:U2"/>
    <mergeCell ref="W2:Y2"/>
    <mergeCell ref="B1:G1"/>
    <mergeCell ref="I1:M1"/>
    <mergeCell ref="O1:Q1"/>
    <mergeCell ref="S1:U1"/>
    <mergeCell ref="W1:AS1"/>
    <mergeCell ref="AA2:AC2"/>
    <mergeCell ref="AE2:AG2"/>
    <mergeCell ref="AI2:AK2"/>
    <mergeCell ref="AM2:AO2"/>
    <mergeCell ref="AQ2:AS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5DC4-ED26-47B1-8501-E1170A48508E}">
  <dimension ref="A1:AZ125"/>
  <sheetViews>
    <sheetView zoomScale="85" zoomScaleNormal="85"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9.140625" style="94"/>
    <col min="2" max="7" width="12.7109375" style="94" customWidth="1"/>
    <col min="8" max="8" width="2.85546875" style="111" customWidth="1"/>
    <col min="9" max="13" width="12.7109375" style="94" customWidth="1"/>
    <col min="14" max="14" width="2.85546875" style="111" customWidth="1"/>
    <col min="15" max="17" width="15" style="94" customWidth="1"/>
    <col min="18" max="18" width="2.85546875" style="111" customWidth="1"/>
    <col min="19" max="21" width="15" style="94" customWidth="1"/>
    <col min="22" max="22" width="2.85546875" style="111" customWidth="1"/>
    <col min="23" max="28" width="15" style="94" customWidth="1"/>
    <col min="29" max="29" width="2.85546875" style="111" customWidth="1"/>
    <col min="30" max="35" width="15" style="94" customWidth="1"/>
    <col min="36" max="36" width="2.85546875" style="111" customWidth="1"/>
    <col min="37" max="39" width="15" style="94" customWidth="1"/>
    <col min="40" max="40" width="2.85546875" style="111" customWidth="1"/>
    <col min="41" max="43" width="15" style="94" customWidth="1"/>
    <col min="44" max="44" width="2.85546875" style="111" customWidth="1"/>
    <col min="45" max="47" width="15" style="94" customWidth="1"/>
    <col min="48" max="48" width="2.85546875" style="111" customWidth="1"/>
    <col min="49" max="51" width="15" style="94" customWidth="1"/>
    <col min="52" max="52" width="2.85546875" style="111" customWidth="1"/>
    <col min="53" max="16384" width="9.140625" style="94"/>
  </cols>
  <sheetData>
    <row r="1" spans="1:52" x14ac:dyDescent="0.25">
      <c r="B1" s="274" t="s">
        <v>299</v>
      </c>
      <c r="C1" s="274"/>
      <c r="D1" s="274"/>
      <c r="E1" s="274"/>
      <c r="F1" s="274"/>
      <c r="G1" s="274"/>
      <c r="H1" s="109"/>
      <c r="I1" s="274" t="s">
        <v>299</v>
      </c>
      <c r="J1" s="274"/>
      <c r="K1" s="274"/>
      <c r="L1" s="274"/>
      <c r="M1" s="274"/>
      <c r="N1" s="109"/>
      <c r="O1" s="274" t="s">
        <v>300</v>
      </c>
      <c r="P1" s="274"/>
      <c r="Q1" s="274"/>
      <c r="R1" s="109"/>
      <c r="S1" s="274" t="s">
        <v>300</v>
      </c>
      <c r="T1" s="274"/>
      <c r="U1" s="274"/>
      <c r="V1" s="109"/>
      <c r="W1" s="274" t="s">
        <v>273</v>
      </c>
      <c r="X1" s="274"/>
      <c r="Y1" s="274"/>
      <c r="Z1" s="274"/>
      <c r="AA1" s="274"/>
      <c r="AB1" s="274"/>
      <c r="AC1" s="109"/>
      <c r="AD1" s="274" t="s">
        <v>273</v>
      </c>
      <c r="AE1" s="274"/>
      <c r="AF1" s="274"/>
      <c r="AG1" s="274"/>
      <c r="AH1" s="274"/>
      <c r="AI1" s="274"/>
      <c r="AJ1" s="109"/>
      <c r="AK1" s="274" t="s">
        <v>300</v>
      </c>
      <c r="AL1" s="274"/>
      <c r="AM1" s="274"/>
      <c r="AN1" s="109"/>
      <c r="AO1" s="274" t="s">
        <v>300</v>
      </c>
      <c r="AP1" s="274"/>
      <c r="AQ1" s="274"/>
      <c r="AR1" s="109"/>
      <c r="AS1" s="275" t="s">
        <v>273</v>
      </c>
      <c r="AT1" s="275"/>
      <c r="AU1" s="275"/>
      <c r="AV1" s="275"/>
      <c r="AW1" s="275"/>
      <c r="AX1" s="275"/>
      <c r="AY1" s="275"/>
      <c r="AZ1" s="109"/>
    </row>
    <row r="2" spans="1:52" x14ac:dyDescent="0.25">
      <c r="B2" s="274" t="s">
        <v>289</v>
      </c>
      <c r="C2" s="274"/>
      <c r="D2" s="274"/>
      <c r="E2" s="274"/>
      <c r="F2" s="274"/>
      <c r="G2" s="274"/>
      <c r="H2" s="109"/>
      <c r="I2" s="274" t="s">
        <v>290</v>
      </c>
      <c r="J2" s="274"/>
      <c r="K2" s="274"/>
      <c r="L2" s="274"/>
      <c r="M2" s="274"/>
      <c r="N2" s="109"/>
      <c r="O2" s="274" t="s">
        <v>399</v>
      </c>
      <c r="P2" s="274"/>
      <c r="Q2" s="274"/>
      <c r="R2" s="109"/>
      <c r="S2" s="274" t="s">
        <v>301</v>
      </c>
      <c r="T2" s="274"/>
      <c r="U2" s="274"/>
      <c r="V2" s="109"/>
      <c r="W2" s="274" t="s">
        <v>289</v>
      </c>
      <c r="X2" s="274"/>
      <c r="Y2" s="274"/>
      <c r="Z2" s="274"/>
      <c r="AA2" s="274"/>
      <c r="AB2" s="274"/>
      <c r="AC2" s="109"/>
      <c r="AD2" s="274" t="s">
        <v>304</v>
      </c>
      <c r="AE2" s="274"/>
      <c r="AF2" s="274"/>
      <c r="AG2" s="274"/>
      <c r="AH2" s="274"/>
      <c r="AI2" s="274"/>
      <c r="AJ2" s="109"/>
      <c r="AK2" s="274" t="s">
        <v>394</v>
      </c>
      <c r="AL2" s="274"/>
      <c r="AM2" s="274"/>
      <c r="AN2" s="109"/>
      <c r="AO2" s="274" t="s">
        <v>302</v>
      </c>
      <c r="AP2" s="274"/>
      <c r="AQ2" s="274"/>
      <c r="AR2" s="109"/>
      <c r="AS2" s="274" t="s">
        <v>395</v>
      </c>
      <c r="AT2" s="274"/>
      <c r="AU2" s="274"/>
      <c r="AV2" s="109"/>
      <c r="AW2" s="274" t="s">
        <v>305</v>
      </c>
      <c r="AX2" s="274"/>
      <c r="AY2" s="274"/>
      <c r="AZ2" s="109"/>
    </row>
    <row r="3" spans="1:52" s="106" customFormat="1" ht="30" x14ac:dyDescent="0.25">
      <c r="B3" s="137" t="s">
        <v>367</v>
      </c>
      <c r="C3" s="137" t="s">
        <v>122</v>
      </c>
      <c r="D3" s="133" t="s">
        <v>254</v>
      </c>
      <c r="E3" s="133" t="s">
        <v>255</v>
      </c>
      <c r="F3" s="134" t="s">
        <v>371</v>
      </c>
      <c r="G3" s="134" t="s">
        <v>233</v>
      </c>
      <c r="H3" s="108"/>
      <c r="I3" s="137" t="s">
        <v>122</v>
      </c>
      <c r="J3" s="133" t="s">
        <v>254</v>
      </c>
      <c r="K3" s="133" t="s">
        <v>255</v>
      </c>
      <c r="L3" s="134" t="s">
        <v>371</v>
      </c>
      <c r="M3" s="134" t="s">
        <v>233</v>
      </c>
      <c r="N3" s="108"/>
      <c r="O3" s="129" t="s">
        <v>274</v>
      </c>
      <c r="P3" s="129" t="s">
        <v>276</v>
      </c>
      <c r="Q3" s="129" t="s">
        <v>275</v>
      </c>
      <c r="R3" s="108"/>
      <c r="S3" s="129" t="s">
        <v>274</v>
      </c>
      <c r="T3" s="129" t="s">
        <v>276</v>
      </c>
      <c r="U3" s="129" t="s">
        <v>275</v>
      </c>
      <c r="V3" s="108"/>
      <c r="W3" s="132" t="s">
        <v>282</v>
      </c>
      <c r="X3" s="132" t="s">
        <v>286</v>
      </c>
      <c r="Y3" s="132" t="s">
        <v>287</v>
      </c>
      <c r="Z3" s="124" t="s">
        <v>274</v>
      </c>
      <c r="AA3" s="124" t="s">
        <v>276</v>
      </c>
      <c r="AB3" s="124" t="s">
        <v>275</v>
      </c>
      <c r="AC3" s="108"/>
      <c r="AD3" s="132" t="s">
        <v>282</v>
      </c>
      <c r="AE3" s="132" t="s">
        <v>286</v>
      </c>
      <c r="AF3" s="132" t="s">
        <v>287</v>
      </c>
      <c r="AG3" s="124" t="s">
        <v>274</v>
      </c>
      <c r="AH3" s="124" t="s">
        <v>276</v>
      </c>
      <c r="AI3" s="124" t="s">
        <v>275</v>
      </c>
      <c r="AJ3" s="108"/>
      <c r="AK3" s="129" t="s">
        <v>274</v>
      </c>
      <c r="AL3" s="129" t="s">
        <v>276</v>
      </c>
      <c r="AM3" s="129" t="s">
        <v>275</v>
      </c>
      <c r="AN3" s="108"/>
      <c r="AO3" s="129" t="s">
        <v>274</v>
      </c>
      <c r="AP3" s="129" t="s">
        <v>276</v>
      </c>
      <c r="AQ3" s="129" t="s">
        <v>275</v>
      </c>
      <c r="AR3" s="108"/>
      <c r="AS3" s="124" t="s">
        <v>274</v>
      </c>
      <c r="AT3" s="124" t="s">
        <v>276</v>
      </c>
      <c r="AU3" s="124" t="s">
        <v>275</v>
      </c>
      <c r="AV3" s="108"/>
      <c r="AW3" s="124" t="s">
        <v>274</v>
      </c>
      <c r="AX3" s="124" t="s">
        <v>276</v>
      </c>
      <c r="AY3" s="124" t="s">
        <v>275</v>
      </c>
      <c r="AZ3" s="108"/>
    </row>
    <row r="4" spans="1:52" s="20" customFormat="1" x14ac:dyDescent="0.25">
      <c r="A4" s="105"/>
      <c r="B4" s="138" t="s">
        <v>7</v>
      </c>
      <c r="C4" s="138" t="s">
        <v>8</v>
      </c>
      <c r="D4" s="135" t="s">
        <v>8</v>
      </c>
      <c r="E4" s="135" t="s">
        <v>8</v>
      </c>
      <c r="F4" s="135" t="s">
        <v>1</v>
      </c>
      <c r="G4" s="135" t="s">
        <v>1</v>
      </c>
      <c r="H4" s="110"/>
      <c r="I4" s="138" t="s">
        <v>8</v>
      </c>
      <c r="J4" s="135" t="s">
        <v>8</v>
      </c>
      <c r="K4" s="135" t="s">
        <v>8</v>
      </c>
      <c r="L4" s="135" t="s">
        <v>1</v>
      </c>
      <c r="M4" s="135" t="s">
        <v>1</v>
      </c>
      <c r="N4" s="110"/>
      <c r="O4" s="130" t="s">
        <v>8</v>
      </c>
      <c r="P4" s="130" t="s">
        <v>8</v>
      </c>
      <c r="Q4" s="130" t="s">
        <v>8</v>
      </c>
      <c r="R4" s="110"/>
      <c r="S4" s="130" t="s">
        <v>8</v>
      </c>
      <c r="T4" s="130" t="s">
        <v>8</v>
      </c>
      <c r="U4" s="130" t="s">
        <v>8</v>
      </c>
      <c r="V4" s="110"/>
      <c r="W4" s="127" t="s">
        <v>8</v>
      </c>
      <c r="X4" s="127" t="s">
        <v>8</v>
      </c>
      <c r="Y4" s="127" t="s">
        <v>8</v>
      </c>
      <c r="Z4" s="125" t="s">
        <v>8</v>
      </c>
      <c r="AA4" s="125" t="s">
        <v>8</v>
      </c>
      <c r="AB4" s="125" t="s">
        <v>8</v>
      </c>
      <c r="AC4" s="110"/>
      <c r="AD4" s="127" t="s">
        <v>8</v>
      </c>
      <c r="AE4" s="127" t="s">
        <v>8</v>
      </c>
      <c r="AF4" s="127" t="s">
        <v>8</v>
      </c>
      <c r="AG4" s="125" t="s">
        <v>8</v>
      </c>
      <c r="AH4" s="125" t="s">
        <v>8</v>
      </c>
      <c r="AI4" s="125" t="s">
        <v>8</v>
      </c>
      <c r="AJ4" s="110"/>
      <c r="AK4" s="130" t="s">
        <v>8</v>
      </c>
      <c r="AL4" s="130" t="s">
        <v>8</v>
      </c>
      <c r="AM4" s="130" t="s">
        <v>8</v>
      </c>
      <c r="AN4" s="110"/>
      <c r="AO4" s="130" t="s">
        <v>8</v>
      </c>
      <c r="AP4" s="130" t="s">
        <v>8</v>
      </c>
      <c r="AQ4" s="130" t="s">
        <v>8</v>
      </c>
      <c r="AR4" s="110"/>
      <c r="AS4" s="125" t="s">
        <v>8</v>
      </c>
      <c r="AT4" s="125" t="s">
        <v>8</v>
      </c>
      <c r="AU4" s="125" t="s">
        <v>8</v>
      </c>
      <c r="AV4" s="110"/>
      <c r="AW4" s="125" t="s">
        <v>8</v>
      </c>
      <c r="AX4" s="125" t="s">
        <v>8</v>
      </c>
      <c r="AY4" s="125" t="s">
        <v>8</v>
      </c>
      <c r="AZ4" s="110"/>
    </row>
    <row r="5" spans="1:52" x14ac:dyDescent="0.25">
      <c r="A5" s="94">
        <v>1950</v>
      </c>
      <c r="B5" s="139" cm="1">
        <f t="array" ref="B5">SUMPRODUCT((BXL!$AA$4:'BXL'!$AA$103=A5)*BXL!$AD$4:$AD$103)+SUMPRODUCT((BXL!$AB$4:'BXL'!$AB$103=A5)*BXL!$AD$4:$AD$103)+SUMPRODUCT((BXL!$AU$4:'BXL'!$AU$103=A5)*BXL!$AX$4:$AX$103)</f>
        <v>0</v>
      </c>
      <c r="C5" s="139" cm="1">
        <f t="array" ref="C5">SUMPRODUCT((BXL!$AA$4:'BXL'!$AA$103=A5)*BXL!$AE$4:$AE$103)+SUMPRODUCT((BXL!$AB$4:'BXL'!$AB$103=A5)*BXL!$AE$4:$AE$103)+SUMPRODUCT((BXL!$AU$4:'BXL'!$AU$103=A5)*BXL!$AY$4:$AY$103)</f>
        <v>0</v>
      </c>
      <c r="D5" s="136" cm="1">
        <f t="array" ref="D5">SUMPRODUCT((BXL!$AA$4:'BXL'!$AA$103=A5)*BXL!$AF$4:$AF$103)+SUMPRODUCT((BXL!$AB$4:'BXL'!$AB$103=A5)*BXL!$AF$4:$AF$103)+SUMPRODUCT((BXL!$AU$4:'BXL'!$AU$103=A5)*BXL!$AV$4:$AV$103)</f>
        <v>0</v>
      </c>
      <c r="E5" s="136" cm="1">
        <f t="array" ref="E5">SUMPRODUCT((BXL!$AA$4:'BXL'!$AA$103=A5)*BXL!$AG$4:$AG$103)+SUMPRODUCT((BXL!$AB$4:'BXL'!$AB$103=A5)*BXL!$AG$4:$AG$103)+SUMPRODUCT((BXL!$AU$4:'BXL'!$AU$103=A5)*BXL!$AW$4:$AW$103)</f>
        <v>0</v>
      </c>
      <c r="F5" s="136" cm="1">
        <f t="array" ref="F5">SUMPRODUCT((BXL!$AA$4:'BXL'!$AA$103=A5)*BXL!$AH$4:$AH$103)+SUMPRODUCT((BXL!$AB$4:'BXL'!$AB$103=A5)*BXL!$AH$4:$AH$103)+SUMPRODUCT((BXL!$AU$4:'BXL'!$AU$103=A5)*BXL!$AZ$4:$AZ$103)</f>
        <v>0</v>
      </c>
      <c r="G5" s="136" cm="1">
        <f t="array" ref="G5">SUMPRODUCT((BXL!$AA$4:'BXL'!$AA$103=A5)*BXL!$AI$4:$AI$103)+SUMPRODUCT((BXL!$AB$4:'BXL'!$AB$103=A5)*BXL!$AI$4:$AI$103)+SUMPRODUCT((BXL!$AU$4:'BXL'!$AU$103=A5)*BXL!$BA$4:$BA$103)</f>
        <v>0</v>
      </c>
      <c r="H5" s="115"/>
      <c r="I5" s="139">
        <f>C5</f>
        <v>0</v>
      </c>
      <c r="J5" s="136">
        <f t="shared" ref="J5:M5" si="0">D5</f>
        <v>0</v>
      </c>
      <c r="K5" s="136">
        <f t="shared" si="0"/>
        <v>0</v>
      </c>
      <c r="L5" s="136">
        <f t="shared" si="0"/>
        <v>0</v>
      </c>
      <c r="M5" s="136">
        <f t="shared" si="0"/>
        <v>0</v>
      </c>
      <c r="N5" s="115"/>
      <c r="O5" s="131"/>
      <c r="P5" s="131"/>
      <c r="Q5" s="131"/>
      <c r="R5" s="115"/>
      <c r="S5" s="131"/>
      <c r="T5" s="131"/>
      <c r="U5" s="131"/>
      <c r="V5" s="115"/>
      <c r="W5" s="128"/>
      <c r="X5" s="128"/>
      <c r="Y5" s="128"/>
      <c r="Z5" s="126"/>
      <c r="AA5" s="126"/>
      <c r="AB5" s="126"/>
      <c r="AC5" s="115"/>
      <c r="AD5" s="128"/>
      <c r="AE5" s="128"/>
      <c r="AF5" s="128"/>
      <c r="AG5" s="126"/>
      <c r="AH5" s="126"/>
      <c r="AI5" s="126"/>
      <c r="AJ5" s="115"/>
      <c r="AK5" s="131"/>
      <c r="AL5" s="131"/>
      <c r="AM5" s="131"/>
      <c r="AN5" s="115"/>
      <c r="AO5" s="131"/>
      <c r="AP5" s="131"/>
      <c r="AQ5" s="131"/>
      <c r="AR5" s="115"/>
      <c r="AS5" s="126"/>
      <c r="AT5" s="126"/>
      <c r="AU5" s="126"/>
      <c r="AV5" s="115"/>
      <c r="AW5" s="126"/>
      <c r="AX5" s="126"/>
      <c r="AY5" s="126"/>
      <c r="AZ5" s="115"/>
    </row>
    <row r="6" spans="1:52" x14ac:dyDescent="0.25">
      <c r="A6" s="94">
        <v>1951</v>
      </c>
      <c r="B6" s="139" cm="1">
        <f t="array" ref="B6">SUMPRODUCT((BXL!$AA$4:'BXL'!$AA$103=A6)*BXL!$AD$4:$AD$103)+SUMPRODUCT((BXL!$AB$4:'BXL'!$AB$103=A6)*BXL!$AD$4:$AD$103)+SUMPRODUCT((BXL!$AU$4:'BXL'!$AU$103=A6)*BXL!$AX$4:$AX$103)</f>
        <v>0</v>
      </c>
      <c r="C6" s="139" cm="1">
        <f t="array" ref="C6">SUMPRODUCT((BXL!$AA$4:'BXL'!$AA$103=A6)*BXL!$AE$4:$AE$103)+SUMPRODUCT((BXL!$AB$4:'BXL'!$AB$103=A6)*BXL!$AE$4:$AE$103)+SUMPRODUCT((BXL!$AU$4:'BXL'!$AU$103=A6)*BXL!$AY$4:$AY$103)</f>
        <v>0</v>
      </c>
      <c r="D6" s="136" cm="1">
        <f t="array" ref="D6">SUMPRODUCT((BXL!$AA$4:'BXL'!$AA$103=A6)*BXL!$AF$4:$AF$103)+SUMPRODUCT((BXL!$AB$4:'BXL'!$AB$103=A6)*BXL!$AF$4:$AF$103)+SUMPRODUCT((BXL!$AU$4:'BXL'!$AU$103=A6)*BXL!$AV$4:$AV$103)</f>
        <v>0</v>
      </c>
      <c r="E6" s="136" cm="1">
        <f t="array" ref="E6">SUMPRODUCT((BXL!$AA$4:'BXL'!$AA$103=A6)*BXL!$AG$4:$AG$103)+SUMPRODUCT((BXL!$AB$4:'BXL'!$AB$103=A6)*BXL!$AG$4:$AG$103)+SUMPRODUCT((BXL!$AU$4:'BXL'!$AU$103=A6)*BXL!$AW$4:$AW$103)</f>
        <v>0</v>
      </c>
      <c r="F6" s="136" cm="1">
        <f t="array" ref="F6">SUMPRODUCT((BXL!$AA$4:'BXL'!$AA$103=A6)*BXL!$AH$4:$AH$103)+SUMPRODUCT((BXL!$AB$4:'BXL'!$AB$103=A6)*BXL!$AH$4:$AH$103)+SUMPRODUCT((BXL!$AU$4:'BXL'!$AU$103=A6)*BXL!$AZ$4:$AZ$103)</f>
        <v>0</v>
      </c>
      <c r="G6" s="136" cm="1">
        <f t="array" ref="G6">SUMPRODUCT((BXL!$AA$4:'BXL'!$AA$103=A6)*BXL!$AI$4:$AI$103)+SUMPRODUCT((BXL!$AB$4:'BXL'!$AB$103=A6)*BXL!$AI$4:$AI$103)+SUMPRODUCT((BXL!$AU$4:'BXL'!$AU$103=A6)*BXL!$BA$4:$BA$103)</f>
        <v>0</v>
      </c>
      <c r="H6" s="115"/>
      <c r="I6" s="139">
        <f>C6+I5</f>
        <v>0</v>
      </c>
      <c r="J6" s="136">
        <f>D6+J5</f>
        <v>0</v>
      </c>
      <c r="K6" s="136">
        <f>E6+K5</f>
        <v>0</v>
      </c>
      <c r="L6" s="136">
        <f>F6+L5</f>
        <v>0</v>
      </c>
      <c r="M6" s="136">
        <f>G6+M5</f>
        <v>0</v>
      </c>
      <c r="N6" s="115"/>
      <c r="O6" s="131"/>
      <c r="P6" s="131"/>
      <c r="Q6" s="131"/>
      <c r="R6" s="115"/>
      <c r="S6" s="131"/>
      <c r="T6" s="131"/>
      <c r="U6" s="131"/>
      <c r="V6" s="115"/>
      <c r="W6" s="128"/>
      <c r="X6" s="128"/>
      <c r="Y6" s="128"/>
      <c r="Z6" s="126"/>
      <c r="AA6" s="126"/>
      <c r="AB6" s="126"/>
      <c r="AC6" s="115"/>
      <c r="AD6" s="128"/>
      <c r="AE6" s="128"/>
      <c r="AF6" s="128"/>
      <c r="AG6" s="126"/>
      <c r="AH6" s="126"/>
      <c r="AI6" s="126"/>
      <c r="AJ6" s="115"/>
      <c r="AK6" s="131"/>
      <c r="AL6" s="131"/>
      <c r="AM6" s="131"/>
      <c r="AN6" s="115"/>
      <c r="AO6" s="131"/>
      <c r="AP6" s="131"/>
      <c r="AQ6" s="131"/>
      <c r="AR6" s="115"/>
      <c r="AS6" s="126"/>
      <c r="AT6" s="126"/>
      <c r="AU6" s="126"/>
      <c r="AV6" s="115"/>
      <c r="AW6" s="126"/>
      <c r="AX6" s="126"/>
      <c r="AY6" s="126"/>
      <c r="AZ6" s="115"/>
    </row>
    <row r="7" spans="1:52" x14ac:dyDescent="0.25">
      <c r="A7" s="94">
        <v>1952</v>
      </c>
      <c r="B7" s="139" cm="1">
        <f t="array" ref="B7">SUMPRODUCT((BXL!$AA$4:'BXL'!$AA$103=A7)*BXL!$AD$4:$AD$103)+SUMPRODUCT((BXL!$AB$4:'BXL'!$AB$103=A7)*BXL!$AD$4:$AD$103)+SUMPRODUCT((BXL!$AU$4:'BXL'!$AU$103=A7)*BXL!$AX$4:$AX$103)</f>
        <v>0</v>
      </c>
      <c r="C7" s="139" cm="1">
        <f t="array" ref="C7">SUMPRODUCT((BXL!$AA$4:'BXL'!$AA$103=A7)*BXL!$AE$4:$AE$103)+SUMPRODUCT((BXL!$AB$4:'BXL'!$AB$103=A7)*BXL!$AE$4:$AE$103)+SUMPRODUCT((BXL!$AU$4:'BXL'!$AU$103=A7)*BXL!$AY$4:$AY$103)</f>
        <v>0</v>
      </c>
      <c r="D7" s="136" cm="1">
        <f t="array" ref="D7">SUMPRODUCT((BXL!$AA$4:'BXL'!$AA$103=A7)*BXL!$AF$4:$AF$103)+SUMPRODUCT((BXL!$AB$4:'BXL'!$AB$103=A7)*BXL!$AF$4:$AF$103)+SUMPRODUCT((BXL!$AU$4:'BXL'!$AU$103=A7)*BXL!$AV$4:$AV$103)</f>
        <v>0</v>
      </c>
      <c r="E7" s="136" cm="1">
        <f t="array" ref="E7">SUMPRODUCT((BXL!$AA$4:'BXL'!$AA$103=A7)*BXL!$AG$4:$AG$103)+SUMPRODUCT((BXL!$AB$4:'BXL'!$AB$103=A7)*BXL!$AG$4:$AG$103)+SUMPRODUCT((BXL!$AU$4:'BXL'!$AU$103=A7)*BXL!$AW$4:$AW$103)</f>
        <v>0</v>
      </c>
      <c r="F7" s="136" cm="1">
        <f t="array" ref="F7">SUMPRODUCT((BXL!$AA$4:'BXL'!$AA$103=A7)*BXL!$AH$4:$AH$103)+SUMPRODUCT((BXL!$AB$4:'BXL'!$AB$103=A7)*BXL!$AH$4:$AH$103)+SUMPRODUCT((BXL!$AU$4:'BXL'!$AU$103=A7)*BXL!$AZ$4:$AZ$103)</f>
        <v>0</v>
      </c>
      <c r="G7" s="136" cm="1">
        <f t="array" ref="G7">SUMPRODUCT((BXL!$AA$4:'BXL'!$AA$103=A7)*BXL!$AI$4:$AI$103)+SUMPRODUCT((BXL!$AB$4:'BXL'!$AB$103=A7)*BXL!$AI$4:$AI$103)+SUMPRODUCT((BXL!$AU$4:'BXL'!$AU$103=A7)*BXL!$BA$4:$BA$103)</f>
        <v>0</v>
      </c>
      <c r="H7" s="115"/>
      <c r="I7" s="139">
        <f t="shared" ref="I7:I38" si="1">C7+I6</f>
        <v>0</v>
      </c>
      <c r="J7" s="136">
        <f t="shared" ref="J7:M22" si="2">D7+J6</f>
        <v>0</v>
      </c>
      <c r="K7" s="136">
        <f t="shared" si="2"/>
        <v>0</v>
      </c>
      <c r="L7" s="136">
        <f t="shared" si="2"/>
        <v>0</v>
      </c>
      <c r="M7" s="136">
        <f t="shared" si="2"/>
        <v>0</v>
      </c>
      <c r="N7" s="115"/>
      <c r="O7" s="131"/>
      <c r="P7" s="131"/>
      <c r="Q7" s="131"/>
      <c r="R7" s="115"/>
      <c r="S7" s="131"/>
      <c r="T7" s="131"/>
      <c r="U7" s="131"/>
      <c r="V7" s="115"/>
      <c r="W7" s="128"/>
      <c r="X7" s="128"/>
      <c r="Y7" s="128"/>
      <c r="Z7" s="126"/>
      <c r="AA7" s="126"/>
      <c r="AB7" s="126"/>
      <c r="AC7" s="115"/>
      <c r="AD7" s="128"/>
      <c r="AE7" s="128"/>
      <c r="AF7" s="128"/>
      <c r="AG7" s="126"/>
      <c r="AH7" s="126"/>
      <c r="AI7" s="126"/>
      <c r="AJ7" s="115"/>
      <c r="AK7" s="131"/>
      <c r="AL7" s="131"/>
      <c r="AM7" s="131"/>
      <c r="AN7" s="115"/>
      <c r="AO7" s="131"/>
      <c r="AP7" s="131"/>
      <c r="AQ7" s="131"/>
      <c r="AR7" s="115"/>
      <c r="AS7" s="126"/>
      <c r="AT7" s="126"/>
      <c r="AU7" s="126"/>
      <c r="AV7" s="115"/>
      <c r="AW7" s="126"/>
      <c r="AX7" s="126"/>
      <c r="AY7" s="126"/>
      <c r="AZ7" s="115"/>
    </row>
    <row r="8" spans="1:52" x14ac:dyDescent="0.25">
      <c r="A8" s="94">
        <v>1953</v>
      </c>
      <c r="B8" s="139" cm="1">
        <f t="array" ref="B8">SUMPRODUCT((BXL!$AA$4:'BXL'!$AA$103=A8)*BXL!$AD$4:$AD$103)+SUMPRODUCT((BXL!$AB$4:'BXL'!$AB$103=A8)*BXL!$AD$4:$AD$103)+SUMPRODUCT((BXL!$AU$4:'BXL'!$AU$103=A8)*BXL!$AX$4:$AX$103)</f>
        <v>0</v>
      </c>
      <c r="C8" s="139" cm="1">
        <f t="array" ref="C8">SUMPRODUCT((BXL!$AA$4:'BXL'!$AA$103=A8)*BXL!$AE$4:$AE$103)+SUMPRODUCT((BXL!$AB$4:'BXL'!$AB$103=A8)*BXL!$AE$4:$AE$103)+SUMPRODUCT((BXL!$AU$4:'BXL'!$AU$103=A8)*BXL!$AY$4:$AY$103)</f>
        <v>0</v>
      </c>
      <c r="D8" s="136" cm="1">
        <f t="array" ref="D8">SUMPRODUCT((BXL!$AA$4:'BXL'!$AA$103=A8)*BXL!$AF$4:$AF$103)+SUMPRODUCT((BXL!$AB$4:'BXL'!$AB$103=A8)*BXL!$AF$4:$AF$103)+SUMPRODUCT((BXL!$AU$4:'BXL'!$AU$103=A8)*BXL!$AV$4:$AV$103)</f>
        <v>0</v>
      </c>
      <c r="E8" s="136" cm="1">
        <f t="array" ref="E8">SUMPRODUCT((BXL!$AA$4:'BXL'!$AA$103=A8)*BXL!$AG$4:$AG$103)+SUMPRODUCT((BXL!$AB$4:'BXL'!$AB$103=A8)*BXL!$AG$4:$AG$103)+SUMPRODUCT((BXL!$AU$4:'BXL'!$AU$103=A8)*BXL!$AW$4:$AW$103)</f>
        <v>0</v>
      </c>
      <c r="F8" s="136" cm="1">
        <f t="array" ref="F8">SUMPRODUCT((BXL!$AA$4:'BXL'!$AA$103=A8)*BXL!$AH$4:$AH$103)+SUMPRODUCT((BXL!$AB$4:'BXL'!$AB$103=A8)*BXL!$AH$4:$AH$103)+SUMPRODUCT((BXL!$AU$4:'BXL'!$AU$103=A8)*BXL!$AZ$4:$AZ$103)</f>
        <v>0</v>
      </c>
      <c r="G8" s="136" cm="1">
        <f t="array" ref="G8">SUMPRODUCT((BXL!$AA$4:'BXL'!$AA$103=A8)*BXL!$AI$4:$AI$103)+SUMPRODUCT((BXL!$AB$4:'BXL'!$AB$103=A8)*BXL!$AI$4:$AI$103)+SUMPRODUCT((BXL!$AU$4:'BXL'!$AU$103=A8)*BXL!$BA$4:$BA$103)</f>
        <v>0</v>
      </c>
      <c r="H8" s="115"/>
      <c r="I8" s="139">
        <f t="shared" si="1"/>
        <v>0</v>
      </c>
      <c r="J8" s="136">
        <f t="shared" si="2"/>
        <v>0</v>
      </c>
      <c r="K8" s="136">
        <f t="shared" si="2"/>
        <v>0</v>
      </c>
      <c r="L8" s="136">
        <f t="shared" si="2"/>
        <v>0</v>
      </c>
      <c r="M8" s="136">
        <f t="shared" si="2"/>
        <v>0</v>
      </c>
      <c r="N8" s="115"/>
      <c r="O8" s="131"/>
      <c r="P8" s="131"/>
      <c r="Q8" s="131"/>
      <c r="R8" s="115"/>
      <c r="S8" s="131"/>
      <c r="T8" s="131"/>
      <c r="U8" s="131"/>
      <c r="V8" s="115"/>
      <c r="W8" s="128"/>
      <c r="X8" s="128"/>
      <c r="Y8" s="128"/>
      <c r="Z8" s="126"/>
      <c r="AA8" s="126"/>
      <c r="AB8" s="126"/>
      <c r="AC8" s="115"/>
      <c r="AD8" s="128"/>
      <c r="AE8" s="128"/>
      <c r="AF8" s="128"/>
      <c r="AG8" s="126"/>
      <c r="AH8" s="126"/>
      <c r="AI8" s="126"/>
      <c r="AJ8" s="115"/>
      <c r="AK8" s="131"/>
      <c r="AL8" s="131"/>
      <c r="AM8" s="131"/>
      <c r="AN8" s="115"/>
      <c r="AO8" s="131"/>
      <c r="AP8" s="131"/>
      <c r="AQ8" s="131"/>
      <c r="AR8" s="115"/>
      <c r="AS8" s="126"/>
      <c r="AT8" s="126"/>
      <c r="AU8" s="126"/>
      <c r="AV8" s="115"/>
      <c r="AW8" s="126"/>
      <c r="AX8" s="126"/>
      <c r="AY8" s="126"/>
      <c r="AZ8" s="115"/>
    </row>
    <row r="9" spans="1:52" x14ac:dyDescent="0.25">
      <c r="A9" s="94">
        <v>1954</v>
      </c>
      <c r="B9" s="139" cm="1">
        <f t="array" ref="B9">SUMPRODUCT((BXL!$AA$4:'BXL'!$AA$103=A9)*BXL!$AD$4:$AD$103)+SUMPRODUCT((BXL!$AB$4:'BXL'!$AB$103=A9)*BXL!$AD$4:$AD$103)+SUMPRODUCT((BXL!$AU$4:'BXL'!$AU$103=A9)*BXL!$AX$4:$AX$103)</f>
        <v>0</v>
      </c>
      <c r="C9" s="139" cm="1">
        <f t="array" ref="C9">SUMPRODUCT((BXL!$AA$4:'BXL'!$AA$103=A9)*BXL!$AE$4:$AE$103)+SUMPRODUCT((BXL!$AB$4:'BXL'!$AB$103=A9)*BXL!$AE$4:$AE$103)+SUMPRODUCT((BXL!$AU$4:'BXL'!$AU$103=A9)*BXL!$AY$4:$AY$103)</f>
        <v>0</v>
      </c>
      <c r="D9" s="136" cm="1">
        <f t="array" ref="D9">SUMPRODUCT((BXL!$AA$4:'BXL'!$AA$103=A9)*BXL!$AF$4:$AF$103)+SUMPRODUCT((BXL!$AB$4:'BXL'!$AB$103=A9)*BXL!$AF$4:$AF$103)+SUMPRODUCT((BXL!$AU$4:'BXL'!$AU$103=A9)*BXL!$AV$4:$AV$103)</f>
        <v>0</v>
      </c>
      <c r="E9" s="136" cm="1">
        <f t="array" ref="E9">SUMPRODUCT((BXL!$AA$4:'BXL'!$AA$103=A9)*BXL!$AG$4:$AG$103)+SUMPRODUCT((BXL!$AB$4:'BXL'!$AB$103=A9)*BXL!$AG$4:$AG$103)+SUMPRODUCT((BXL!$AU$4:'BXL'!$AU$103=A9)*BXL!$AW$4:$AW$103)</f>
        <v>0</v>
      </c>
      <c r="F9" s="136" cm="1">
        <f t="array" ref="F9">SUMPRODUCT((BXL!$AA$4:'BXL'!$AA$103=A9)*BXL!$AH$4:$AH$103)+SUMPRODUCT((BXL!$AB$4:'BXL'!$AB$103=A9)*BXL!$AH$4:$AH$103)+SUMPRODUCT((BXL!$AU$4:'BXL'!$AU$103=A9)*BXL!$AZ$4:$AZ$103)</f>
        <v>0</v>
      </c>
      <c r="G9" s="136" cm="1">
        <f t="array" ref="G9">SUMPRODUCT((BXL!$AA$4:'BXL'!$AA$103=A9)*BXL!$AI$4:$AI$103)+SUMPRODUCT((BXL!$AB$4:'BXL'!$AB$103=A9)*BXL!$AI$4:$AI$103)+SUMPRODUCT((BXL!$AU$4:'BXL'!$AU$103=A9)*BXL!$BA$4:$BA$103)</f>
        <v>0</v>
      </c>
      <c r="H9" s="115"/>
      <c r="I9" s="139">
        <f t="shared" si="1"/>
        <v>0</v>
      </c>
      <c r="J9" s="136">
        <f t="shared" si="2"/>
        <v>0</v>
      </c>
      <c r="K9" s="136">
        <f t="shared" si="2"/>
        <v>0</v>
      </c>
      <c r="L9" s="136">
        <f t="shared" si="2"/>
        <v>0</v>
      </c>
      <c r="M9" s="136">
        <f t="shared" si="2"/>
        <v>0</v>
      </c>
      <c r="N9" s="115"/>
      <c r="O9" s="131"/>
      <c r="P9" s="131"/>
      <c r="Q9" s="131"/>
      <c r="R9" s="115"/>
      <c r="S9" s="131"/>
      <c r="T9" s="131"/>
      <c r="U9" s="131"/>
      <c r="V9" s="115"/>
      <c r="W9" s="128"/>
      <c r="X9" s="128"/>
      <c r="Y9" s="128"/>
      <c r="Z9" s="126"/>
      <c r="AA9" s="126"/>
      <c r="AB9" s="126"/>
      <c r="AC9" s="115"/>
      <c r="AD9" s="128"/>
      <c r="AE9" s="128"/>
      <c r="AF9" s="128"/>
      <c r="AG9" s="126"/>
      <c r="AH9" s="126"/>
      <c r="AI9" s="126"/>
      <c r="AJ9" s="115"/>
      <c r="AK9" s="131"/>
      <c r="AL9" s="131"/>
      <c r="AM9" s="131"/>
      <c r="AN9" s="115"/>
      <c r="AO9" s="131"/>
      <c r="AP9" s="131"/>
      <c r="AQ9" s="131"/>
      <c r="AR9" s="115"/>
      <c r="AS9" s="126"/>
      <c r="AT9" s="126"/>
      <c r="AU9" s="126"/>
      <c r="AV9" s="115"/>
      <c r="AW9" s="126"/>
      <c r="AX9" s="126"/>
      <c r="AY9" s="126"/>
      <c r="AZ9" s="115"/>
    </row>
    <row r="10" spans="1:52" x14ac:dyDescent="0.25">
      <c r="A10" s="94">
        <v>1955</v>
      </c>
      <c r="B10" s="139" cm="1">
        <f t="array" ref="B10">SUMPRODUCT((BXL!$AA$4:'BXL'!$AA$103=A10)*BXL!$AD$4:$AD$103)+SUMPRODUCT((BXL!$AB$4:'BXL'!$AB$103=A10)*BXL!$AD$4:$AD$103)+SUMPRODUCT((BXL!$AU$4:'BXL'!$AU$103=A10)*BXL!$AX$4:$AX$103)</f>
        <v>0</v>
      </c>
      <c r="C10" s="139" cm="1">
        <f t="array" ref="C10">SUMPRODUCT((BXL!$AA$4:'BXL'!$AA$103=A10)*BXL!$AE$4:$AE$103)+SUMPRODUCT((BXL!$AB$4:'BXL'!$AB$103=A10)*BXL!$AE$4:$AE$103)+SUMPRODUCT((BXL!$AU$4:'BXL'!$AU$103=A10)*BXL!$AY$4:$AY$103)</f>
        <v>0</v>
      </c>
      <c r="D10" s="136" cm="1">
        <f t="array" ref="D10">SUMPRODUCT((BXL!$AA$4:'BXL'!$AA$103=A10)*BXL!$AF$4:$AF$103)+SUMPRODUCT((BXL!$AB$4:'BXL'!$AB$103=A10)*BXL!$AF$4:$AF$103)+SUMPRODUCT((BXL!$AU$4:'BXL'!$AU$103=A10)*BXL!$AV$4:$AV$103)</f>
        <v>0</v>
      </c>
      <c r="E10" s="136" cm="1">
        <f t="array" ref="E10">SUMPRODUCT((BXL!$AA$4:'BXL'!$AA$103=A10)*BXL!$AG$4:$AG$103)+SUMPRODUCT((BXL!$AB$4:'BXL'!$AB$103=A10)*BXL!$AG$4:$AG$103)+SUMPRODUCT((BXL!$AU$4:'BXL'!$AU$103=A10)*BXL!$AW$4:$AW$103)</f>
        <v>0</v>
      </c>
      <c r="F10" s="136" cm="1">
        <f t="array" ref="F10">SUMPRODUCT((BXL!$AA$4:'BXL'!$AA$103=A10)*BXL!$AH$4:$AH$103)+SUMPRODUCT((BXL!$AB$4:'BXL'!$AB$103=A10)*BXL!$AH$4:$AH$103)+SUMPRODUCT((BXL!$AU$4:'BXL'!$AU$103=A10)*BXL!$AZ$4:$AZ$103)</f>
        <v>0</v>
      </c>
      <c r="G10" s="136" cm="1">
        <f t="array" ref="G10">SUMPRODUCT((BXL!$AA$4:'BXL'!$AA$103=A10)*BXL!$AI$4:$AI$103)+SUMPRODUCT((BXL!$AB$4:'BXL'!$AB$103=A10)*BXL!$AI$4:$AI$103)+SUMPRODUCT((BXL!$AU$4:'BXL'!$AU$103=A10)*BXL!$BA$4:$BA$103)</f>
        <v>0</v>
      </c>
      <c r="H10" s="115"/>
      <c r="I10" s="139">
        <f t="shared" si="1"/>
        <v>0</v>
      </c>
      <c r="J10" s="136">
        <f t="shared" si="2"/>
        <v>0</v>
      </c>
      <c r="K10" s="136">
        <f t="shared" si="2"/>
        <v>0</v>
      </c>
      <c r="L10" s="136">
        <f t="shared" si="2"/>
        <v>0</v>
      </c>
      <c r="M10" s="136">
        <f t="shared" si="2"/>
        <v>0</v>
      </c>
      <c r="N10" s="115"/>
      <c r="O10" s="131"/>
      <c r="P10" s="131"/>
      <c r="Q10" s="131"/>
      <c r="R10" s="115"/>
      <c r="S10" s="131"/>
      <c r="T10" s="131"/>
      <c r="U10" s="131"/>
      <c r="V10" s="115"/>
      <c r="W10" s="128"/>
      <c r="X10" s="128"/>
      <c r="Y10" s="128"/>
      <c r="Z10" s="126"/>
      <c r="AA10" s="126"/>
      <c r="AB10" s="126"/>
      <c r="AC10" s="115"/>
      <c r="AD10" s="128"/>
      <c r="AE10" s="128"/>
      <c r="AF10" s="128"/>
      <c r="AG10" s="126"/>
      <c r="AH10" s="126"/>
      <c r="AI10" s="126"/>
      <c r="AJ10" s="115"/>
      <c r="AK10" s="131"/>
      <c r="AL10" s="131"/>
      <c r="AM10" s="131"/>
      <c r="AN10" s="115"/>
      <c r="AO10" s="131"/>
      <c r="AP10" s="131"/>
      <c r="AQ10" s="131"/>
      <c r="AR10" s="115"/>
      <c r="AS10" s="126"/>
      <c r="AT10" s="126"/>
      <c r="AU10" s="126"/>
      <c r="AV10" s="115"/>
      <c r="AW10" s="126"/>
      <c r="AX10" s="126"/>
      <c r="AY10" s="126"/>
      <c r="AZ10" s="115"/>
    </row>
    <row r="11" spans="1:52" x14ac:dyDescent="0.25">
      <c r="A11" s="94">
        <v>1956</v>
      </c>
      <c r="B11" s="139" cm="1">
        <f t="array" ref="B11">SUMPRODUCT((BXL!$AA$4:'BXL'!$AA$103=A11)*BXL!$AD$4:$AD$103)+SUMPRODUCT((BXL!$AB$4:'BXL'!$AB$103=A11)*BXL!$AD$4:$AD$103)+SUMPRODUCT((BXL!$AU$4:'BXL'!$AU$103=A11)*BXL!$AX$4:$AX$103)</f>
        <v>0</v>
      </c>
      <c r="C11" s="139" cm="1">
        <f t="array" ref="C11">SUMPRODUCT((BXL!$AA$4:'BXL'!$AA$103=A11)*BXL!$AE$4:$AE$103)+SUMPRODUCT((BXL!$AB$4:'BXL'!$AB$103=A11)*BXL!$AE$4:$AE$103)+SUMPRODUCT((BXL!$AU$4:'BXL'!$AU$103=A11)*BXL!$AY$4:$AY$103)</f>
        <v>0</v>
      </c>
      <c r="D11" s="136" cm="1">
        <f t="array" ref="D11">SUMPRODUCT((BXL!$AA$4:'BXL'!$AA$103=A11)*BXL!$AF$4:$AF$103)+SUMPRODUCT((BXL!$AB$4:'BXL'!$AB$103=A11)*BXL!$AF$4:$AF$103)+SUMPRODUCT((BXL!$AU$4:'BXL'!$AU$103=A11)*BXL!$AV$4:$AV$103)</f>
        <v>0</v>
      </c>
      <c r="E11" s="136" cm="1">
        <f t="array" ref="E11">SUMPRODUCT((BXL!$AA$4:'BXL'!$AA$103=A11)*BXL!$AG$4:$AG$103)+SUMPRODUCT((BXL!$AB$4:'BXL'!$AB$103=A11)*BXL!$AG$4:$AG$103)+SUMPRODUCT((BXL!$AU$4:'BXL'!$AU$103=A11)*BXL!$AW$4:$AW$103)</f>
        <v>0</v>
      </c>
      <c r="F11" s="136" cm="1">
        <f t="array" ref="F11">SUMPRODUCT((BXL!$AA$4:'BXL'!$AA$103=A11)*BXL!$AH$4:$AH$103)+SUMPRODUCT((BXL!$AB$4:'BXL'!$AB$103=A11)*BXL!$AH$4:$AH$103)+SUMPRODUCT((BXL!$AU$4:'BXL'!$AU$103=A11)*BXL!$AZ$4:$AZ$103)</f>
        <v>0</v>
      </c>
      <c r="G11" s="136" cm="1">
        <f t="array" ref="G11">SUMPRODUCT((BXL!$AA$4:'BXL'!$AA$103=A11)*BXL!$AI$4:$AI$103)+SUMPRODUCT((BXL!$AB$4:'BXL'!$AB$103=A11)*BXL!$AI$4:$AI$103)+SUMPRODUCT((BXL!$AU$4:'BXL'!$AU$103=A11)*BXL!$BA$4:$BA$103)</f>
        <v>0</v>
      </c>
      <c r="H11" s="115"/>
      <c r="I11" s="139">
        <f t="shared" si="1"/>
        <v>0</v>
      </c>
      <c r="J11" s="136">
        <f t="shared" si="2"/>
        <v>0</v>
      </c>
      <c r="K11" s="136">
        <f t="shared" si="2"/>
        <v>0</v>
      </c>
      <c r="L11" s="136">
        <f t="shared" si="2"/>
        <v>0</v>
      </c>
      <c r="M11" s="136">
        <f t="shared" si="2"/>
        <v>0</v>
      </c>
      <c r="N11" s="115"/>
      <c r="O11" s="131"/>
      <c r="P11" s="131"/>
      <c r="Q11" s="131"/>
      <c r="R11" s="115"/>
      <c r="S11" s="131"/>
      <c r="T11" s="131"/>
      <c r="U11" s="131"/>
      <c r="V11" s="115"/>
      <c r="W11" s="128"/>
      <c r="X11" s="128"/>
      <c r="Y11" s="128"/>
      <c r="Z11" s="126"/>
      <c r="AA11" s="126"/>
      <c r="AB11" s="126"/>
      <c r="AC11" s="115"/>
      <c r="AD11" s="128"/>
      <c r="AE11" s="128"/>
      <c r="AF11" s="128"/>
      <c r="AG11" s="126"/>
      <c r="AH11" s="126"/>
      <c r="AI11" s="126"/>
      <c r="AJ11" s="115"/>
      <c r="AK11" s="131"/>
      <c r="AL11" s="131"/>
      <c r="AM11" s="131"/>
      <c r="AN11" s="115"/>
      <c r="AO11" s="131"/>
      <c r="AP11" s="131"/>
      <c r="AQ11" s="131"/>
      <c r="AR11" s="115"/>
      <c r="AS11" s="126"/>
      <c r="AT11" s="126"/>
      <c r="AU11" s="126"/>
      <c r="AV11" s="115"/>
      <c r="AW11" s="126"/>
      <c r="AX11" s="126"/>
      <c r="AY11" s="126"/>
      <c r="AZ11" s="115"/>
    </row>
    <row r="12" spans="1:52" x14ac:dyDescent="0.25">
      <c r="A12" s="94">
        <v>1957</v>
      </c>
      <c r="B12" s="139" cm="1">
        <f t="array" ref="B12">SUMPRODUCT((BXL!$AA$4:'BXL'!$AA$103=A12)*BXL!$AD$4:$AD$103)+SUMPRODUCT((BXL!$AB$4:'BXL'!$AB$103=A12)*BXL!$AD$4:$AD$103)+SUMPRODUCT((BXL!$AU$4:'BXL'!$AU$103=A12)*BXL!$AX$4:$AX$103)</f>
        <v>0</v>
      </c>
      <c r="C12" s="139" cm="1">
        <f t="array" ref="C12">SUMPRODUCT((BXL!$AA$4:'BXL'!$AA$103=A12)*BXL!$AE$4:$AE$103)+SUMPRODUCT((BXL!$AB$4:'BXL'!$AB$103=A12)*BXL!$AE$4:$AE$103)+SUMPRODUCT((BXL!$AU$4:'BXL'!$AU$103=A12)*BXL!$AY$4:$AY$103)</f>
        <v>0</v>
      </c>
      <c r="D12" s="136" cm="1">
        <f t="array" ref="D12">SUMPRODUCT((BXL!$AA$4:'BXL'!$AA$103=A12)*BXL!$AF$4:$AF$103)+SUMPRODUCT((BXL!$AB$4:'BXL'!$AB$103=A12)*BXL!$AF$4:$AF$103)+SUMPRODUCT((BXL!$AU$4:'BXL'!$AU$103=A12)*BXL!$AV$4:$AV$103)</f>
        <v>0</v>
      </c>
      <c r="E12" s="136" cm="1">
        <f t="array" ref="E12">SUMPRODUCT((BXL!$AA$4:'BXL'!$AA$103=A12)*BXL!$AG$4:$AG$103)+SUMPRODUCT((BXL!$AB$4:'BXL'!$AB$103=A12)*BXL!$AG$4:$AG$103)+SUMPRODUCT((BXL!$AU$4:'BXL'!$AU$103=A12)*BXL!$AW$4:$AW$103)</f>
        <v>0</v>
      </c>
      <c r="F12" s="136" cm="1">
        <f t="array" ref="F12">SUMPRODUCT((BXL!$AA$4:'BXL'!$AA$103=A12)*BXL!$AH$4:$AH$103)+SUMPRODUCT((BXL!$AB$4:'BXL'!$AB$103=A12)*BXL!$AH$4:$AH$103)+SUMPRODUCT((BXL!$AU$4:'BXL'!$AU$103=A12)*BXL!$AZ$4:$AZ$103)</f>
        <v>0</v>
      </c>
      <c r="G12" s="136" cm="1">
        <f t="array" ref="G12">SUMPRODUCT((BXL!$AA$4:'BXL'!$AA$103=A12)*BXL!$AI$4:$AI$103)+SUMPRODUCT((BXL!$AB$4:'BXL'!$AB$103=A12)*BXL!$AI$4:$AI$103)+SUMPRODUCT((BXL!$AU$4:'BXL'!$AU$103=A12)*BXL!$BA$4:$BA$103)</f>
        <v>0</v>
      </c>
      <c r="H12" s="115"/>
      <c r="I12" s="139">
        <f t="shared" si="1"/>
        <v>0</v>
      </c>
      <c r="J12" s="136">
        <f t="shared" si="2"/>
        <v>0</v>
      </c>
      <c r="K12" s="136">
        <f t="shared" si="2"/>
        <v>0</v>
      </c>
      <c r="L12" s="136">
        <f t="shared" si="2"/>
        <v>0</v>
      </c>
      <c r="M12" s="136">
        <f t="shared" si="2"/>
        <v>0</v>
      </c>
      <c r="N12" s="115"/>
      <c r="O12" s="131"/>
      <c r="P12" s="131"/>
      <c r="Q12" s="131"/>
      <c r="R12" s="115"/>
      <c r="S12" s="131"/>
      <c r="T12" s="131"/>
      <c r="U12" s="131"/>
      <c r="V12" s="115"/>
      <c r="W12" s="128"/>
      <c r="X12" s="128"/>
      <c r="Y12" s="128"/>
      <c r="Z12" s="126"/>
      <c r="AA12" s="126"/>
      <c r="AB12" s="126"/>
      <c r="AC12" s="115"/>
      <c r="AD12" s="128"/>
      <c r="AE12" s="128"/>
      <c r="AF12" s="128"/>
      <c r="AG12" s="126"/>
      <c r="AH12" s="126"/>
      <c r="AI12" s="126"/>
      <c r="AJ12" s="115"/>
      <c r="AK12" s="131"/>
      <c r="AL12" s="131"/>
      <c r="AM12" s="131"/>
      <c r="AN12" s="115"/>
      <c r="AO12" s="131"/>
      <c r="AP12" s="131"/>
      <c r="AQ12" s="131"/>
      <c r="AR12" s="115"/>
      <c r="AS12" s="126"/>
      <c r="AT12" s="126"/>
      <c r="AU12" s="126"/>
      <c r="AV12" s="115"/>
      <c r="AW12" s="126"/>
      <c r="AX12" s="126"/>
      <c r="AY12" s="126"/>
      <c r="AZ12" s="115"/>
    </row>
    <row r="13" spans="1:52" x14ac:dyDescent="0.25">
      <c r="A13" s="94">
        <v>1958</v>
      </c>
      <c r="B13" s="139" cm="1">
        <f t="array" ref="B13">SUMPRODUCT((BXL!$AA$4:'BXL'!$AA$103=A13)*BXL!$AD$4:$AD$103)+SUMPRODUCT((BXL!$AB$4:'BXL'!$AB$103=A13)*BXL!$AD$4:$AD$103)+SUMPRODUCT((BXL!$AU$4:'BXL'!$AU$103=A13)*BXL!$AX$4:$AX$103)</f>
        <v>0</v>
      </c>
      <c r="C13" s="139" cm="1">
        <f t="array" ref="C13">SUMPRODUCT((BXL!$AA$4:'BXL'!$AA$103=A13)*BXL!$AE$4:$AE$103)+SUMPRODUCT((BXL!$AB$4:'BXL'!$AB$103=A13)*BXL!$AE$4:$AE$103)+SUMPRODUCT((BXL!$AU$4:'BXL'!$AU$103=A13)*BXL!$AY$4:$AY$103)</f>
        <v>0</v>
      </c>
      <c r="D13" s="136" cm="1">
        <f t="array" ref="D13">SUMPRODUCT((BXL!$AA$4:'BXL'!$AA$103=A13)*BXL!$AF$4:$AF$103)+SUMPRODUCT((BXL!$AB$4:'BXL'!$AB$103=A13)*BXL!$AF$4:$AF$103)+SUMPRODUCT((BXL!$AU$4:'BXL'!$AU$103=A13)*BXL!$AV$4:$AV$103)</f>
        <v>0</v>
      </c>
      <c r="E13" s="136" cm="1">
        <f t="array" ref="E13">SUMPRODUCT((BXL!$AA$4:'BXL'!$AA$103=A13)*BXL!$AG$4:$AG$103)+SUMPRODUCT((BXL!$AB$4:'BXL'!$AB$103=A13)*BXL!$AG$4:$AG$103)+SUMPRODUCT((BXL!$AU$4:'BXL'!$AU$103=A13)*BXL!$AW$4:$AW$103)</f>
        <v>0</v>
      </c>
      <c r="F13" s="136" cm="1">
        <f t="array" ref="F13">SUMPRODUCT((BXL!$AA$4:'BXL'!$AA$103=A13)*BXL!$AH$4:$AH$103)+SUMPRODUCT((BXL!$AB$4:'BXL'!$AB$103=A13)*BXL!$AH$4:$AH$103)+SUMPRODUCT((BXL!$AU$4:'BXL'!$AU$103=A13)*BXL!$AZ$4:$AZ$103)</f>
        <v>0</v>
      </c>
      <c r="G13" s="136" cm="1">
        <f t="array" ref="G13">SUMPRODUCT((BXL!$AA$4:'BXL'!$AA$103=A13)*BXL!$AI$4:$AI$103)+SUMPRODUCT((BXL!$AB$4:'BXL'!$AB$103=A13)*BXL!$AI$4:$AI$103)+SUMPRODUCT((BXL!$AU$4:'BXL'!$AU$103=A13)*BXL!$BA$4:$BA$103)</f>
        <v>0</v>
      </c>
      <c r="H13" s="115"/>
      <c r="I13" s="139">
        <f t="shared" si="1"/>
        <v>0</v>
      </c>
      <c r="J13" s="136">
        <f t="shared" si="2"/>
        <v>0</v>
      </c>
      <c r="K13" s="136">
        <f t="shared" si="2"/>
        <v>0</v>
      </c>
      <c r="L13" s="136">
        <f t="shared" si="2"/>
        <v>0</v>
      </c>
      <c r="M13" s="136">
        <f t="shared" si="2"/>
        <v>0</v>
      </c>
      <c r="N13" s="115"/>
      <c r="O13" s="131"/>
      <c r="P13" s="131"/>
      <c r="Q13" s="131"/>
      <c r="R13" s="115"/>
      <c r="S13" s="131"/>
      <c r="T13" s="131"/>
      <c r="U13" s="131"/>
      <c r="V13" s="115"/>
      <c r="W13" s="128"/>
      <c r="X13" s="128"/>
      <c r="Y13" s="128"/>
      <c r="Z13" s="126"/>
      <c r="AA13" s="126"/>
      <c r="AB13" s="126"/>
      <c r="AC13" s="115"/>
      <c r="AD13" s="128"/>
      <c r="AE13" s="128"/>
      <c r="AF13" s="128"/>
      <c r="AG13" s="126"/>
      <c r="AH13" s="126"/>
      <c r="AI13" s="126"/>
      <c r="AJ13" s="115"/>
      <c r="AK13" s="131"/>
      <c r="AL13" s="131"/>
      <c r="AM13" s="131"/>
      <c r="AN13" s="115"/>
      <c r="AO13" s="131"/>
      <c r="AP13" s="131"/>
      <c r="AQ13" s="131"/>
      <c r="AR13" s="115"/>
      <c r="AS13" s="126"/>
      <c r="AT13" s="126"/>
      <c r="AU13" s="126"/>
      <c r="AV13" s="115"/>
      <c r="AW13" s="126"/>
      <c r="AX13" s="126"/>
      <c r="AY13" s="126"/>
      <c r="AZ13" s="115"/>
    </row>
    <row r="14" spans="1:52" x14ac:dyDescent="0.25">
      <c r="A14" s="94">
        <v>1959</v>
      </c>
      <c r="B14" s="139" cm="1">
        <f t="array" ref="B14">SUMPRODUCT((BXL!$AA$4:'BXL'!$AA$103=A14)*BXL!$AD$4:$AD$103)+SUMPRODUCT((BXL!$AB$4:'BXL'!$AB$103=A14)*BXL!$AD$4:$AD$103)+SUMPRODUCT((BXL!$AU$4:'BXL'!$AU$103=A14)*BXL!$AX$4:$AX$103)</f>
        <v>0</v>
      </c>
      <c r="C14" s="139" cm="1">
        <f t="array" ref="C14">SUMPRODUCT((BXL!$AA$4:'BXL'!$AA$103=A14)*BXL!$AE$4:$AE$103)+SUMPRODUCT((BXL!$AB$4:'BXL'!$AB$103=A14)*BXL!$AE$4:$AE$103)+SUMPRODUCT((BXL!$AU$4:'BXL'!$AU$103=A14)*BXL!$AY$4:$AY$103)</f>
        <v>0</v>
      </c>
      <c r="D14" s="136" cm="1">
        <f t="array" ref="D14">SUMPRODUCT((BXL!$AA$4:'BXL'!$AA$103=A14)*BXL!$AF$4:$AF$103)+SUMPRODUCT((BXL!$AB$4:'BXL'!$AB$103=A14)*BXL!$AF$4:$AF$103)+SUMPRODUCT((BXL!$AU$4:'BXL'!$AU$103=A14)*BXL!$AV$4:$AV$103)</f>
        <v>0</v>
      </c>
      <c r="E14" s="136" cm="1">
        <f t="array" ref="E14">SUMPRODUCT((BXL!$AA$4:'BXL'!$AA$103=A14)*BXL!$AG$4:$AG$103)+SUMPRODUCT((BXL!$AB$4:'BXL'!$AB$103=A14)*BXL!$AG$4:$AG$103)+SUMPRODUCT((BXL!$AU$4:'BXL'!$AU$103=A14)*BXL!$AW$4:$AW$103)</f>
        <v>0</v>
      </c>
      <c r="F14" s="136" cm="1">
        <f t="array" ref="F14">SUMPRODUCT((BXL!$AA$4:'BXL'!$AA$103=A14)*BXL!$AH$4:$AH$103)+SUMPRODUCT((BXL!$AB$4:'BXL'!$AB$103=A14)*BXL!$AH$4:$AH$103)+SUMPRODUCT((BXL!$AU$4:'BXL'!$AU$103=A14)*BXL!$AZ$4:$AZ$103)</f>
        <v>0</v>
      </c>
      <c r="G14" s="136" cm="1">
        <f t="array" ref="G14">SUMPRODUCT((BXL!$AA$4:'BXL'!$AA$103=A14)*BXL!$AI$4:$AI$103)+SUMPRODUCT((BXL!$AB$4:'BXL'!$AB$103=A14)*BXL!$AI$4:$AI$103)+SUMPRODUCT((BXL!$AU$4:'BXL'!$AU$103=A14)*BXL!$BA$4:$BA$103)</f>
        <v>0</v>
      </c>
      <c r="H14" s="115"/>
      <c r="I14" s="139">
        <f t="shared" si="1"/>
        <v>0</v>
      </c>
      <c r="J14" s="136">
        <f t="shared" si="2"/>
        <v>0</v>
      </c>
      <c r="K14" s="136">
        <f t="shared" si="2"/>
        <v>0</v>
      </c>
      <c r="L14" s="136">
        <f t="shared" si="2"/>
        <v>0</v>
      </c>
      <c r="M14" s="136">
        <f t="shared" si="2"/>
        <v>0</v>
      </c>
      <c r="N14" s="115"/>
      <c r="O14" s="131"/>
      <c r="P14" s="131"/>
      <c r="Q14" s="131"/>
      <c r="R14" s="115"/>
      <c r="S14" s="131"/>
      <c r="T14" s="131"/>
      <c r="U14" s="131"/>
      <c r="V14" s="115"/>
      <c r="W14" s="128"/>
      <c r="X14" s="128"/>
      <c r="Y14" s="128"/>
      <c r="Z14" s="126"/>
      <c r="AA14" s="126"/>
      <c r="AB14" s="126"/>
      <c r="AC14" s="115"/>
      <c r="AD14" s="128"/>
      <c r="AE14" s="128"/>
      <c r="AF14" s="128"/>
      <c r="AG14" s="126"/>
      <c r="AH14" s="126"/>
      <c r="AI14" s="126"/>
      <c r="AJ14" s="115"/>
      <c r="AK14" s="131"/>
      <c r="AL14" s="131"/>
      <c r="AM14" s="131"/>
      <c r="AN14" s="115"/>
      <c r="AO14" s="131"/>
      <c r="AP14" s="131"/>
      <c r="AQ14" s="131"/>
      <c r="AR14" s="115"/>
      <c r="AS14" s="126"/>
      <c r="AT14" s="126"/>
      <c r="AU14" s="126"/>
      <c r="AV14" s="115"/>
      <c r="AW14" s="126"/>
      <c r="AX14" s="126"/>
      <c r="AY14" s="126"/>
      <c r="AZ14" s="115"/>
    </row>
    <row r="15" spans="1:52" x14ac:dyDescent="0.25">
      <c r="A15" s="94">
        <v>1960</v>
      </c>
      <c r="B15" s="139" cm="1">
        <f t="array" ref="B15">SUMPRODUCT((BXL!$AA$4:'BXL'!$AA$103=A15)*BXL!$AD$4:$AD$103)+SUMPRODUCT((BXL!$AB$4:'BXL'!$AB$103=A15)*BXL!$AD$4:$AD$103)+SUMPRODUCT((BXL!$AU$4:'BXL'!$AU$103=A15)*BXL!$AX$4:$AX$103)</f>
        <v>0</v>
      </c>
      <c r="C15" s="139" cm="1">
        <f t="array" ref="C15">SUMPRODUCT((BXL!$AA$4:'BXL'!$AA$103=A15)*BXL!$AE$4:$AE$103)+SUMPRODUCT((BXL!$AB$4:'BXL'!$AB$103=A15)*BXL!$AE$4:$AE$103)+SUMPRODUCT((BXL!$AU$4:'BXL'!$AU$103=A15)*BXL!$AY$4:$AY$103)</f>
        <v>0</v>
      </c>
      <c r="D15" s="136" cm="1">
        <f t="array" ref="D15">SUMPRODUCT((BXL!$AA$4:'BXL'!$AA$103=A15)*BXL!$AF$4:$AF$103)+SUMPRODUCT((BXL!$AB$4:'BXL'!$AB$103=A15)*BXL!$AF$4:$AF$103)+SUMPRODUCT((BXL!$AU$4:'BXL'!$AU$103=A15)*BXL!$AV$4:$AV$103)</f>
        <v>0</v>
      </c>
      <c r="E15" s="136" cm="1">
        <f t="array" ref="E15">SUMPRODUCT((BXL!$AA$4:'BXL'!$AA$103=A15)*BXL!$AG$4:$AG$103)+SUMPRODUCT((BXL!$AB$4:'BXL'!$AB$103=A15)*BXL!$AG$4:$AG$103)+SUMPRODUCT((BXL!$AU$4:'BXL'!$AU$103=A15)*BXL!$AW$4:$AW$103)</f>
        <v>0</v>
      </c>
      <c r="F15" s="136" cm="1">
        <f t="array" ref="F15">SUMPRODUCT((BXL!$AA$4:'BXL'!$AA$103=A15)*BXL!$AH$4:$AH$103)+SUMPRODUCT((BXL!$AB$4:'BXL'!$AB$103=A15)*BXL!$AH$4:$AH$103)+SUMPRODUCT((BXL!$AU$4:'BXL'!$AU$103=A15)*BXL!$AZ$4:$AZ$103)</f>
        <v>0</v>
      </c>
      <c r="G15" s="136" cm="1">
        <f t="array" ref="G15">SUMPRODUCT((BXL!$AA$4:'BXL'!$AA$103=A15)*BXL!$AI$4:$AI$103)+SUMPRODUCT((BXL!$AB$4:'BXL'!$AB$103=A15)*BXL!$AI$4:$AI$103)+SUMPRODUCT((BXL!$AU$4:'BXL'!$AU$103=A15)*BXL!$BA$4:$BA$103)</f>
        <v>0</v>
      </c>
      <c r="H15" s="115"/>
      <c r="I15" s="139">
        <f t="shared" si="1"/>
        <v>0</v>
      </c>
      <c r="J15" s="136">
        <f t="shared" si="2"/>
        <v>0</v>
      </c>
      <c r="K15" s="136">
        <f t="shared" si="2"/>
        <v>0</v>
      </c>
      <c r="L15" s="136">
        <f t="shared" si="2"/>
        <v>0</v>
      </c>
      <c r="M15" s="136">
        <f t="shared" si="2"/>
        <v>0</v>
      </c>
      <c r="N15" s="115"/>
      <c r="O15" s="131"/>
      <c r="P15" s="131"/>
      <c r="Q15" s="131"/>
      <c r="R15" s="115"/>
      <c r="S15" s="131"/>
      <c r="T15" s="131"/>
      <c r="U15" s="131"/>
      <c r="V15" s="115"/>
      <c r="W15" s="128"/>
      <c r="X15" s="128"/>
      <c r="Y15" s="128"/>
      <c r="Z15" s="126"/>
      <c r="AA15" s="126"/>
      <c r="AB15" s="126"/>
      <c r="AC15" s="115"/>
      <c r="AD15" s="128"/>
      <c r="AE15" s="128"/>
      <c r="AF15" s="128"/>
      <c r="AG15" s="126"/>
      <c r="AH15" s="126"/>
      <c r="AI15" s="126"/>
      <c r="AJ15" s="115"/>
      <c r="AK15" s="131"/>
      <c r="AL15" s="131"/>
      <c r="AM15" s="131"/>
      <c r="AN15" s="115"/>
      <c r="AO15" s="131"/>
      <c r="AP15" s="131"/>
      <c r="AQ15" s="131"/>
      <c r="AR15" s="115"/>
      <c r="AS15" s="126"/>
      <c r="AT15" s="126"/>
      <c r="AU15" s="126"/>
      <c r="AV15" s="115"/>
      <c r="AW15" s="126"/>
      <c r="AX15" s="126"/>
      <c r="AY15" s="126"/>
      <c r="AZ15" s="115"/>
    </row>
    <row r="16" spans="1:52" x14ac:dyDescent="0.25">
      <c r="A16" s="94">
        <v>1961</v>
      </c>
      <c r="B16" s="139" cm="1">
        <f t="array" ref="B16">SUMPRODUCT((BXL!$AA$4:'BXL'!$AA$103=A16)*BXL!$AD$4:$AD$103)+SUMPRODUCT((BXL!$AB$4:'BXL'!$AB$103=A16)*BXL!$AD$4:$AD$103)+SUMPRODUCT((BXL!$AU$4:'BXL'!$AU$103=A16)*BXL!$AX$4:$AX$103)</f>
        <v>0</v>
      </c>
      <c r="C16" s="139" cm="1">
        <f t="array" ref="C16">SUMPRODUCT((BXL!$AA$4:'BXL'!$AA$103=A16)*BXL!$AE$4:$AE$103)+SUMPRODUCT((BXL!$AB$4:'BXL'!$AB$103=A16)*BXL!$AE$4:$AE$103)+SUMPRODUCT((BXL!$AU$4:'BXL'!$AU$103=A16)*BXL!$AY$4:$AY$103)</f>
        <v>0</v>
      </c>
      <c r="D16" s="136" cm="1">
        <f t="array" ref="D16">SUMPRODUCT((BXL!$AA$4:'BXL'!$AA$103=A16)*BXL!$AF$4:$AF$103)+SUMPRODUCT((BXL!$AB$4:'BXL'!$AB$103=A16)*BXL!$AF$4:$AF$103)+SUMPRODUCT((BXL!$AU$4:'BXL'!$AU$103=A16)*BXL!$AV$4:$AV$103)</f>
        <v>0</v>
      </c>
      <c r="E16" s="136" cm="1">
        <f t="array" ref="E16">SUMPRODUCT((BXL!$AA$4:'BXL'!$AA$103=A16)*BXL!$AG$4:$AG$103)+SUMPRODUCT((BXL!$AB$4:'BXL'!$AB$103=A16)*BXL!$AG$4:$AG$103)+SUMPRODUCT((BXL!$AU$4:'BXL'!$AU$103=A16)*BXL!$AW$4:$AW$103)</f>
        <v>0</v>
      </c>
      <c r="F16" s="136" cm="1">
        <f t="array" ref="F16">SUMPRODUCT((BXL!$AA$4:'BXL'!$AA$103=A16)*BXL!$AH$4:$AH$103)+SUMPRODUCT((BXL!$AB$4:'BXL'!$AB$103=A16)*BXL!$AH$4:$AH$103)+SUMPRODUCT((BXL!$AU$4:'BXL'!$AU$103=A16)*BXL!$AZ$4:$AZ$103)</f>
        <v>0</v>
      </c>
      <c r="G16" s="136" cm="1">
        <f t="array" ref="G16">SUMPRODUCT((BXL!$AA$4:'BXL'!$AA$103=A16)*BXL!$AI$4:$AI$103)+SUMPRODUCT((BXL!$AB$4:'BXL'!$AB$103=A16)*BXL!$AI$4:$AI$103)+SUMPRODUCT((BXL!$AU$4:'BXL'!$AU$103=A16)*BXL!$BA$4:$BA$103)</f>
        <v>0</v>
      </c>
      <c r="H16" s="115"/>
      <c r="I16" s="139">
        <f t="shared" si="1"/>
        <v>0</v>
      </c>
      <c r="J16" s="136">
        <f t="shared" si="2"/>
        <v>0</v>
      </c>
      <c r="K16" s="136">
        <f t="shared" si="2"/>
        <v>0</v>
      </c>
      <c r="L16" s="136">
        <f t="shared" si="2"/>
        <v>0</v>
      </c>
      <c r="M16" s="136">
        <f t="shared" si="2"/>
        <v>0</v>
      </c>
      <c r="N16" s="115"/>
      <c r="O16" s="131"/>
      <c r="P16" s="131"/>
      <c r="Q16" s="131"/>
      <c r="R16" s="115"/>
      <c r="S16" s="131"/>
      <c r="T16" s="131"/>
      <c r="U16" s="131"/>
      <c r="V16" s="115"/>
      <c r="W16" s="128"/>
      <c r="X16" s="128"/>
      <c r="Y16" s="128"/>
      <c r="Z16" s="126"/>
      <c r="AA16" s="126"/>
      <c r="AB16" s="126"/>
      <c r="AC16" s="115"/>
      <c r="AD16" s="128"/>
      <c r="AE16" s="128"/>
      <c r="AF16" s="128"/>
      <c r="AG16" s="126"/>
      <c r="AH16" s="126"/>
      <c r="AI16" s="126"/>
      <c r="AJ16" s="115"/>
      <c r="AK16" s="131"/>
      <c r="AL16" s="131"/>
      <c r="AM16" s="131"/>
      <c r="AN16" s="115"/>
      <c r="AO16" s="131"/>
      <c r="AP16" s="131"/>
      <c r="AQ16" s="131"/>
      <c r="AR16" s="115"/>
      <c r="AS16" s="126"/>
      <c r="AT16" s="126"/>
      <c r="AU16" s="126"/>
      <c r="AV16" s="115"/>
      <c r="AW16" s="126"/>
      <c r="AX16" s="126"/>
      <c r="AY16" s="126"/>
      <c r="AZ16" s="115"/>
    </row>
    <row r="17" spans="1:52" x14ac:dyDescent="0.25">
      <c r="A17" s="94">
        <v>1962</v>
      </c>
      <c r="B17" s="139" cm="1">
        <f t="array" ref="B17">SUMPRODUCT((BXL!$AA$4:'BXL'!$AA$103=A17)*BXL!$AD$4:$AD$103)+SUMPRODUCT((BXL!$AB$4:'BXL'!$AB$103=A17)*BXL!$AD$4:$AD$103)+SUMPRODUCT((BXL!$AU$4:'BXL'!$AU$103=A17)*BXL!$AX$4:$AX$103)</f>
        <v>0</v>
      </c>
      <c r="C17" s="139" cm="1">
        <f t="array" ref="C17">SUMPRODUCT((BXL!$AA$4:'BXL'!$AA$103=A17)*BXL!$AE$4:$AE$103)+SUMPRODUCT((BXL!$AB$4:'BXL'!$AB$103=A17)*BXL!$AE$4:$AE$103)+SUMPRODUCT((BXL!$AU$4:'BXL'!$AU$103=A17)*BXL!$AY$4:$AY$103)</f>
        <v>0</v>
      </c>
      <c r="D17" s="136" cm="1">
        <f t="array" ref="D17">SUMPRODUCT((BXL!$AA$4:'BXL'!$AA$103=A17)*BXL!$AF$4:$AF$103)+SUMPRODUCT((BXL!$AB$4:'BXL'!$AB$103=A17)*BXL!$AF$4:$AF$103)+SUMPRODUCT((BXL!$AU$4:'BXL'!$AU$103=A17)*BXL!$AV$4:$AV$103)</f>
        <v>0</v>
      </c>
      <c r="E17" s="136" cm="1">
        <f t="array" ref="E17">SUMPRODUCT((BXL!$AA$4:'BXL'!$AA$103=A17)*BXL!$AG$4:$AG$103)+SUMPRODUCT((BXL!$AB$4:'BXL'!$AB$103=A17)*BXL!$AG$4:$AG$103)+SUMPRODUCT((BXL!$AU$4:'BXL'!$AU$103=A17)*BXL!$AW$4:$AW$103)</f>
        <v>0</v>
      </c>
      <c r="F17" s="136" cm="1">
        <f t="array" ref="F17">SUMPRODUCT((BXL!$AA$4:'BXL'!$AA$103=A17)*BXL!$AH$4:$AH$103)+SUMPRODUCT((BXL!$AB$4:'BXL'!$AB$103=A17)*BXL!$AH$4:$AH$103)+SUMPRODUCT((BXL!$AU$4:'BXL'!$AU$103=A17)*BXL!$AZ$4:$AZ$103)</f>
        <v>0</v>
      </c>
      <c r="G17" s="136" cm="1">
        <f t="array" ref="G17">SUMPRODUCT((BXL!$AA$4:'BXL'!$AA$103=A17)*BXL!$AI$4:$AI$103)+SUMPRODUCT((BXL!$AB$4:'BXL'!$AB$103=A17)*BXL!$AI$4:$AI$103)+SUMPRODUCT((BXL!$AU$4:'BXL'!$AU$103=A17)*BXL!$BA$4:$BA$103)</f>
        <v>0</v>
      </c>
      <c r="H17" s="115"/>
      <c r="I17" s="139">
        <f t="shared" si="1"/>
        <v>0</v>
      </c>
      <c r="J17" s="136">
        <f t="shared" si="2"/>
        <v>0</v>
      </c>
      <c r="K17" s="136">
        <f t="shared" si="2"/>
        <v>0</v>
      </c>
      <c r="L17" s="136">
        <f t="shared" si="2"/>
        <v>0</v>
      </c>
      <c r="M17" s="136">
        <f t="shared" si="2"/>
        <v>0</v>
      </c>
      <c r="N17" s="115"/>
      <c r="O17" s="131"/>
      <c r="P17" s="131"/>
      <c r="Q17" s="131"/>
      <c r="R17" s="115"/>
      <c r="S17" s="131"/>
      <c r="T17" s="131"/>
      <c r="U17" s="131"/>
      <c r="V17" s="115"/>
      <c r="W17" s="128"/>
      <c r="X17" s="128"/>
      <c r="Y17" s="128"/>
      <c r="Z17" s="126"/>
      <c r="AA17" s="126"/>
      <c r="AB17" s="126"/>
      <c r="AC17" s="115"/>
      <c r="AD17" s="128"/>
      <c r="AE17" s="128"/>
      <c r="AF17" s="128"/>
      <c r="AG17" s="126"/>
      <c r="AH17" s="126"/>
      <c r="AI17" s="126"/>
      <c r="AJ17" s="115"/>
      <c r="AK17" s="131"/>
      <c r="AL17" s="131"/>
      <c r="AM17" s="131"/>
      <c r="AN17" s="115"/>
      <c r="AO17" s="131"/>
      <c r="AP17" s="131"/>
      <c r="AQ17" s="131"/>
      <c r="AR17" s="115"/>
      <c r="AS17" s="126"/>
      <c r="AT17" s="126"/>
      <c r="AU17" s="126"/>
      <c r="AV17" s="115"/>
      <c r="AW17" s="126"/>
      <c r="AX17" s="126"/>
      <c r="AY17" s="126"/>
      <c r="AZ17" s="115"/>
    </row>
    <row r="18" spans="1:52" x14ac:dyDescent="0.25">
      <c r="A18" s="94">
        <v>1963</v>
      </c>
      <c r="B18" s="139" cm="1">
        <f t="array" ref="B18">SUMPRODUCT((BXL!$AA$4:'BXL'!$AA$103=A18)*BXL!$AD$4:$AD$103)+SUMPRODUCT((BXL!$AB$4:'BXL'!$AB$103=A18)*BXL!$AD$4:$AD$103)+SUMPRODUCT((BXL!$AU$4:'BXL'!$AU$103=A18)*BXL!$AX$4:$AX$103)</f>
        <v>0</v>
      </c>
      <c r="C18" s="139" cm="1">
        <f t="array" ref="C18">SUMPRODUCT((BXL!$AA$4:'BXL'!$AA$103=A18)*BXL!$AE$4:$AE$103)+SUMPRODUCT((BXL!$AB$4:'BXL'!$AB$103=A18)*BXL!$AE$4:$AE$103)+SUMPRODUCT((BXL!$AU$4:'BXL'!$AU$103=A18)*BXL!$AY$4:$AY$103)</f>
        <v>0</v>
      </c>
      <c r="D18" s="136" cm="1">
        <f t="array" ref="D18">SUMPRODUCT((BXL!$AA$4:'BXL'!$AA$103=A18)*BXL!$AF$4:$AF$103)+SUMPRODUCT((BXL!$AB$4:'BXL'!$AB$103=A18)*BXL!$AF$4:$AF$103)+SUMPRODUCT((BXL!$AU$4:'BXL'!$AU$103=A18)*BXL!$AV$4:$AV$103)</f>
        <v>0</v>
      </c>
      <c r="E18" s="136" cm="1">
        <f t="array" ref="E18">SUMPRODUCT((BXL!$AA$4:'BXL'!$AA$103=A18)*BXL!$AG$4:$AG$103)+SUMPRODUCT((BXL!$AB$4:'BXL'!$AB$103=A18)*BXL!$AG$4:$AG$103)+SUMPRODUCT((BXL!$AU$4:'BXL'!$AU$103=A18)*BXL!$AW$4:$AW$103)</f>
        <v>0</v>
      </c>
      <c r="F18" s="136" cm="1">
        <f t="array" ref="F18">SUMPRODUCT((BXL!$AA$4:'BXL'!$AA$103=A18)*BXL!$AH$4:$AH$103)+SUMPRODUCT((BXL!$AB$4:'BXL'!$AB$103=A18)*BXL!$AH$4:$AH$103)+SUMPRODUCT((BXL!$AU$4:'BXL'!$AU$103=A18)*BXL!$AZ$4:$AZ$103)</f>
        <v>0</v>
      </c>
      <c r="G18" s="136" cm="1">
        <f t="array" ref="G18">SUMPRODUCT((BXL!$AA$4:'BXL'!$AA$103=A18)*BXL!$AI$4:$AI$103)+SUMPRODUCT((BXL!$AB$4:'BXL'!$AB$103=A18)*BXL!$AI$4:$AI$103)+SUMPRODUCT((BXL!$AU$4:'BXL'!$AU$103=A18)*BXL!$BA$4:$BA$103)</f>
        <v>0</v>
      </c>
      <c r="H18" s="115"/>
      <c r="I18" s="139">
        <f t="shared" si="1"/>
        <v>0</v>
      </c>
      <c r="J18" s="136">
        <f t="shared" si="2"/>
        <v>0</v>
      </c>
      <c r="K18" s="136">
        <f t="shared" si="2"/>
        <v>0</v>
      </c>
      <c r="L18" s="136">
        <f t="shared" si="2"/>
        <v>0</v>
      </c>
      <c r="M18" s="136">
        <f t="shared" si="2"/>
        <v>0</v>
      </c>
      <c r="N18" s="115"/>
      <c r="O18" s="131"/>
      <c r="P18" s="131"/>
      <c r="Q18" s="131"/>
      <c r="R18" s="115"/>
      <c r="S18" s="131"/>
      <c r="T18" s="131"/>
      <c r="U18" s="131"/>
      <c r="V18" s="115"/>
      <c r="W18" s="128"/>
      <c r="X18" s="128"/>
      <c r="Y18" s="128"/>
      <c r="Z18" s="126"/>
      <c r="AA18" s="126"/>
      <c r="AB18" s="126"/>
      <c r="AC18" s="115"/>
      <c r="AD18" s="128"/>
      <c r="AE18" s="128"/>
      <c r="AF18" s="128"/>
      <c r="AG18" s="126"/>
      <c r="AH18" s="126"/>
      <c r="AI18" s="126"/>
      <c r="AJ18" s="115"/>
      <c r="AK18" s="131"/>
      <c r="AL18" s="131"/>
      <c r="AM18" s="131"/>
      <c r="AN18" s="115"/>
      <c r="AO18" s="131"/>
      <c r="AP18" s="131"/>
      <c r="AQ18" s="131"/>
      <c r="AR18" s="115"/>
      <c r="AS18" s="126"/>
      <c r="AT18" s="126"/>
      <c r="AU18" s="126"/>
      <c r="AV18" s="115"/>
      <c r="AW18" s="126"/>
      <c r="AX18" s="126"/>
      <c r="AY18" s="126"/>
      <c r="AZ18" s="115"/>
    </row>
    <row r="19" spans="1:52" x14ac:dyDescent="0.25">
      <c r="A19" s="94">
        <v>1964</v>
      </c>
      <c r="B19" s="139" cm="1">
        <f t="array" ref="B19">SUMPRODUCT((BXL!$AA$4:'BXL'!$AA$103=A19)*BXL!$AD$4:$AD$103)+SUMPRODUCT((BXL!$AB$4:'BXL'!$AB$103=A19)*BXL!$AD$4:$AD$103)+SUMPRODUCT((BXL!$AU$4:'BXL'!$AU$103=A19)*BXL!$AX$4:$AX$103)</f>
        <v>0</v>
      </c>
      <c r="C19" s="139" cm="1">
        <f t="array" ref="C19">SUMPRODUCT((BXL!$AA$4:'BXL'!$AA$103=A19)*BXL!$AE$4:$AE$103)+SUMPRODUCT((BXL!$AB$4:'BXL'!$AB$103=A19)*BXL!$AE$4:$AE$103)+SUMPRODUCT((BXL!$AU$4:'BXL'!$AU$103=A19)*BXL!$AY$4:$AY$103)</f>
        <v>0</v>
      </c>
      <c r="D19" s="136" cm="1">
        <f t="array" ref="D19">SUMPRODUCT((BXL!$AA$4:'BXL'!$AA$103=A19)*BXL!$AF$4:$AF$103)+SUMPRODUCT((BXL!$AB$4:'BXL'!$AB$103=A19)*BXL!$AF$4:$AF$103)+SUMPRODUCT((BXL!$AU$4:'BXL'!$AU$103=A19)*BXL!$AV$4:$AV$103)</f>
        <v>0</v>
      </c>
      <c r="E19" s="136" cm="1">
        <f t="array" ref="E19">SUMPRODUCT((BXL!$AA$4:'BXL'!$AA$103=A19)*BXL!$AG$4:$AG$103)+SUMPRODUCT((BXL!$AB$4:'BXL'!$AB$103=A19)*BXL!$AG$4:$AG$103)+SUMPRODUCT((BXL!$AU$4:'BXL'!$AU$103=A19)*BXL!$AW$4:$AW$103)</f>
        <v>0</v>
      </c>
      <c r="F19" s="136" cm="1">
        <f t="array" ref="F19">SUMPRODUCT((BXL!$AA$4:'BXL'!$AA$103=A19)*BXL!$AH$4:$AH$103)+SUMPRODUCT((BXL!$AB$4:'BXL'!$AB$103=A19)*BXL!$AH$4:$AH$103)+SUMPRODUCT((BXL!$AU$4:'BXL'!$AU$103=A19)*BXL!$AZ$4:$AZ$103)</f>
        <v>0</v>
      </c>
      <c r="G19" s="136" cm="1">
        <f t="array" ref="G19">SUMPRODUCT((BXL!$AA$4:'BXL'!$AA$103=A19)*BXL!$AI$4:$AI$103)+SUMPRODUCT((BXL!$AB$4:'BXL'!$AB$103=A19)*BXL!$AI$4:$AI$103)+SUMPRODUCT((BXL!$AU$4:'BXL'!$AU$103=A19)*BXL!$BA$4:$BA$103)</f>
        <v>0</v>
      </c>
      <c r="H19" s="115"/>
      <c r="I19" s="139">
        <f t="shared" si="1"/>
        <v>0</v>
      </c>
      <c r="J19" s="136">
        <f t="shared" si="2"/>
        <v>0</v>
      </c>
      <c r="K19" s="136">
        <f t="shared" si="2"/>
        <v>0</v>
      </c>
      <c r="L19" s="136">
        <f t="shared" si="2"/>
        <v>0</v>
      </c>
      <c r="M19" s="136">
        <f t="shared" si="2"/>
        <v>0</v>
      </c>
      <c r="N19" s="115"/>
      <c r="O19" s="131"/>
      <c r="P19" s="131"/>
      <c r="Q19" s="131"/>
      <c r="R19" s="115"/>
      <c r="S19" s="131"/>
      <c r="T19" s="131"/>
      <c r="U19" s="131"/>
      <c r="V19" s="115"/>
      <c r="W19" s="128"/>
      <c r="X19" s="128"/>
      <c r="Y19" s="128"/>
      <c r="Z19" s="126"/>
      <c r="AA19" s="126"/>
      <c r="AB19" s="126"/>
      <c r="AC19" s="115"/>
      <c r="AD19" s="128"/>
      <c r="AE19" s="128"/>
      <c r="AF19" s="128"/>
      <c r="AG19" s="126"/>
      <c r="AH19" s="126"/>
      <c r="AI19" s="126"/>
      <c r="AJ19" s="115"/>
      <c r="AK19" s="131"/>
      <c r="AL19" s="131"/>
      <c r="AM19" s="131"/>
      <c r="AN19" s="115"/>
      <c r="AO19" s="131"/>
      <c r="AP19" s="131"/>
      <c r="AQ19" s="131"/>
      <c r="AR19" s="115"/>
      <c r="AS19" s="126"/>
      <c r="AT19" s="126"/>
      <c r="AU19" s="126"/>
      <c r="AV19" s="115"/>
      <c r="AW19" s="126"/>
      <c r="AX19" s="126"/>
      <c r="AY19" s="126"/>
      <c r="AZ19" s="115"/>
    </row>
    <row r="20" spans="1:52" x14ac:dyDescent="0.25">
      <c r="A20" s="94">
        <v>1965</v>
      </c>
      <c r="B20" s="139" cm="1">
        <f t="array" ref="B20">SUMPRODUCT((BXL!$AA$4:'BXL'!$AA$103=A20)*BXL!$AD$4:$AD$103)+SUMPRODUCT((BXL!$AB$4:'BXL'!$AB$103=A20)*BXL!$AD$4:$AD$103)+SUMPRODUCT((BXL!$AU$4:'BXL'!$AU$103=A20)*BXL!$AX$4:$AX$103)</f>
        <v>0</v>
      </c>
      <c r="C20" s="139" cm="1">
        <f t="array" ref="C20">SUMPRODUCT((BXL!$AA$4:'BXL'!$AA$103=A20)*BXL!$AE$4:$AE$103)+SUMPRODUCT((BXL!$AB$4:'BXL'!$AB$103=A20)*BXL!$AE$4:$AE$103)+SUMPRODUCT((BXL!$AU$4:'BXL'!$AU$103=A20)*BXL!$AY$4:$AY$103)</f>
        <v>0</v>
      </c>
      <c r="D20" s="136" cm="1">
        <f t="array" ref="D20">SUMPRODUCT((BXL!$AA$4:'BXL'!$AA$103=A20)*BXL!$AF$4:$AF$103)+SUMPRODUCT((BXL!$AB$4:'BXL'!$AB$103=A20)*BXL!$AF$4:$AF$103)+SUMPRODUCT((BXL!$AU$4:'BXL'!$AU$103=A20)*BXL!$AV$4:$AV$103)</f>
        <v>0</v>
      </c>
      <c r="E20" s="136" cm="1">
        <f t="array" ref="E20">SUMPRODUCT((BXL!$AA$4:'BXL'!$AA$103=A20)*BXL!$AG$4:$AG$103)+SUMPRODUCT((BXL!$AB$4:'BXL'!$AB$103=A20)*BXL!$AG$4:$AG$103)+SUMPRODUCT((BXL!$AU$4:'BXL'!$AU$103=A20)*BXL!$AW$4:$AW$103)</f>
        <v>0</v>
      </c>
      <c r="F20" s="136" cm="1">
        <f t="array" ref="F20">SUMPRODUCT((BXL!$AA$4:'BXL'!$AA$103=A20)*BXL!$AH$4:$AH$103)+SUMPRODUCT((BXL!$AB$4:'BXL'!$AB$103=A20)*BXL!$AH$4:$AH$103)+SUMPRODUCT((BXL!$AU$4:'BXL'!$AU$103=A20)*BXL!$AZ$4:$AZ$103)</f>
        <v>0</v>
      </c>
      <c r="G20" s="136" cm="1">
        <f t="array" ref="G20">SUMPRODUCT((BXL!$AA$4:'BXL'!$AA$103=A20)*BXL!$AI$4:$AI$103)+SUMPRODUCT((BXL!$AB$4:'BXL'!$AB$103=A20)*BXL!$AI$4:$AI$103)+SUMPRODUCT((BXL!$AU$4:'BXL'!$AU$103=A20)*BXL!$BA$4:$BA$103)</f>
        <v>0</v>
      </c>
      <c r="H20" s="115"/>
      <c r="I20" s="139">
        <f t="shared" si="1"/>
        <v>0</v>
      </c>
      <c r="J20" s="136">
        <f t="shared" si="2"/>
        <v>0</v>
      </c>
      <c r="K20" s="136">
        <f t="shared" si="2"/>
        <v>0</v>
      </c>
      <c r="L20" s="136">
        <f t="shared" si="2"/>
        <v>0</v>
      </c>
      <c r="M20" s="136">
        <f t="shared" si="2"/>
        <v>0</v>
      </c>
      <c r="N20" s="115"/>
      <c r="O20" s="131"/>
      <c r="P20" s="131"/>
      <c r="Q20" s="131"/>
      <c r="R20" s="115"/>
      <c r="S20" s="131"/>
      <c r="T20" s="131"/>
      <c r="U20" s="131"/>
      <c r="V20" s="115"/>
      <c r="W20" s="128"/>
      <c r="X20" s="128"/>
      <c r="Y20" s="128"/>
      <c r="Z20" s="126"/>
      <c r="AA20" s="126"/>
      <c r="AB20" s="126"/>
      <c r="AC20" s="115"/>
      <c r="AD20" s="128"/>
      <c r="AE20" s="128"/>
      <c r="AF20" s="128"/>
      <c r="AG20" s="126"/>
      <c r="AH20" s="126"/>
      <c r="AI20" s="126"/>
      <c r="AJ20" s="115"/>
      <c r="AK20" s="131"/>
      <c r="AL20" s="131"/>
      <c r="AM20" s="131"/>
      <c r="AN20" s="115"/>
      <c r="AO20" s="131"/>
      <c r="AP20" s="131"/>
      <c r="AQ20" s="131"/>
      <c r="AR20" s="115"/>
      <c r="AS20" s="126"/>
      <c r="AT20" s="126"/>
      <c r="AU20" s="126"/>
      <c r="AV20" s="115"/>
      <c r="AW20" s="126"/>
      <c r="AX20" s="126"/>
      <c r="AY20" s="126"/>
      <c r="AZ20" s="115"/>
    </row>
    <row r="21" spans="1:52" x14ac:dyDescent="0.25">
      <c r="A21" s="94">
        <v>1966</v>
      </c>
      <c r="B21" s="139" cm="1">
        <f t="array" ref="B21">SUMPRODUCT((BXL!$AA$4:'BXL'!$AA$103=A21)*BXL!$AD$4:$AD$103)+SUMPRODUCT((BXL!$AB$4:'BXL'!$AB$103=A21)*BXL!$AD$4:$AD$103)+SUMPRODUCT((BXL!$AU$4:'BXL'!$AU$103=A21)*BXL!$AX$4:$AX$103)</f>
        <v>0</v>
      </c>
      <c r="C21" s="139" cm="1">
        <f t="array" ref="C21">SUMPRODUCT((BXL!$AA$4:'BXL'!$AA$103=A21)*BXL!$AE$4:$AE$103)+SUMPRODUCT((BXL!$AB$4:'BXL'!$AB$103=A21)*BXL!$AE$4:$AE$103)+SUMPRODUCT((BXL!$AU$4:'BXL'!$AU$103=A21)*BXL!$AY$4:$AY$103)</f>
        <v>0</v>
      </c>
      <c r="D21" s="136" cm="1">
        <f t="array" ref="D21">SUMPRODUCT((BXL!$AA$4:'BXL'!$AA$103=A21)*BXL!$AF$4:$AF$103)+SUMPRODUCT((BXL!$AB$4:'BXL'!$AB$103=A21)*BXL!$AF$4:$AF$103)+SUMPRODUCT((BXL!$AU$4:'BXL'!$AU$103=A21)*BXL!$AV$4:$AV$103)</f>
        <v>0</v>
      </c>
      <c r="E21" s="136" cm="1">
        <f t="array" ref="E21">SUMPRODUCT((BXL!$AA$4:'BXL'!$AA$103=A21)*BXL!$AG$4:$AG$103)+SUMPRODUCT((BXL!$AB$4:'BXL'!$AB$103=A21)*BXL!$AG$4:$AG$103)+SUMPRODUCT((BXL!$AU$4:'BXL'!$AU$103=A21)*BXL!$AW$4:$AW$103)</f>
        <v>0</v>
      </c>
      <c r="F21" s="136" cm="1">
        <f t="array" ref="F21">SUMPRODUCT((BXL!$AA$4:'BXL'!$AA$103=A21)*BXL!$AH$4:$AH$103)+SUMPRODUCT((BXL!$AB$4:'BXL'!$AB$103=A21)*BXL!$AH$4:$AH$103)+SUMPRODUCT((BXL!$AU$4:'BXL'!$AU$103=A21)*BXL!$AZ$4:$AZ$103)</f>
        <v>0</v>
      </c>
      <c r="G21" s="136" cm="1">
        <f t="array" ref="G21">SUMPRODUCT((BXL!$AA$4:'BXL'!$AA$103=A21)*BXL!$AI$4:$AI$103)+SUMPRODUCT((BXL!$AB$4:'BXL'!$AB$103=A21)*BXL!$AI$4:$AI$103)+SUMPRODUCT((BXL!$AU$4:'BXL'!$AU$103=A21)*BXL!$BA$4:$BA$103)</f>
        <v>0</v>
      </c>
      <c r="H21" s="115"/>
      <c r="I21" s="139">
        <f t="shared" si="1"/>
        <v>0</v>
      </c>
      <c r="J21" s="136">
        <f t="shared" si="2"/>
        <v>0</v>
      </c>
      <c r="K21" s="136">
        <f t="shared" si="2"/>
        <v>0</v>
      </c>
      <c r="L21" s="136">
        <f t="shared" si="2"/>
        <v>0</v>
      </c>
      <c r="M21" s="136">
        <f t="shared" si="2"/>
        <v>0</v>
      </c>
      <c r="N21" s="115"/>
      <c r="O21" s="131"/>
      <c r="P21" s="131"/>
      <c r="Q21" s="131"/>
      <c r="R21" s="115"/>
      <c r="S21" s="131"/>
      <c r="T21" s="131"/>
      <c r="U21" s="131"/>
      <c r="V21" s="115"/>
      <c r="W21" s="128"/>
      <c r="X21" s="128"/>
      <c r="Y21" s="128"/>
      <c r="Z21" s="126"/>
      <c r="AA21" s="126"/>
      <c r="AB21" s="126"/>
      <c r="AC21" s="115"/>
      <c r="AD21" s="128"/>
      <c r="AE21" s="128"/>
      <c r="AF21" s="128"/>
      <c r="AG21" s="126"/>
      <c r="AH21" s="126"/>
      <c r="AI21" s="126"/>
      <c r="AJ21" s="115"/>
      <c r="AK21" s="131"/>
      <c r="AL21" s="131"/>
      <c r="AM21" s="131"/>
      <c r="AN21" s="115"/>
      <c r="AO21" s="131"/>
      <c r="AP21" s="131"/>
      <c r="AQ21" s="131"/>
      <c r="AR21" s="115"/>
      <c r="AS21" s="126"/>
      <c r="AT21" s="126"/>
      <c r="AU21" s="126"/>
      <c r="AV21" s="115"/>
      <c r="AW21" s="126"/>
      <c r="AX21" s="126"/>
      <c r="AY21" s="126"/>
      <c r="AZ21" s="115"/>
    </row>
    <row r="22" spans="1:52" x14ac:dyDescent="0.25">
      <c r="A22" s="94">
        <v>1967</v>
      </c>
      <c r="B22" s="139" cm="1">
        <f t="array" ref="B22">SUMPRODUCT((BXL!$AA$4:'BXL'!$AA$103=A22)*BXL!$AD$4:$AD$103)+SUMPRODUCT((BXL!$AB$4:'BXL'!$AB$103=A22)*BXL!$AD$4:$AD$103)+SUMPRODUCT((BXL!$AU$4:'BXL'!$AU$103=A22)*BXL!$AX$4:$AX$103)</f>
        <v>0</v>
      </c>
      <c r="C22" s="139" cm="1">
        <f t="array" ref="C22">SUMPRODUCT((BXL!$AA$4:'BXL'!$AA$103=A22)*BXL!$AE$4:$AE$103)+SUMPRODUCT((BXL!$AB$4:'BXL'!$AB$103=A22)*BXL!$AE$4:$AE$103)+SUMPRODUCT((BXL!$AU$4:'BXL'!$AU$103=A22)*BXL!$AY$4:$AY$103)</f>
        <v>0</v>
      </c>
      <c r="D22" s="136" cm="1">
        <f t="array" ref="D22">SUMPRODUCT((BXL!$AA$4:'BXL'!$AA$103=A22)*BXL!$AF$4:$AF$103)+SUMPRODUCT((BXL!$AB$4:'BXL'!$AB$103=A22)*BXL!$AF$4:$AF$103)+SUMPRODUCT((BXL!$AU$4:'BXL'!$AU$103=A22)*BXL!$AV$4:$AV$103)</f>
        <v>0</v>
      </c>
      <c r="E22" s="136" cm="1">
        <f t="array" ref="E22">SUMPRODUCT((BXL!$AA$4:'BXL'!$AA$103=A22)*BXL!$AG$4:$AG$103)+SUMPRODUCT((BXL!$AB$4:'BXL'!$AB$103=A22)*BXL!$AG$4:$AG$103)+SUMPRODUCT((BXL!$AU$4:'BXL'!$AU$103=A22)*BXL!$AW$4:$AW$103)</f>
        <v>0</v>
      </c>
      <c r="F22" s="136" cm="1">
        <f t="array" ref="F22">SUMPRODUCT((BXL!$AA$4:'BXL'!$AA$103=A22)*BXL!$AH$4:$AH$103)+SUMPRODUCT((BXL!$AB$4:'BXL'!$AB$103=A22)*BXL!$AH$4:$AH$103)+SUMPRODUCT((BXL!$AU$4:'BXL'!$AU$103=A22)*BXL!$AZ$4:$AZ$103)</f>
        <v>0</v>
      </c>
      <c r="G22" s="136" cm="1">
        <f t="array" ref="G22">SUMPRODUCT((BXL!$AA$4:'BXL'!$AA$103=A22)*BXL!$AI$4:$AI$103)+SUMPRODUCT((BXL!$AB$4:'BXL'!$AB$103=A22)*BXL!$AI$4:$AI$103)+SUMPRODUCT((BXL!$AU$4:'BXL'!$AU$103=A22)*BXL!$BA$4:$BA$103)</f>
        <v>0</v>
      </c>
      <c r="H22" s="115"/>
      <c r="I22" s="139">
        <f t="shared" si="1"/>
        <v>0</v>
      </c>
      <c r="J22" s="136">
        <f t="shared" si="2"/>
        <v>0</v>
      </c>
      <c r="K22" s="136">
        <f t="shared" si="2"/>
        <v>0</v>
      </c>
      <c r="L22" s="136">
        <f t="shared" si="2"/>
        <v>0</v>
      </c>
      <c r="M22" s="136">
        <f t="shared" si="2"/>
        <v>0</v>
      </c>
      <c r="N22" s="115"/>
      <c r="O22" s="131"/>
      <c r="P22" s="131"/>
      <c r="Q22" s="131"/>
      <c r="R22" s="115"/>
      <c r="S22" s="131"/>
      <c r="T22" s="131"/>
      <c r="U22" s="131"/>
      <c r="V22" s="115"/>
      <c r="W22" s="128"/>
      <c r="X22" s="128"/>
      <c r="Y22" s="128"/>
      <c r="Z22" s="126"/>
      <c r="AA22" s="126"/>
      <c r="AB22" s="126"/>
      <c r="AC22" s="115"/>
      <c r="AD22" s="128"/>
      <c r="AE22" s="128"/>
      <c r="AF22" s="128"/>
      <c r="AG22" s="126"/>
      <c r="AH22" s="126"/>
      <c r="AI22" s="126"/>
      <c r="AJ22" s="115"/>
      <c r="AK22" s="131"/>
      <c r="AL22" s="131"/>
      <c r="AM22" s="131"/>
      <c r="AN22" s="115"/>
      <c r="AO22" s="131"/>
      <c r="AP22" s="131"/>
      <c r="AQ22" s="131"/>
      <c r="AR22" s="115"/>
      <c r="AS22" s="126"/>
      <c r="AT22" s="126"/>
      <c r="AU22" s="126"/>
      <c r="AV22" s="115"/>
      <c r="AW22" s="126"/>
      <c r="AX22" s="126"/>
      <c r="AY22" s="126"/>
      <c r="AZ22" s="115"/>
    </row>
    <row r="23" spans="1:52" x14ac:dyDescent="0.25">
      <c r="A23" s="94">
        <v>1968</v>
      </c>
      <c r="B23" s="139" cm="1">
        <f t="array" ref="B23">SUMPRODUCT((BXL!$AA$4:'BXL'!$AA$103=A23)*BXL!$AD$4:$AD$103)+SUMPRODUCT((BXL!$AB$4:'BXL'!$AB$103=A23)*BXL!$AD$4:$AD$103)+SUMPRODUCT((BXL!$AU$4:'BXL'!$AU$103=A23)*BXL!$AX$4:$AX$103)</f>
        <v>0</v>
      </c>
      <c r="C23" s="139" cm="1">
        <f t="array" ref="C23">SUMPRODUCT((BXL!$AA$4:'BXL'!$AA$103=A23)*BXL!$AE$4:$AE$103)+SUMPRODUCT((BXL!$AB$4:'BXL'!$AB$103=A23)*BXL!$AE$4:$AE$103)+SUMPRODUCT((BXL!$AU$4:'BXL'!$AU$103=A23)*BXL!$AY$4:$AY$103)</f>
        <v>0</v>
      </c>
      <c r="D23" s="136" cm="1">
        <f t="array" ref="D23">SUMPRODUCT((BXL!$AA$4:'BXL'!$AA$103=A23)*BXL!$AF$4:$AF$103)+SUMPRODUCT((BXL!$AB$4:'BXL'!$AB$103=A23)*BXL!$AF$4:$AF$103)+SUMPRODUCT((BXL!$AU$4:'BXL'!$AU$103=A23)*BXL!$AV$4:$AV$103)</f>
        <v>0</v>
      </c>
      <c r="E23" s="136" cm="1">
        <f t="array" ref="E23">SUMPRODUCT((BXL!$AA$4:'BXL'!$AA$103=A23)*BXL!$AG$4:$AG$103)+SUMPRODUCT((BXL!$AB$4:'BXL'!$AB$103=A23)*BXL!$AG$4:$AG$103)+SUMPRODUCT((BXL!$AU$4:'BXL'!$AU$103=A23)*BXL!$AW$4:$AW$103)</f>
        <v>0</v>
      </c>
      <c r="F23" s="136" cm="1">
        <f t="array" ref="F23">SUMPRODUCT((BXL!$AA$4:'BXL'!$AA$103=A23)*BXL!$AH$4:$AH$103)+SUMPRODUCT((BXL!$AB$4:'BXL'!$AB$103=A23)*BXL!$AH$4:$AH$103)+SUMPRODUCT((BXL!$AU$4:'BXL'!$AU$103=A23)*BXL!$AZ$4:$AZ$103)</f>
        <v>0</v>
      </c>
      <c r="G23" s="136" cm="1">
        <f t="array" ref="G23">SUMPRODUCT((BXL!$AA$4:'BXL'!$AA$103=A23)*BXL!$AI$4:$AI$103)+SUMPRODUCT((BXL!$AB$4:'BXL'!$AB$103=A23)*BXL!$AI$4:$AI$103)+SUMPRODUCT((BXL!$AU$4:'BXL'!$AU$103=A23)*BXL!$BA$4:$BA$103)</f>
        <v>0</v>
      </c>
      <c r="H23" s="115"/>
      <c r="I23" s="139">
        <f t="shared" si="1"/>
        <v>0</v>
      </c>
      <c r="J23" s="136">
        <f t="shared" ref="J23:M38" si="3">D23+J22</f>
        <v>0</v>
      </c>
      <c r="K23" s="136">
        <f t="shared" si="3"/>
        <v>0</v>
      </c>
      <c r="L23" s="136">
        <f t="shared" si="3"/>
        <v>0</v>
      </c>
      <c r="M23" s="136">
        <f t="shared" si="3"/>
        <v>0</v>
      </c>
      <c r="N23" s="115"/>
      <c r="O23" s="131"/>
      <c r="P23" s="131"/>
      <c r="Q23" s="131"/>
      <c r="R23" s="115"/>
      <c r="S23" s="131"/>
      <c r="T23" s="131"/>
      <c r="U23" s="131"/>
      <c r="V23" s="115"/>
      <c r="W23" s="128"/>
      <c r="X23" s="128"/>
      <c r="Y23" s="128"/>
      <c r="Z23" s="126"/>
      <c r="AA23" s="126"/>
      <c r="AB23" s="126"/>
      <c r="AC23" s="115"/>
      <c r="AD23" s="128"/>
      <c r="AE23" s="128"/>
      <c r="AF23" s="128"/>
      <c r="AG23" s="126"/>
      <c r="AH23" s="126"/>
      <c r="AI23" s="126"/>
      <c r="AJ23" s="115"/>
      <c r="AK23" s="131"/>
      <c r="AL23" s="131"/>
      <c r="AM23" s="131"/>
      <c r="AN23" s="115"/>
      <c r="AO23" s="131"/>
      <c r="AP23" s="131"/>
      <c r="AQ23" s="131"/>
      <c r="AR23" s="115"/>
      <c r="AS23" s="126"/>
      <c r="AT23" s="126"/>
      <c r="AU23" s="126"/>
      <c r="AV23" s="115"/>
      <c r="AW23" s="126"/>
      <c r="AX23" s="126"/>
      <c r="AY23" s="126"/>
      <c r="AZ23" s="115"/>
    </row>
    <row r="24" spans="1:52" x14ac:dyDescent="0.25">
      <c r="A24" s="94">
        <v>1969</v>
      </c>
      <c r="B24" s="139" cm="1">
        <f t="array" ref="B24">SUMPRODUCT((BXL!$AA$4:'BXL'!$AA$103=A24)*BXL!$AD$4:$AD$103)+SUMPRODUCT((BXL!$AB$4:'BXL'!$AB$103=A24)*BXL!$AD$4:$AD$103)+SUMPRODUCT((BXL!$AU$4:'BXL'!$AU$103=A24)*BXL!$AX$4:$AX$103)</f>
        <v>0</v>
      </c>
      <c r="C24" s="139" cm="1">
        <f t="array" ref="C24">SUMPRODUCT((BXL!$AA$4:'BXL'!$AA$103=A24)*BXL!$AE$4:$AE$103)+SUMPRODUCT((BXL!$AB$4:'BXL'!$AB$103=A24)*BXL!$AE$4:$AE$103)+SUMPRODUCT((BXL!$AU$4:'BXL'!$AU$103=A24)*BXL!$AY$4:$AY$103)</f>
        <v>0</v>
      </c>
      <c r="D24" s="136" cm="1">
        <f t="array" ref="D24">SUMPRODUCT((BXL!$AA$4:'BXL'!$AA$103=A24)*BXL!$AF$4:$AF$103)+SUMPRODUCT((BXL!$AB$4:'BXL'!$AB$103=A24)*BXL!$AF$4:$AF$103)+SUMPRODUCT((BXL!$AU$4:'BXL'!$AU$103=A24)*BXL!$AV$4:$AV$103)</f>
        <v>0</v>
      </c>
      <c r="E24" s="136" cm="1">
        <f t="array" ref="E24">SUMPRODUCT((BXL!$AA$4:'BXL'!$AA$103=A24)*BXL!$AG$4:$AG$103)+SUMPRODUCT((BXL!$AB$4:'BXL'!$AB$103=A24)*BXL!$AG$4:$AG$103)+SUMPRODUCT((BXL!$AU$4:'BXL'!$AU$103=A24)*BXL!$AW$4:$AW$103)</f>
        <v>0</v>
      </c>
      <c r="F24" s="136" cm="1">
        <f t="array" ref="F24">SUMPRODUCT((BXL!$AA$4:'BXL'!$AA$103=A24)*BXL!$AH$4:$AH$103)+SUMPRODUCT((BXL!$AB$4:'BXL'!$AB$103=A24)*BXL!$AH$4:$AH$103)+SUMPRODUCT((BXL!$AU$4:'BXL'!$AU$103=A24)*BXL!$AZ$4:$AZ$103)</f>
        <v>0</v>
      </c>
      <c r="G24" s="136" cm="1">
        <f t="array" ref="G24">SUMPRODUCT((BXL!$AA$4:'BXL'!$AA$103=A24)*BXL!$AI$4:$AI$103)+SUMPRODUCT((BXL!$AB$4:'BXL'!$AB$103=A24)*BXL!$AI$4:$AI$103)+SUMPRODUCT((BXL!$AU$4:'BXL'!$AU$103=A24)*BXL!$BA$4:$BA$103)</f>
        <v>0</v>
      </c>
      <c r="H24" s="115"/>
      <c r="I24" s="139">
        <f t="shared" si="1"/>
        <v>0</v>
      </c>
      <c r="J24" s="136">
        <f t="shared" si="3"/>
        <v>0</v>
      </c>
      <c r="K24" s="136">
        <f t="shared" si="3"/>
        <v>0</v>
      </c>
      <c r="L24" s="136">
        <f t="shared" si="3"/>
        <v>0</v>
      </c>
      <c r="M24" s="136">
        <f t="shared" si="3"/>
        <v>0</v>
      </c>
      <c r="N24" s="115"/>
      <c r="O24" s="131"/>
      <c r="P24" s="131"/>
      <c r="Q24" s="131"/>
      <c r="R24" s="115"/>
      <c r="S24" s="131"/>
      <c r="T24" s="131"/>
      <c r="U24" s="131"/>
      <c r="V24" s="115"/>
      <c r="W24" s="128"/>
      <c r="X24" s="128"/>
      <c r="Y24" s="128"/>
      <c r="Z24" s="126"/>
      <c r="AA24" s="126"/>
      <c r="AB24" s="126"/>
      <c r="AC24" s="115"/>
      <c r="AD24" s="128"/>
      <c r="AE24" s="128"/>
      <c r="AF24" s="128"/>
      <c r="AG24" s="126"/>
      <c r="AH24" s="126"/>
      <c r="AI24" s="126"/>
      <c r="AJ24" s="115"/>
      <c r="AK24" s="131"/>
      <c r="AL24" s="131"/>
      <c r="AM24" s="131"/>
      <c r="AN24" s="115"/>
      <c r="AO24" s="131"/>
      <c r="AP24" s="131"/>
      <c r="AQ24" s="131"/>
      <c r="AR24" s="115"/>
      <c r="AS24" s="126"/>
      <c r="AT24" s="126"/>
      <c r="AU24" s="126"/>
      <c r="AV24" s="115"/>
      <c r="AW24" s="126"/>
      <c r="AX24" s="126"/>
      <c r="AY24" s="126"/>
      <c r="AZ24" s="115"/>
    </row>
    <row r="25" spans="1:52" x14ac:dyDescent="0.25">
      <c r="A25" s="94">
        <v>1970</v>
      </c>
      <c r="B25" s="139" cm="1">
        <f t="array" ref="B25">SUMPRODUCT((BXL!$AA$4:'BXL'!$AA$103=A25)*BXL!$AD$4:$AD$103)+SUMPRODUCT((BXL!$AB$4:'BXL'!$AB$103=A25)*BXL!$AD$4:$AD$103)+SUMPRODUCT((BXL!$AU$4:'BXL'!$AU$103=A25)*BXL!$AX$4:$AX$103)</f>
        <v>0</v>
      </c>
      <c r="C25" s="139" cm="1">
        <f t="array" ref="C25">SUMPRODUCT((BXL!$AA$4:'BXL'!$AA$103=A25)*BXL!$AE$4:$AE$103)+SUMPRODUCT((BXL!$AB$4:'BXL'!$AB$103=A25)*BXL!$AE$4:$AE$103)+SUMPRODUCT((BXL!$AU$4:'BXL'!$AU$103=A25)*BXL!$AY$4:$AY$103)</f>
        <v>0</v>
      </c>
      <c r="D25" s="136" cm="1">
        <f t="array" ref="D25">SUMPRODUCT((BXL!$AA$4:'BXL'!$AA$103=A25)*BXL!$AF$4:$AF$103)+SUMPRODUCT((BXL!$AB$4:'BXL'!$AB$103=A25)*BXL!$AF$4:$AF$103)+SUMPRODUCT((BXL!$AU$4:'BXL'!$AU$103=A25)*BXL!$AV$4:$AV$103)</f>
        <v>0</v>
      </c>
      <c r="E25" s="136" cm="1">
        <f t="array" ref="E25">SUMPRODUCT((BXL!$AA$4:'BXL'!$AA$103=A25)*BXL!$AG$4:$AG$103)+SUMPRODUCT((BXL!$AB$4:'BXL'!$AB$103=A25)*BXL!$AG$4:$AG$103)+SUMPRODUCT((BXL!$AU$4:'BXL'!$AU$103=A25)*BXL!$AW$4:$AW$103)</f>
        <v>0</v>
      </c>
      <c r="F25" s="136" cm="1">
        <f t="array" ref="F25">SUMPRODUCT((BXL!$AA$4:'BXL'!$AA$103=A25)*BXL!$AH$4:$AH$103)+SUMPRODUCT((BXL!$AB$4:'BXL'!$AB$103=A25)*BXL!$AH$4:$AH$103)+SUMPRODUCT((BXL!$AU$4:'BXL'!$AU$103=A25)*BXL!$AZ$4:$AZ$103)</f>
        <v>0</v>
      </c>
      <c r="G25" s="136" cm="1">
        <f t="array" ref="G25">SUMPRODUCT((BXL!$AA$4:'BXL'!$AA$103=A25)*BXL!$AI$4:$AI$103)+SUMPRODUCT((BXL!$AB$4:'BXL'!$AB$103=A25)*BXL!$AI$4:$AI$103)+SUMPRODUCT((BXL!$AU$4:'BXL'!$AU$103=A25)*BXL!$BA$4:$BA$103)</f>
        <v>0</v>
      </c>
      <c r="H25" s="115"/>
      <c r="I25" s="139">
        <f t="shared" si="1"/>
        <v>0</v>
      </c>
      <c r="J25" s="136">
        <f t="shared" si="3"/>
        <v>0</v>
      </c>
      <c r="K25" s="136">
        <f t="shared" si="3"/>
        <v>0</v>
      </c>
      <c r="L25" s="136">
        <f t="shared" si="3"/>
        <v>0</v>
      </c>
      <c r="M25" s="136">
        <f t="shared" si="3"/>
        <v>0</v>
      </c>
      <c r="N25" s="115"/>
      <c r="O25" s="131"/>
      <c r="P25" s="131"/>
      <c r="Q25" s="131"/>
      <c r="R25" s="115"/>
      <c r="S25" s="131"/>
      <c r="T25" s="131"/>
      <c r="U25" s="131"/>
      <c r="V25" s="115"/>
      <c r="W25" s="128"/>
      <c r="X25" s="128"/>
      <c r="Y25" s="128"/>
      <c r="Z25" s="126"/>
      <c r="AA25" s="126"/>
      <c r="AB25" s="126"/>
      <c r="AC25" s="115"/>
      <c r="AD25" s="128"/>
      <c r="AE25" s="128"/>
      <c r="AF25" s="128"/>
      <c r="AG25" s="126"/>
      <c r="AH25" s="126"/>
      <c r="AI25" s="126"/>
      <c r="AJ25" s="115"/>
      <c r="AK25" s="131"/>
      <c r="AL25" s="131"/>
      <c r="AM25" s="131"/>
      <c r="AN25" s="115"/>
      <c r="AO25" s="131"/>
      <c r="AP25" s="131"/>
      <c r="AQ25" s="131"/>
      <c r="AR25" s="115"/>
      <c r="AS25" s="126"/>
      <c r="AT25" s="126"/>
      <c r="AU25" s="126"/>
      <c r="AV25" s="115"/>
      <c r="AW25" s="126"/>
      <c r="AX25" s="126"/>
      <c r="AY25" s="126"/>
      <c r="AZ25" s="115"/>
    </row>
    <row r="26" spans="1:52" x14ac:dyDescent="0.25">
      <c r="A26" s="94">
        <v>1971</v>
      </c>
      <c r="B26" s="139" cm="1">
        <f t="array" ref="B26">SUMPRODUCT((BXL!$AA$4:'BXL'!$AA$103=A26)*BXL!$AD$4:$AD$103)+SUMPRODUCT((BXL!$AB$4:'BXL'!$AB$103=A26)*BXL!$AD$4:$AD$103)+SUMPRODUCT((BXL!$AU$4:'BXL'!$AU$103=A26)*BXL!$AX$4:$AX$103)</f>
        <v>0</v>
      </c>
      <c r="C26" s="139" cm="1">
        <f t="array" ref="C26">SUMPRODUCT((BXL!$AA$4:'BXL'!$AA$103=A26)*BXL!$AE$4:$AE$103)+SUMPRODUCT((BXL!$AB$4:'BXL'!$AB$103=A26)*BXL!$AE$4:$AE$103)+SUMPRODUCT((BXL!$AU$4:'BXL'!$AU$103=A26)*BXL!$AY$4:$AY$103)</f>
        <v>0</v>
      </c>
      <c r="D26" s="136" cm="1">
        <f t="array" ref="D26">SUMPRODUCT((BXL!$AA$4:'BXL'!$AA$103=A26)*BXL!$AF$4:$AF$103)+SUMPRODUCT((BXL!$AB$4:'BXL'!$AB$103=A26)*BXL!$AF$4:$AF$103)+SUMPRODUCT((BXL!$AU$4:'BXL'!$AU$103=A26)*BXL!$AV$4:$AV$103)</f>
        <v>0</v>
      </c>
      <c r="E26" s="136" cm="1">
        <f t="array" ref="E26">SUMPRODUCT((BXL!$AA$4:'BXL'!$AA$103=A26)*BXL!$AG$4:$AG$103)+SUMPRODUCT((BXL!$AB$4:'BXL'!$AB$103=A26)*BXL!$AG$4:$AG$103)+SUMPRODUCT((BXL!$AU$4:'BXL'!$AU$103=A26)*BXL!$AW$4:$AW$103)</f>
        <v>0</v>
      </c>
      <c r="F26" s="136" cm="1">
        <f t="array" ref="F26">SUMPRODUCT((BXL!$AA$4:'BXL'!$AA$103=A26)*BXL!$AH$4:$AH$103)+SUMPRODUCT((BXL!$AB$4:'BXL'!$AB$103=A26)*BXL!$AH$4:$AH$103)+SUMPRODUCT((BXL!$AU$4:'BXL'!$AU$103=A26)*BXL!$AZ$4:$AZ$103)</f>
        <v>0</v>
      </c>
      <c r="G26" s="136" cm="1">
        <f t="array" ref="G26">SUMPRODUCT((BXL!$AA$4:'BXL'!$AA$103=A26)*BXL!$AI$4:$AI$103)+SUMPRODUCT((BXL!$AB$4:'BXL'!$AB$103=A26)*BXL!$AI$4:$AI$103)+SUMPRODUCT((BXL!$AU$4:'BXL'!$AU$103=A26)*BXL!$BA$4:$BA$103)</f>
        <v>0</v>
      </c>
      <c r="H26" s="115"/>
      <c r="I26" s="139">
        <f t="shared" si="1"/>
        <v>0</v>
      </c>
      <c r="J26" s="136">
        <f t="shared" si="3"/>
        <v>0</v>
      </c>
      <c r="K26" s="136">
        <f t="shared" si="3"/>
        <v>0</v>
      </c>
      <c r="L26" s="136">
        <f t="shared" si="3"/>
        <v>0</v>
      </c>
      <c r="M26" s="136">
        <f t="shared" si="3"/>
        <v>0</v>
      </c>
      <c r="N26" s="115"/>
      <c r="O26" s="131"/>
      <c r="P26" s="131"/>
      <c r="Q26" s="131"/>
      <c r="R26" s="115"/>
      <c r="S26" s="131"/>
      <c r="T26" s="131"/>
      <c r="U26" s="131"/>
      <c r="V26" s="115"/>
      <c r="W26" s="128"/>
      <c r="X26" s="128"/>
      <c r="Y26" s="128"/>
      <c r="Z26" s="126"/>
      <c r="AA26" s="126"/>
      <c r="AB26" s="126"/>
      <c r="AC26" s="115"/>
      <c r="AD26" s="128"/>
      <c r="AE26" s="128"/>
      <c r="AF26" s="128"/>
      <c r="AG26" s="126"/>
      <c r="AH26" s="126"/>
      <c r="AI26" s="126"/>
      <c r="AJ26" s="115"/>
      <c r="AK26" s="131"/>
      <c r="AL26" s="131"/>
      <c r="AM26" s="131"/>
      <c r="AN26" s="115"/>
      <c r="AO26" s="131"/>
      <c r="AP26" s="131"/>
      <c r="AQ26" s="131"/>
      <c r="AR26" s="115"/>
      <c r="AS26" s="126"/>
      <c r="AT26" s="126"/>
      <c r="AU26" s="126"/>
      <c r="AV26" s="115"/>
      <c r="AW26" s="126"/>
      <c r="AX26" s="126"/>
      <c r="AY26" s="126"/>
      <c r="AZ26" s="115"/>
    </row>
    <row r="27" spans="1:52" x14ac:dyDescent="0.25">
      <c r="A27" s="94">
        <v>1972</v>
      </c>
      <c r="B27" s="139" cm="1">
        <f t="array" ref="B27">SUMPRODUCT((BXL!$AA$4:'BXL'!$AA$103=A27)*BXL!$AD$4:$AD$103)+SUMPRODUCT((BXL!$AB$4:'BXL'!$AB$103=A27)*BXL!$AD$4:$AD$103)+SUMPRODUCT((BXL!$AU$4:'BXL'!$AU$103=A27)*BXL!$AX$4:$AX$103)</f>
        <v>0</v>
      </c>
      <c r="C27" s="139" cm="1">
        <f t="array" ref="C27">SUMPRODUCT((BXL!$AA$4:'BXL'!$AA$103=A27)*BXL!$AE$4:$AE$103)+SUMPRODUCT((BXL!$AB$4:'BXL'!$AB$103=A27)*BXL!$AE$4:$AE$103)+SUMPRODUCT((BXL!$AU$4:'BXL'!$AU$103=A27)*BXL!$AY$4:$AY$103)</f>
        <v>0</v>
      </c>
      <c r="D27" s="136" cm="1">
        <f t="array" ref="D27">SUMPRODUCT((BXL!$AA$4:'BXL'!$AA$103=A27)*BXL!$AF$4:$AF$103)+SUMPRODUCT((BXL!$AB$4:'BXL'!$AB$103=A27)*BXL!$AF$4:$AF$103)+SUMPRODUCT((BXL!$AU$4:'BXL'!$AU$103=A27)*BXL!$AV$4:$AV$103)</f>
        <v>0</v>
      </c>
      <c r="E27" s="136" cm="1">
        <f t="array" ref="E27">SUMPRODUCT((BXL!$AA$4:'BXL'!$AA$103=A27)*BXL!$AG$4:$AG$103)+SUMPRODUCT((BXL!$AB$4:'BXL'!$AB$103=A27)*BXL!$AG$4:$AG$103)+SUMPRODUCT((BXL!$AU$4:'BXL'!$AU$103=A27)*BXL!$AW$4:$AW$103)</f>
        <v>0</v>
      </c>
      <c r="F27" s="136" cm="1">
        <f t="array" ref="F27">SUMPRODUCT((BXL!$AA$4:'BXL'!$AA$103=A27)*BXL!$AH$4:$AH$103)+SUMPRODUCT((BXL!$AB$4:'BXL'!$AB$103=A27)*BXL!$AH$4:$AH$103)+SUMPRODUCT((BXL!$AU$4:'BXL'!$AU$103=A27)*BXL!$AZ$4:$AZ$103)</f>
        <v>0</v>
      </c>
      <c r="G27" s="136" cm="1">
        <f t="array" ref="G27">SUMPRODUCT((BXL!$AA$4:'BXL'!$AA$103=A27)*BXL!$AI$4:$AI$103)+SUMPRODUCT((BXL!$AB$4:'BXL'!$AB$103=A27)*BXL!$AI$4:$AI$103)+SUMPRODUCT((BXL!$AU$4:'BXL'!$AU$103=A27)*BXL!$BA$4:$BA$103)</f>
        <v>0</v>
      </c>
      <c r="H27" s="115"/>
      <c r="I27" s="139">
        <f t="shared" si="1"/>
        <v>0</v>
      </c>
      <c r="J27" s="136">
        <f t="shared" si="3"/>
        <v>0</v>
      </c>
      <c r="K27" s="136">
        <f t="shared" si="3"/>
        <v>0</v>
      </c>
      <c r="L27" s="136">
        <f t="shared" si="3"/>
        <v>0</v>
      </c>
      <c r="M27" s="136">
        <f t="shared" si="3"/>
        <v>0</v>
      </c>
      <c r="N27" s="115"/>
      <c r="O27" s="131"/>
      <c r="P27" s="131"/>
      <c r="Q27" s="131"/>
      <c r="R27" s="115"/>
      <c r="S27" s="131"/>
      <c r="T27" s="131"/>
      <c r="U27" s="131"/>
      <c r="V27" s="115"/>
      <c r="W27" s="128"/>
      <c r="X27" s="128"/>
      <c r="Y27" s="128"/>
      <c r="Z27" s="126"/>
      <c r="AA27" s="126"/>
      <c r="AB27" s="126"/>
      <c r="AC27" s="115"/>
      <c r="AD27" s="128"/>
      <c r="AE27" s="128"/>
      <c r="AF27" s="128"/>
      <c r="AG27" s="126"/>
      <c r="AH27" s="126"/>
      <c r="AI27" s="126"/>
      <c r="AJ27" s="115"/>
      <c r="AK27" s="131"/>
      <c r="AL27" s="131"/>
      <c r="AM27" s="131"/>
      <c r="AN27" s="115"/>
      <c r="AO27" s="131"/>
      <c r="AP27" s="131"/>
      <c r="AQ27" s="131"/>
      <c r="AR27" s="115"/>
      <c r="AS27" s="126"/>
      <c r="AT27" s="126"/>
      <c r="AU27" s="126"/>
      <c r="AV27" s="115"/>
      <c r="AW27" s="126"/>
      <c r="AX27" s="126"/>
      <c r="AY27" s="126"/>
      <c r="AZ27" s="115"/>
    </row>
    <row r="28" spans="1:52" x14ac:dyDescent="0.25">
      <c r="A28" s="94">
        <v>1973</v>
      </c>
      <c r="B28" s="139" cm="1">
        <f t="array" ref="B28">SUMPRODUCT((BXL!$AA$4:'BXL'!$AA$103=A28)*BXL!$AD$4:$AD$103)+SUMPRODUCT((BXL!$AB$4:'BXL'!$AB$103=A28)*BXL!$AD$4:$AD$103)+SUMPRODUCT((BXL!$AU$4:'BXL'!$AU$103=A28)*BXL!$AX$4:$AX$103)</f>
        <v>0</v>
      </c>
      <c r="C28" s="139" cm="1">
        <f t="array" ref="C28">SUMPRODUCT((BXL!$AA$4:'BXL'!$AA$103=A28)*BXL!$AE$4:$AE$103)+SUMPRODUCT((BXL!$AB$4:'BXL'!$AB$103=A28)*BXL!$AE$4:$AE$103)+SUMPRODUCT((BXL!$AU$4:'BXL'!$AU$103=A28)*BXL!$AY$4:$AY$103)</f>
        <v>0</v>
      </c>
      <c r="D28" s="136" cm="1">
        <f t="array" ref="D28">SUMPRODUCT((BXL!$AA$4:'BXL'!$AA$103=A28)*BXL!$AF$4:$AF$103)+SUMPRODUCT((BXL!$AB$4:'BXL'!$AB$103=A28)*BXL!$AF$4:$AF$103)+SUMPRODUCT((BXL!$AU$4:'BXL'!$AU$103=A28)*BXL!$AV$4:$AV$103)</f>
        <v>0</v>
      </c>
      <c r="E28" s="136" cm="1">
        <f t="array" ref="E28">SUMPRODUCT((BXL!$AA$4:'BXL'!$AA$103=A28)*BXL!$AG$4:$AG$103)+SUMPRODUCT((BXL!$AB$4:'BXL'!$AB$103=A28)*BXL!$AG$4:$AG$103)+SUMPRODUCT((BXL!$AU$4:'BXL'!$AU$103=A28)*BXL!$AW$4:$AW$103)</f>
        <v>0</v>
      </c>
      <c r="F28" s="136" cm="1">
        <f t="array" ref="F28">SUMPRODUCT((BXL!$AA$4:'BXL'!$AA$103=A28)*BXL!$AH$4:$AH$103)+SUMPRODUCT((BXL!$AB$4:'BXL'!$AB$103=A28)*BXL!$AH$4:$AH$103)+SUMPRODUCT((BXL!$AU$4:'BXL'!$AU$103=A28)*BXL!$AZ$4:$AZ$103)</f>
        <v>0</v>
      </c>
      <c r="G28" s="136" cm="1">
        <f t="array" ref="G28">SUMPRODUCT((BXL!$AA$4:'BXL'!$AA$103=A28)*BXL!$AI$4:$AI$103)+SUMPRODUCT((BXL!$AB$4:'BXL'!$AB$103=A28)*BXL!$AI$4:$AI$103)+SUMPRODUCT((BXL!$AU$4:'BXL'!$AU$103=A28)*BXL!$BA$4:$BA$103)</f>
        <v>0</v>
      </c>
      <c r="H28" s="115"/>
      <c r="I28" s="139">
        <f t="shared" si="1"/>
        <v>0</v>
      </c>
      <c r="J28" s="136">
        <f t="shared" si="3"/>
        <v>0</v>
      </c>
      <c r="K28" s="136">
        <f t="shared" si="3"/>
        <v>0</v>
      </c>
      <c r="L28" s="136">
        <f t="shared" si="3"/>
        <v>0</v>
      </c>
      <c r="M28" s="136">
        <f t="shared" si="3"/>
        <v>0</v>
      </c>
      <c r="N28" s="115"/>
      <c r="O28" s="131"/>
      <c r="P28" s="131"/>
      <c r="Q28" s="131"/>
      <c r="R28" s="115"/>
      <c r="S28" s="131"/>
      <c r="T28" s="131"/>
      <c r="U28" s="131"/>
      <c r="V28" s="115"/>
      <c r="W28" s="128"/>
      <c r="X28" s="128"/>
      <c r="Y28" s="128"/>
      <c r="Z28" s="126"/>
      <c r="AA28" s="126"/>
      <c r="AB28" s="126"/>
      <c r="AC28" s="115"/>
      <c r="AD28" s="128"/>
      <c r="AE28" s="128"/>
      <c r="AF28" s="128"/>
      <c r="AG28" s="126"/>
      <c r="AH28" s="126"/>
      <c r="AI28" s="126"/>
      <c r="AJ28" s="115"/>
      <c r="AK28" s="131"/>
      <c r="AL28" s="131"/>
      <c r="AM28" s="131"/>
      <c r="AN28" s="115"/>
      <c r="AO28" s="131"/>
      <c r="AP28" s="131"/>
      <c r="AQ28" s="131"/>
      <c r="AR28" s="115"/>
      <c r="AS28" s="126"/>
      <c r="AT28" s="126"/>
      <c r="AU28" s="126"/>
      <c r="AV28" s="115"/>
      <c r="AW28" s="126"/>
      <c r="AX28" s="126"/>
      <c r="AY28" s="126"/>
      <c r="AZ28" s="115"/>
    </row>
    <row r="29" spans="1:52" x14ac:dyDescent="0.25">
      <c r="A29" s="94">
        <v>1974</v>
      </c>
      <c r="B29" s="139" cm="1">
        <f t="array" ref="B29">SUMPRODUCT((BXL!$AA$4:'BXL'!$AA$103=A29)*BXL!$AD$4:$AD$103)+SUMPRODUCT((BXL!$AB$4:'BXL'!$AB$103=A29)*BXL!$AD$4:$AD$103)+SUMPRODUCT((BXL!$AU$4:'BXL'!$AU$103=A29)*BXL!$AX$4:$AX$103)</f>
        <v>0</v>
      </c>
      <c r="C29" s="139" cm="1">
        <f t="array" ref="C29">SUMPRODUCT((BXL!$AA$4:'BXL'!$AA$103=A29)*BXL!$AE$4:$AE$103)+SUMPRODUCT((BXL!$AB$4:'BXL'!$AB$103=A29)*BXL!$AE$4:$AE$103)+SUMPRODUCT((BXL!$AU$4:'BXL'!$AU$103=A29)*BXL!$AY$4:$AY$103)</f>
        <v>0</v>
      </c>
      <c r="D29" s="136" cm="1">
        <f t="array" ref="D29">SUMPRODUCT((BXL!$AA$4:'BXL'!$AA$103=A29)*BXL!$AF$4:$AF$103)+SUMPRODUCT((BXL!$AB$4:'BXL'!$AB$103=A29)*BXL!$AF$4:$AF$103)+SUMPRODUCT((BXL!$AU$4:'BXL'!$AU$103=A29)*BXL!$AV$4:$AV$103)</f>
        <v>0</v>
      </c>
      <c r="E29" s="136" cm="1">
        <f t="array" ref="E29">SUMPRODUCT((BXL!$AA$4:'BXL'!$AA$103=A29)*BXL!$AG$4:$AG$103)+SUMPRODUCT((BXL!$AB$4:'BXL'!$AB$103=A29)*BXL!$AG$4:$AG$103)+SUMPRODUCT((BXL!$AU$4:'BXL'!$AU$103=A29)*BXL!$AW$4:$AW$103)</f>
        <v>0</v>
      </c>
      <c r="F29" s="136" cm="1">
        <f t="array" ref="F29">SUMPRODUCT((BXL!$AA$4:'BXL'!$AA$103=A29)*BXL!$AH$4:$AH$103)+SUMPRODUCT((BXL!$AB$4:'BXL'!$AB$103=A29)*BXL!$AH$4:$AH$103)+SUMPRODUCT((BXL!$AU$4:'BXL'!$AU$103=A29)*BXL!$AZ$4:$AZ$103)</f>
        <v>0</v>
      </c>
      <c r="G29" s="136" cm="1">
        <f t="array" ref="G29">SUMPRODUCT((BXL!$AA$4:'BXL'!$AA$103=A29)*BXL!$AI$4:$AI$103)+SUMPRODUCT((BXL!$AB$4:'BXL'!$AB$103=A29)*BXL!$AI$4:$AI$103)+SUMPRODUCT((BXL!$AU$4:'BXL'!$AU$103=A29)*BXL!$BA$4:$BA$103)</f>
        <v>0</v>
      </c>
      <c r="H29" s="115"/>
      <c r="I29" s="139">
        <f t="shared" si="1"/>
        <v>0</v>
      </c>
      <c r="J29" s="136">
        <f t="shared" si="3"/>
        <v>0</v>
      </c>
      <c r="K29" s="136">
        <f t="shared" si="3"/>
        <v>0</v>
      </c>
      <c r="L29" s="136">
        <f t="shared" si="3"/>
        <v>0</v>
      </c>
      <c r="M29" s="136">
        <f t="shared" si="3"/>
        <v>0</v>
      </c>
      <c r="N29" s="115"/>
      <c r="O29" s="131"/>
      <c r="P29" s="131"/>
      <c r="Q29" s="131"/>
      <c r="R29" s="115"/>
      <c r="S29" s="131"/>
      <c r="T29" s="131"/>
      <c r="U29" s="131"/>
      <c r="V29" s="115"/>
      <c r="W29" s="128"/>
      <c r="X29" s="128"/>
      <c r="Y29" s="128"/>
      <c r="Z29" s="126"/>
      <c r="AA29" s="126"/>
      <c r="AB29" s="126"/>
      <c r="AC29" s="115"/>
      <c r="AD29" s="128"/>
      <c r="AE29" s="128"/>
      <c r="AF29" s="128"/>
      <c r="AG29" s="126"/>
      <c r="AH29" s="126"/>
      <c r="AI29" s="126"/>
      <c r="AJ29" s="115"/>
      <c r="AK29" s="131"/>
      <c r="AL29" s="131"/>
      <c r="AM29" s="131"/>
      <c r="AN29" s="115"/>
      <c r="AO29" s="131"/>
      <c r="AP29" s="131"/>
      <c r="AQ29" s="131"/>
      <c r="AR29" s="115"/>
      <c r="AS29" s="126"/>
      <c r="AT29" s="126"/>
      <c r="AU29" s="126"/>
      <c r="AV29" s="115"/>
      <c r="AW29" s="126"/>
      <c r="AX29" s="126"/>
      <c r="AY29" s="126"/>
      <c r="AZ29" s="115"/>
    </row>
    <row r="30" spans="1:52" x14ac:dyDescent="0.25">
      <c r="A30" s="94">
        <v>1975</v>
      </c>
      <c r="B30" s="139" cm="1">
        <f t="array" ref="B30">SUMPRODUCT((BXL!$AA$4:'BXL'!$AA$103=A30)*BXL!$AD$4:$AD$103)+SUMPRODUCT((BXL!$AB$4:'BXL'!$AB$103=A30)*BXL!$AD$4:$AD$103)+SUMPRODUCT((BXL!$AU$4:'BXL'!$AU$103=A30)*BXL!$AX$4:$AX$103)</f>
        <v>0</v>
      </c>
      <c r="C30" s="139" cm="1">
        <f t="array" ref="C30">SUMPRODUCT((BXL!$AA$4:'BXL'!$AA$103=A30)*BXL!$AE$4:$AE$103)+SUMPRODUCT((BXL!$AB$4:'BXL'!$AB$103=A30)*BXL!$AE$4:$AE$103)+SUMPRODUCT((BXL!$AU$4:'BXL'!$AU$103=A30)*BXL!$AY$4:$AY$103)</f>
        <v>0</v>
      </c>
      <c r="D30" s="136" cm="1">
        <f t="array" ref="D30">SUMPRODUCT((BXL!$AA$4:'BXL'!$AA$103=A30)*BXL!$AF$4:$AF$103)+SUMPRODUCT((BXL!$AB$4:'BXL'!$AB$103=A30)*BXL!$AF$4:$AF$103)+SUMPRODUCT((BXL!$AU$4:'BXL'!$AU$103=A30)*BXL!$AV$4:$AV$103)</f>
        <v>0</v>
      </c>
      <c r="E30" s="136" cm="1">
        <f t="array" ref="E30">SUMPRODUCT((BXL!$AA$4:'BXL'!$AA$103=A30)*BXL!$AG$4:$AG$103)+SUMPRODUCT((BXL!$AB$4:'BXL'!$AB$103=A30)*BXL!$AG$4:$AG$103)+SUMPRODUCT((BXL!$AU$4:'BXL'!$AU$103=A30)*BXL!$AW$4:$AW$103)</f>
        <v>0</v>
      </c>
      <c r="F30" s="136" cm="1">
        <f t="array" ref="F30">SUMPRODUCT((BXL!$AA$4:'BXL'!$AA$103=A30)*BXL!$AH$4:$AH$103)+SUMPRODUCT((BXL!$AB$4:'BXL'!$AB$103=A30)*BXL!$AH$4:$AH$103)+SUMPRODUCT((BXL!$AU$4:'BXL'!$AU$103=A30)*BXL!$AZ$4:$AZ$103)</f>
        <v>0</v>
      </c>
      <c r="G30" s="136" cm="1">
        <f t="array" ref="G30">SUMPRODUCT((BXL!$AA$4:'BXL'!$AA$103=A30)*BXL!$AI$4:$AI$103)+SUMPRODUCT((BXL!$AB$4:'BXL'!$AB$103=A30)*BXL!$AI$4:$AI$103)+SUMPRODUCT((BXL!$AU$4:'BXL'!$AU$103=A30)*BXL!$BA$4:$BA$103)</f>
        <v>0</v>
      </c>
      <c r="H30" s="115"/>
      <c r="I30" s="139">
        <f t="shared" si="1"/>
        <v>0</v>
      </c>
      <c r="J30" s="136">
        <f t="shared" si="3"/>
        <v>0</v>
      </c>
      <c r="K30" s="136">
        <f t="shared" si="3"/>
        <v>0</v>
      </c>
      <c r="L30" s="136">
        <f t="shared" si="3"/>
        <v>0</v>
      </c>
      <c r="M30" s="136">
        <f t="shared" si="3"/>
        <v>0</v>
      </c>
      <c r="N30" s="115"/>
      <c r="O30" s="131"/>
      <c r="P30" s="131"/>
      <c r="Q30" s="131"/>
      <c r="R30" s="115"/>
      <c r="S30" s="131"/>
      <c r="T30" s="131"/>
      <c r="U30" s="131"/>
      <c r="V30" s="115"/>
      <c r="W30" s="128"/>
      <c r="X30" s="128"/>
      <c r="Y30" s="128"/>
      <c r="Z30" s="126"/>
      <c r="AA30" s="126"/>
      <c r="AB30" s="126"/>
      <c r="AC30" s="115"/>
      <c r="AD30" s="128"/>
      <c r="AE30" s="128"/>
      <c r="AF30" s="128"/>
      <c r="AG30" s="126"/>
      <c r="AH30" s="126"/>
      <c r="AI30" s="126"/>
      <c r="AJ30" s="115"/>
      <c r="AK30" s="131"/>
      <c r="AL30" s="131"/>
      <c r="AM30" s="131"/>
      <c r="AN30" s="115"/>
      <c r="AO30" s="131"/>
      <c r="AP30" s="131"/>
      <c r="AQ30" s="131"/>
      <c r="AR30" s="115"/>
      <c r="AS30" s="126"/>
      <c r="AT30" s="126"/>
      <c r="AU30" s="126"/>
      <c r="AV30" s="115"/>
      <c r="AW30" s="126"/>
      <c r="AX30" s="126"/>
      <c r="AY30" s="126"/>
      <c r="AZ30" s="115"/>
    </row>
    <row r="31" spans="1:52" x14ac:dyDescent="0.25">
      <c r="A31" s="94">
        <v>1976</v>
      </c>
      <c r="B31" s="139" cm="1">
        <f t="array" ref="B31">SUMPRODUCT((BXL!$AA$4:'BXL'!$AA$103=A31)*BXL!$AD$4:$AD$103)+SUMPRODUCT((BXL!$AB$4:'BXL'!$AB$103=A31)*BXL!$AD$4:$AD$103)+SUMPRODUCT((BXL!$AU$4:'BXL'!$AU$103=A31)*BXL!$AX$4:$AX$103)</f>
        <v>0</v>
      </c>
      <c r="C31" s="139" cm="1">
        <f t="array" ref="C31">SUMPRODUCT((BXL!$AA$4:'BXL'!$AA$103=A31)*BXL!$AE$4:$AE$103)+SUMPRODUCT((BXL!$AB$4:'BXL'!$AB$103=A31)*BXL!$AE$4:$AE$103)+SUMPRODUCT((BXL!$AU$4:'BXL'!$AU$103=A31)*BXL!$AY$4:$AY$103)</f>
        <v>0</v>
      </c>
      <c r="D31" s="136" cm="1">
        <f t="array" ref="D31">SUMPRODUCT((BXL!$AA$4:'BXL'!$AA$103=A31)*BXL!$AF$4:$AF$103)+SUMPRODUCT((BXL!$AB$4:'BXL'!$AB$103=A31)*BXL!$AF$4:$AF$103)+SUMPRODUCT((BXL!$AU$4:'BXL'!$AU$103=A31)*BXL!$AV$4:$AV$103)</f>
        <v>0</v>
      </c>
      <c r="E31" s="136" cm="1">
        <f t="array" ref="E31">SUMPRODUCT((BXL!$AA$4:'BXL'!$AA$103=A31)*BXL!$AG$4:$AG$103)+SUMPRODUCT((BXL!$AB$4:'BXL'!$AB$103=A31)*BXL!$AG$4:$AG$103)+SUMPRODUCT((BXL!$AU$4:'BXL'!$AU$103=A31)*BXL!$AW$4:$AW$103)</f>
        <v>0</v>
      </c>
      <c r="F31" s="136" cm="1">
        <f t="array" ref="F31">SUMPRODUCT((BXL!$AA$4:'BXL'!$AA$103=A31)*BXL!$AH$4:$AH$103)+SUMPRODUCT((BXL!$AB$4:'BXL'!$AB$103=A31)*BXL!$AH$4:$AH$103)+SUMPRODUCT((BXL!$AU$4:'BXL'!$AU$103=A31)*BXL!$AZ$4:$AZ$103)</f>
        <v>0</v>
      </c>
      <c r="G31" s="136" cm="1">
        <f t="array" ref="G31">SUMPRODUCT((BXL!$AA$4:'BXL'!$AA$103=A31)*BXL!$AI$4:$AI$103)+SUMPRODUCT((BXL!$AB$4:'BXL'!$AB$103=A31)*BXL!$AI$4:$AI$103)+SUMPRODUCT((BXL!$AU$4:'BXL'!$AU$103=A31)*BXL!$BA$4:$BA$103)</f>
        <v>0</v>
      </c>
      <c r="H31" s="115"/>
      <c r="I31" s="139">
        <f t="shared" si="1"/>
        <v>0</v>
      </c>
      <c r="J31" s="136">
        <f t="shared" si="3"/>
        <v>0</v>
      </c>
      <c r="K31" s="136">
        <f t="shared" si="3"/>
        <v>0</v>
      </c>
      <c r="L31" s="136">
        <f t="shared" si="3"/>
        <v>0</v>
      </c>
      <c r="M31" s="136">
        <f t="shared" si="3"/>
        <v>0</v>
      </c>
      <c r="N31" s="115"/>
      <c r="O31" s="131"/>
      <c r="P31" s="131"/>
      <c r="Q31" s="131"/>
      <c r="R31" s="115"/>
      <c r="S31" s="131"/>
      <c r="T31" s="131"/>
      <c r="U31" s="131"/>
      <c r="V31" s="115"/>
      <c r="W31" s="128"/>
      <c r="X31" s="128"/>
      <c r="Y31" s="128"/>
      <c r="Z31" s="126"/>
      <c r="AA31" s="126"/>
      <c r="AB31" s="126"/>
      <c r="AC31" s="115"/>
      <c r="AD31" s="128"/>
      <c r="AE31" s="128"/>
      <c r="AF31" s="128"/>
      <c r="AG31" s="126"/>
      <c r="AH31" s="126"/>
      <c r="AI31" s="126"/>
      <c r="AJ31" s="115"/>
      <c r="AK31" s="131"/>
      <c r="AL31" s="131"/>
      <c r="AM31" s="131"/>
      <c r="AN31" s="115"/>
      <c r="AO31" s="131"/>
      <c r="AP31" s="131"/>
      <c r="AQ31" s="131"/>
      <c r="AR31" s="115"/>
      <c r="AS31" s="126"/>
      <c r="AT31" s="126"/>
      <c r="AU31" s="126"/>
      <c r="AV31" s="115"/>
      <c r="AW31" s="126"/>
      <c r="AX31" s="126"/>
      <c r="AY31" s="126"/>
      <c r="AZ31" s="115"/>
    </row>
    <row r="32" spans="1:52" x14ac:dyDescent="0.25">
      <c r="A32" s="94">
        <v>1977</v>
      </c>
      <c r="B32" s="139" cm="1">
        <f t="array" ref="B32">SUMPRODUCT((BXL!$AA$4:'BXL'!$AA$103=A32)*BXL!$AD$4:$AD$103)+SUMPRODUCT((BXL!$AB$4:'BXL'!$AB$103=A32)*BXL!$AD$4:$AD$103)+SUMPRODUCT((BXL!$AU$4:'BXL'!$AU$103=A32)*BXL!$AX$4:$AX$103)</f>
        <v>0</v>
      </c>
      <c r="C32" s="139" cm="1">
        <f t="array" ref="C32">SUMPRODUCT((BXL!$AA$4:'BXL'!$AA$103=A32)*BXL!$AE$4:$AE$103)+SUMPRODUCT((BXL!$AB$4:'BXL'!$AB$103=A32)*BXL!$AE$4:$AE$103)+SUMPRODUCT((BXL!$AU$4:'BXL'!$AU$103=A32)*BXL!$AY$4:$AY$103)</f>
        <v>0</v>
      </c>
      <c r="D32" s="136" cm="1">
        <f t="array" ref="D32">SUMPRODUCT((BXL!$AA$4:'BXL'!$AA$103=A32)*BXL!$AF$4:$AF$103)+SUMPRODUCT((BXL!$AB$4:'BXL'!$AB$103=A32)*BXL!$AF$4:$AF$103)+SUMPRODUCT((BXL!$AU$4:'BXL'!$AU$103=A32)*BXL!$AV$4:$AV$103)</f>
        <v>0</v>
      </c>
      <c r="E32" s="136" cm="1">
        <f t="array" ref="E32">SUMPRODUCT((BXL!$AA$4:'BXL'!$AA$103=A32)*BXL!$AG$4:$AG$103)+SUMPRODUCT((BXL!$AB$4:'BXL'!$AB$103=A32)*BXL!$AG$4:$AG$103)+SUMPRODUCT((BXL!$AU$4:'BXL'!$AU$103=A32)*BXL!$AW$4:$AW$103)</f>
        <v>0</v>
      </c>
      <c r="F32" s="136" cm="1">
        <f t="array" ref="F32">SUMPRODUCT((BXL!$AA$4:'BXL'!$AA$103=A32)*BXL!$AH$4:$AH$103)+SUMPRODUCT((BXL!$AB$4:'BXL'!$AB$103=A32)*BXL!$AH$4:$AH$103)+SUMPRODUCT((BXL!$AU$4:'BXL'!$AU$103=A32)*BXL!$AZ$4:$AZ$103)</f>
        <v>0</v>
      </c>
      <c r="G32" s="136" cm="1">
        <f t="array" ref="G32">SUMPRODUCT((BXL!$AA$4:'BXL'!$AA$103=A32)*BXL!$AI$4:$AI$103)+SUMPRODUCT((BXL!$AB$4:'BXL'!$AB$103=A32)*BXL!$AI$4:$AI$103)+SUMPRODUCT((BXL!$AU$4:'BXL'!$AU$103=A32)*BXL!$BA$4:$BA$103)</f>
        <v>0</v>
      </c>
      <c r="H32" s="115"/>
      <c r="I32" s="139">
        <f t="shared" si="1"/>
        <v>0</v>
      </c>
      <c r="J32" s="136">
        <f t="shared" si="3"/>
        <v>0</v>
      </c>
      <c r="K32" s="136">
        <f t="shared" si="3"/>
        <v>0</v>
      </c>
      <c r="L32" s="136">
        <f t="shared" si="3"/>
        <v>0</v>
      </c>
      <c r="M32" s="136">
        <f t="shared" si="3"/>
        <v>0</v>
      </c>
      <c r="N32" s="115"/>
      <c r="O32" s="131"/>
      <c r="P32" s="131"/>
      <c r="Q32" s="131"/>
      <c r="R32" s="115"/>
      <c r="S32" s="131"/>
      <c r="T32" s="131"/>
      <c r="U32" s="131"/>
      <c r="V32" s="115"/>
      <c r="W32" s="128"/>
      <c r="X32" s="128"/>
      <c r="Y32" s="128"/>
      <c r="Z32" s="126"/>
      <c r="AA32" s="126"/>
      <c r="AB32" s="126"/>
      <c r="AC32" s="115"/>
      <c r="AD32" s="128"/>
      <c r="AE32" s="128"/>
      <c r="AF32" s="128"/>
      <c r="AG32" s="126"/>
      <c r="AH32" s="126"/>
      <c r="AI32" s="126"/>
      <c r="AJ32" s="115"/>
      <c r="AK32" s="131"/>
      <c r="AL32" s="131"/>
      <c r="AM32" s="131"/>
      <c r="AN32" s="115"/>
      <c r="AO32" s="131"/>
      <c r="AP32" s="131"/>
      <c r="AQ32" s="131"/>
      <c r="AR32" s="115"/>
      <c r="AS32" s="126"/>
      <c r="AT32" s="126"/>
      <c r="AU32" s="126"/>
      <c r="AV32" s="115"/>
      <c r="AW32" s="126"/>
      <c r="AX32" s="126"/>
      <c r="AY32" s="126"/>
      <c r="AZ32" s="115"/>
    </row>
    <row r="33" spans="1:52" x14ac:dyDescent="0.25">
      <c r="A33" s="94">
        <v>1978</v>
      </c>
      <c r="B33" s="139" cm="1">
        <f t="array" ref="B33">SUMPRODUCT((BXL!$AA$4:'BXL'!$AA$103=A33)*BXL!$AD$4:$AD$103)+SUMPRODUCT((BXL!$AB$4:'BXL'!$AB$103=A33)*BXL!$AD$4:$AD$103)+SUMPRODUCT((BXL!$AU$4:'BXL'!$AU$103=A33)*BXL!$AX$4:$AX$103)</f>
        <v>0</v>
      </c>
      <c r="C33" s="139" cm="1">
        <f t="array" ref="C33">SUMPRODUCT((BXL!$AA$4:'BXL'!$AA$103=A33)*BXL!$AE$4:$AE$103)+SUMPRODUCT((BXL!$AB$4:'BXL'!$AB$103=A33)*BXL!$AE$4:$AE$103)+SUMPRODUCT((BXL!$AU$4:'BXL'!$AU$103=A33)*BXL!$AY$4:$AY$103)</f>
        <v>0</v>
      </c>
      <c r="D33" s="136" cm="1">
        <f t="array" ref="D33">SUMPRODUCT((BXL!$AA$4:'BXL'!$AA$103=A33)*BXL!$AF$4:$AF$103)+SUMPRODUCT((BXL!$AB$4:'BXL'!$AB$103=A33)*BXL!$AF$4:$AF$103)+SUMPRODUCT((BXL!$AU$4:'BXL'!$AU$103=A33)*BXL!$AV$4:$AV$103)</f>
        <v>0</v>
      </c>
      <c r="E33" s="136" cm="1">
        <f t="array" ref="E33">SUMPRODUCT((BXL!$AA$4:'BXL'!$AA$103=A33)*BXL!$AG$4:$AG$103)+SUMPRODUCT((BXL!$AB$4:'BXL'!$AB$103=A33)*BXL!$AG$4:$AG$103)+SUMPRODUCT((BXL!$AU$4:'BXL'!$AU$103=A33)*BXL!$AW$4:$AW$103)</f>
        <v>0</v>
      </c>
      <c r="F33" s="136" cm="1">
        <f t="array" ref="F33">SUMPRODUCT((BXL!$AA$4:'BXL'!$AA$103=A33)*BXL!$AH$4:$AH$103)+SUMPRODUCT((BXL!$AB$4:'BXL'!$AB$103=A33)*BXL!$AH$4:$AH$103)+SUMPRODUCT((BXL!$AU$4:'BXL'!$AU$103=A33)*BXL!$AZ$4:$AZ$103)</f>
        <v>0</v>
      </c>
      <c r="G33" s="136" cm="1">
        <f t="array" ref="G33">SUMPRODUCT((BXL!$AA$4:'BXL'!$AA$103=A33)*BXL!$AI$4:$AI$103)+SUMPRODUCT((BXL!$AB$4:'BXL'!$AB$103=A33)*BXL!$AI$4:$AI$103)+SUMPRODUCT((BXL!$AU$4:'BXL'!$AU$103=A33)*BXL!$BA$4:$BA$103)</f>
        <v>0</v>
      </c>
      <c r="H33" s="115"/>
      <c r="I33" s="139">
        <f t="shared" si="1"/>
        <v>0</v>
      </c>
      <c r="J33" s="136">
        <f t="shared" si="3"/>
        <v>0</v>
      </c>
      <c r="K33" s="136">
        <f t="shared" si="3"/>
        <v>0</v>
      </c>
      <c r="L33" s="136">
        <f t="shared" si="3"/>
        <v>0</v>
      </c>
      <c r="M33" s="136">
        <f t="shared" si="3"/>
        <v>0</v>
      </c>
      <c r="N33" s="115"/>
      <c r="O33" s="131"/>
      <c r="P33" s="131"/>
      <c r="Q33" s="131"/>
      <c r="R33" s="115"/>
      <c r="S33" s="131"/>
      <c r="T33" s="131"/>
      <c r="U33" s="131"/>
      <c r="V33" s="115"/>
      <c r="W33" s="128"/>
      <c r="X33" s="128"/>
      <c r="Y33" s="128"/>
      <c r="Z33" s="126"/>
      <c r="AA33" s="126"/>
      <c r="AB33" s="126"/>
      <c r="AC33" s="115"/>
      <c r="AD33" s="128"/>
      <c r="AE33" s="128"/>
      <c r="AF33" s="128"/>
      <c r="AG33" s="126"/>
      <c r="AH33" s="126"/>
      <c r="AI33" s="126"/>
      <c r="AJ33" s="115"/>
      <c r="AK33" s="131"/>
      <c r="AL33" s="131"/>
      <c r="AM33" s="131"/>
      <c r="AN33" s="115"/>
      <c r="AO33" s="131"/>
      <c r="AP33" s="131"/>
      <c r="AQ33" s="131"/>
      <c r="AR33" s="115"/>
      <c r="AS33" s="126"/>
      <c r="AT33" s="126"/>
      <c r="AU33" s="126"/>
      <c r="AV33" s="115"/>
      <c r="AW33" s="126"/>
      <c r="AX33" s="126"/>
      <c r="AY33" s="126"/>
      <c r="AZ33" s="115"/>
    </row>
    <row r="34" spans="1:52" x14ac:dyDescent="0.25">
      <c r="A34" s="94">
        <v>1979</v>
      </c>
      <c r="B34" s="139" cm="1">
        <f t="array" ref="B34">SUMPRODUCT((BXL!$AA$4:'BXL'!$AA$103=A34)*BXL!$AD$4:$AD$103)+SUMPRODUCT((BXL!$AB$4:'BXL'!$AB$103=A34)*BXL!$AD$4:$AD$103)+SUMPRODUCT((BXL!$AU$4:'BXL'!$AU$103=A34)*BXL!$AX$4:$AX$103)</f>
        <v>0</v>
      </c>
      <c r="C34" s="139" cm="1">
        <f t="array" ref="C34">SUMPRODUCT((BXL!$AA$4:'BXL'!$AA$103=A34)*BXL!$AE$4:$AE$103)+SUMPRODUCT((BXL!$AB$4:'BXL'!$AB$103=A34)*BXL!$AE$4:$AE$103)+SUMPRODUCT((BXL!$AU$4:'BXL'!$AU$103=A34)*BXL!$AY$4:$AY$103)</f>
        <v>0</v>
      </c>
      <c r="D34" s="136" cm="1">
        <f t="array" ref="D34">SUMPRODUCT((BXL!$AA$4:'BXL'!$AA$103=A34)*BXL!$AF$4:$AF$103)+SUMPRODUCT((BXL!$AB$4:'BXL'!$AB$103=A34)*BXL!$AF$4:$AF$103)+SUMPRODUCT((BXL!$AU$4:'BXL'!$AU$103=A34)*BXL!$AV$4:$AV$103)</f>
        <v>0</v>
      </c>
      <c r="E34" s="136" cm="1">
        <f t="array" ref="E34">SUMPRODUCT((BXL!$AA$4:'BXL'!$AA$103=A34)*BXL!$AG$4:$AG$103)+SUMPRODUCT((BXL!$AB$4:'BXL'!$AB$103=A34)*BXL!$AG$4:$AG$103)+SUMPRODUCT((BXL!$AU$4:'BXL'!$AU$103=A34)*BXL!$AW$4:$AW$103)</f>
        <v>0</v>
      </c>
      <c r="F34" s="136" cm="1">
        <f t="array" ref="F34">SUMPRODUCT((BXL!$AA$4:'BXL'!$AA$103=A34)*BXL!$AH$4:$AH$103)+SUMPRODUCT((BXL!$AB$4:'BXL'!$AB$103=A34)*BXL!$AH$4:$AH$103)+SUMPRODUCT((BXL!$AU$4:'BXL'!$AU$103=A34)*BXL!$AZ$4:$AZ$103)</f>
        <v>0</v>
      </c>
      <c r="G34" s="136" cm="1">
        <f t="array" ref="G34">SUMPRODUCT((BXL!$AA$4:'BXL'!$AA$103=A34)*BXL!$AI$4:$AI$103)+SUMPRODUCT((BXL!$AB$4:'BXL'!$AB$103=A34)*BXL!$AI$4:$AI$103)+SUMPRODUCT((BXL!$AU$4:'BXL'!$AU$103=A34)*BXL!$BA$4:$BA$103)</f>
        <v>0</v>
      </c>
      <c r="H34" s="115"/>
      <c r="I34" s="139">
        <f t="shared" si="1"/>
        <v>0</v>
      </c>
      <c r="J34" s="136">
        <f t="shared" si="3"/>
        <v>0</v>
      </c>
      <c r="K34" s="136">
        <f t="shared" si="3"/>
        <v>0</v>
      </c>
      <c r="L34" s="136">
        <f t="shared" si="3"/>
        <v>0</v>
      </c>
      <c r="M34" s="136">
        <f t="shared" si="3"/>
        <v>0</v>
      </c>
      <c r="N34" s="115"/>
      <c r="O34" s="131"/>
      <c r="P34" s="131"/>
      <c r="Q34" s="131"/>
      <c r="R34" s="115"/>
      <c r="S34" s="131"/>
      <c r="T34" s="131"/>
      <c r="U34" s="131"/>
      <c r="V34" s="115"/>
      <c r="W34" s="128"/>
      <c r="X34" s="128"/>
      <c r="Y34" s="128"/>
      <c r="Z34" s="126"/>
      <c r="AA34" s="126"/>
      <c r="AB34" s="126"/>
      <c r="AC34" s="115"/>
      <c r="AD34" s="128"/>
      <c r="AE34" s="128"/>
      <c r="AF34" s="128"/>
      <c r="AG34" s="126"/>
      <c r="AH34" s="126"/>
      <c r="AI34" s="126"/>
      <c r="AJ34" s="115"/>
      <c r="AK34" s="131"/>
      <c r="AL34" s="131"/>
      <c r="AM34" s="131"/>
      <c r="AN34" s="115"/>
      <c r="AO34" s="131"/>
      <c r="AP34" s="131"/>
      <c r="AQ34" s="131"/>
      <c r="AR34" s="115"/>
      <c r="AS34" s="126"/>
      <c r="AT34" s="126"/>
      <c r="AU34" s="126"/>
      <c r="AV34" s="115"/>
      <c r="AW34" s="126"/>
      <c r="AX34" s="126"/>
      <c r="AY34" s="126"/>
      <c r="AZ34" s="115"/>
    </row>
    <row r="35" spans="1:52" x14ac:dyDescent="0.25">
      <c r="A35" s="94">
        <v>1980</v>
      </c>
      <c r="B35" s="139" cm="1">
        <f t="array" ref="B35">SUMPRODUCT((BXL!$AA$4:'BXL'!$AA$103=A35)*BXL!$AD$4:$AD$103)+SUMPRODUCT((BXL!$AB$4:'BXL'!$AB$103=A35)*BXL!$AD$4:$AD$103)+SUMPRODUCT((BXL!$AU$4:'BXL'!$AU$103=A35)*BXL!$AX$4:$AX$103)</f>
        <v>0</v>
      </c>
      <c r="C35" s="139" cm="1">
        <f t="array" ref="C35">SUMPRODUCT((BXL!$AA$4:'BXL'!$AA$103=A35)*BXL!$AE$4:$AE$103)+SUMPRODUCT((BXL!$AB$4:'BXL'!$AB$103=A35)*BXL!$AE$4:$AE$103)+SUMPRODUCT((BXL!$AU$4:'BXL'!$AU$103=A35)*BXL!$AY$4:$AY$103)</f>
        <v>0</v>
      </c>
      <c r="D35" s="136" cm="1">
        <f t="array" ref="D35">SUMPRODUCT((BXL!$AA$4:'BXL'!$AA$103=A35)*BXL!$AF$4:$AF$103)+SUMPRODUCT((BXL!$AB$4:'BXL'!$AB$103=A35)*BXL!$AF$4:$AF$103)+SUMPRODUCT((BXL!$AU$4:'BXL'!$AU$103=A35)*BXL!$AV$4:$AV$103)</f>
        <v>0</v>
      </c>
      <c r="E35" s="136" cm="1">
        <f t="array" ref="E35">SUMPRODUCT((BXL!$AA$4:'BXL'!$AA$103=A35)*BXL!$AG$4:$AG$103)+SUMPRODUCT((BXL!$AB$4:'BXL'!$AB$103=A35)*BXL!$AG$4:$AG$103)+SUMPRODUCT((BXL!$AU$4:'BXL'!$AU$103=A35)*BXL!$AW$4:$AW$103)</f>
        <v>0</v>
      </c>
      <c r="F35" s="136" cm="1">
        <f t="array" ref="F35">SUMPRODUCT((BXL!$AA$4:'BXL'!$AA$103=A35)*BXL!$AH$4:$AH$103)+SUMPRODUCT((BXL!$AB$4:'BXL'!$AB$103=A35)*BXL!$AH$4:$AH$103)+SUMPRODUCT((BXL!$AU$4:'BXL'!$AU$103=A35)*BXL!$AZ$4:$AZ$103)</f>
        <v>0</v>
      </c>
      <c r="G35" s="136" cm="1">
        <f t="array" ref="G35">SUMPRODUCT((BXL!$AA$4:'BXL'!$AA$103=A35)*BXL!$AI$4:$AI$103)+SUMPRODUCT((BXL!$AB$4:'BXL'!$AB$103=A35)*BXL!$AI$4:$AI$103)+SUMPRODUCT((BXL!$AU$4:'BXL'!$AU$103=A35)*BXL!$BA$4:$BA$103)</f>
        <v>0</v>
      </c>
      <c r="H35" s="115"/>
      <c r="I35" s="139">
        <f t="shared" si="1"/>
        <v>0</v>
      </c>
      <c r="J35" s="136">
        <f t="shared" si="3"/>
        <v>0</v>
      </c>
      <c r="K35" s="136">
        <f t="shared" si="3"/>
        <v>0</v>
      </c>
      <c r="L35" s="136">
        <f t="shared" si="3"/>
        <v>0</v>
      </c>
      <c r="M35" s="136">
        <f t="shared" si="3"/>
        <v>0</v>
      </c>
      <c r="N35" s="115"/>
      <c r="O35" s="131"/>
      <c r="P35" s="131"/>
      <c r="Q35" s="131"/>
      <c r="R35" s="115"/>
      <c r="S35" s="131"/>
      <c r="T35" s="131"/>
      <c r="U35" s="131"/>
      <c r="V35" s="115"/>
      <c r="W35" s="128"/>
      <c r="X35" s="128"/>
      <c r="Y35" s="128"/>
      <c r="Z35" s="126"/>
      <c r="AA35" s="126"/>
      <c r="AB35" s="126"/>
      <c r="AC35" s="115"/>
      <c r="AD35" s="128"/>
      <c r="AE35" s="128"/>
      <c r="AF35" s="128"/>
      <c r="AG35" s="126"/>
      <c r="AH35" s="126"/>
      <c r="AI35" s="126"/>
      <c r="AJ35" s="115"/>
      <c r="AK35" s="131"/>
      <c r="AL35" s="131"/>
      <c r="AM35" s="131"/>
      <c r="AN35" s="115"/>
      <c r="AO35" s="131"/>
      <c r="AP35" s="131"/>
      <c r="AQ35" s="131"/>
      <c r="AR35" s="115"/>
      <c r="AS35" s="126"/>
      <c r="AT35" s="126"/>
      <c r="AU35" s="126"/>
      <c r="AV35" s="115"/>
      <c r="AW35" s="126"/>
      <c r="AX35" s="126"/>
      <c r="AY35" s="126"/>
      <c r="AZ35" s="115"/>
    </row>
    <row r="36" spans="1:52" x14ac:dyDescent="0.25">
      <c r="A36" s="94">
        <v>1981</v>
      </c>
      <c r="B36" s="139" cm="1">
        <f t="array" ref="B36">SUMPRODUCT((BXL!$AA$4:'BXL'!$AA$103=A36)*BXL!$AD$4:$AD$103)+SUMPRODUCT((BXL!$AB$4:'BXL'!$AB$103=A36)*BXL!$AD$4:$AD$103)+SUMPRODUCT((BXL!$AU$4:'BXL'!$AU$103=A36)*BXL!$AX$4:$AX$103)</f>
        <v>0</v>
      </c>
      <c r="C36" s="139" cm="1">
        <f t="array" ref="C36">SUMPRODUCT((BXL!$AA$4:'BXL'!$AA$103=A36)*BXL!$AE$4:$AE$103)+SUMPRODUCT((BXL!$AB$4:'BXL'!$AB$103=A36)*BXL!$AE$4:$AE$103)+SUMPRODUCT((BXL!$AU$4:'BXL'!$AU$103=A36)*BXL!$AY$4:$AY$103)</f>
        <v>0</v>
      </c>
      <c r="D36" s="136" cm="1">
        <f t="array" ref="D36">SUMPRODUCT((BXL!$AA$4:'BXL'!$AA$103=A36)*BXL!$AF$4:$AF$103)+SUMPRODUCT((BXL!$AB$4:'BXL'!$AB$103=A36)*BXL!$AF$4:$AF$103)+SUMPRODUCT((BXL!$AU$4:'BXL'!$AU$103=A36)*BXL!$AV$4:$AV$103)</f>
        <v>0</v>
      </c>
      <c r="E36" s="136" cm="1">
        <f t="array" ref="E36">SUMPRODUCT((BXL!$AA$4:'BXL'!$AA$103=A36)*BXL!$AG$4:$AG$103)+SUMPRODUCT((BXL!$AB$4:'BXL'!$AB$103=A36)*BXL!$AG$4:$AG$103)+SUMPRODUCT((BXL!$AU$4:'BXL'!$AU$103=A36)*BXL!$AW$4:$AW$103)</f>
        <v>0</v>
      </c>
      <c r="F36" s="136" cm="1">
        <f t="array" ref="F36">SUMPRODUCT((BXL!$AA$4:'BXL'!$AA$103=A36)*BXL!$AH$4:$AH$103)+SUMPRODUCT((BXL!$AB$4:'BXL'!$AB$103=A36)*BXL!$AH$4:$AH$103)+SUMPRODUCT((BXL!$AU$4:'BXL'!$AU$103=A36)*BXL!$AZ$4:$AZ$103)</f>
        <v>0</v>
      </c>
      <c r="G36" s="136" cm="1">
        <f t="array" ref="G36">SUMPRODUCT((BXL!$AA$4:'BXL'!$AA$103=A36)*BXL!$AI$4:$AI$103)+SUMPRODUCT((BXL!$AB$4:'BXL'!$AB$103=A36)*BXL!$AI$4:$AI$103)+SUMPRODUCT((BXL!$AU$4:'BXL'!$AU$103=A36)*BXL!$BA$4:$BA$103)</f>
        <v>0</v>
      </c>
      <c r="H36" s="115"/>
      <c r="I36" s="139">
        <f t="shared" si="1"/>
        <v>0</v>
      </c>
      <c r="J36" s="136">
        <f t="shared" si="3"/>
        <v>0</v>
      </c>
      <c r="K36" s="136">
        <f t="shared" si="3"/>
        <v>0</v>
      </c>
      <c r="L36" s="136">
        <f t="shared" si="3"/>
        <v>0</v>
      </c>
      <c r="M36" s="136">
        <f t="shared" si="3"/>
        <v>0</v>
      </c>
      <c r="N36" s="115"/>
      <c r="O36" s="131"/>
      <c r="P36" s="131"/>
      <c r="Q36" s="131"/>
      <c r="R36" s="115"/>
      <c r="S36" s="131"/>
      <c r="T36" s="131"/>
      <c r="U36" s="131"/>
      <c r="V36" s="115"/>
      <c r="W36" s="128"/>
      <c r="X36" s="128"/>
      <c r="Y36" s="128"/>
      <c r="Z36" s="126"/>
      <c r="AA36" s="126"/>
      <c r="AB36" s="126"/>
      <c r="AC36" s="115"/>
      <c r="AD36" s="128"/>
      <c r="AE36" s="128"/>
      <c r="AF36" s="128"/>
      <c r="AG36" s="126"/>
      <c r="AH36" s="126"/>
      <c r="AI36" s="126"/>
      <c r="AJ36" s="115"/>
      <c r="AK36" s="131"/>
      <c r="AL36" s="131"/>
      <c r="AM36" s="131"/>
      <c r="AN36" s="115"/>
      <c r="AO36" s="131"/>
      <c r="AP36" s="131"/>
      <c r="AQ36" s="131"/>
      <c r="AR36" s="115"/>
      <c r="AS36" s="126"/>
      <c r="AT36" s="126"/>
      <c r="AU36" s="126"/>
      <c r="AV36" s="115"/>
      <c r="AW36" s="126"/>
      <c r="AX36" s="126"/>
      <c r="AY36" s="126"/>
      <c r="AZ36" s="115"/>
    </row>
    <row r="37" spans="1:52" x14ac:dyDescent="0.25">
      <c r="A37" s="94">
        <v>1982</v>
      </c>
      <c r="B37" s="139" cm="1">
        <f t="array" ref="B37">SUMPRODUCT((BXL!$AA$4:'BXL'!$AA$103=A37)*BXL!$AD$4:$AD$103)+SUMPRODUCT((BXL!$AB$4:'BXL'!$AB$103=A37)*BXL!$AD$4:$AD$103)+SUMPRODUCT((BXL!$AU$4:'BXL'!$AU$103=A37)*BXL!$AX$4:$AX$103)</f>
        <v>0</v>
      </c>
      <c r="C37" s="139" cm="1">
        <f t="array" ref="C37">SUMPRODUCT((BXL!$AA$4:'BXL'!$AA$103=A37)*BXL!$AE$4:$AE$103)+SUMPRODUCT((BXL!$AB$4:'BXL'!$AB$103=A37)*BXL!$AE$4:$AE$103)+SUMPRODUCT((BXL!$AU$4:'BXL'!$AU$103=A37)*BXL!$AY$4:$AY$103)</f>
        <v>0</v>
      </c>
      <c r="D37" s="136" cm="1">
        <f t="array" ref="D37">SUMPRODUCT((BXL!$AA$4:'BXL'!$AA$103=A37)*BXL!$AF$4:$AF$103)+SUMPRODUCT((BXL!$AB$4:'BXL'!$AB$103=A37)*BXL!$AF$4:$AF$103)+SUMPRODUCT((BXL!$AU$4:'BXL'!$AU$103=A37)*BXL!$AV$4:$AV$103)</f>
        <v>0</v>
      </c>
      <c r="E37" s="136" cm="1">
        <f t="array" ref="E37">SUMPRODUCT((BXL!$AA$4:'BXL'!$AA$103=A37)*BXL!$AG$4:$AG$103)+SUMPRODUCT((BXL!$AB$4:'BXL'!$AB$103=A37)*BXL!$AG$4:$AG$103)+SUMPRODUCT((BXL!$AU$4:'BXL'!$AU$103=A37)*BXL!$AW$4:$AW$103)</f>
        <v>0</v>
      </c>
      <c r="F37" s="136" cm="1">
        <f t="array" ref="F37">SUMPRODUCT((BXL!$AA$4:'BXL'!$AA$103=A37)*BXL!$AH$4:$AH$103)+SUMPRODUCT((BXL!$AB$4:'BXL'!$AB$103=A37)*BXL!$AH$4:$AH$103)+SUMPRODUCT((BXL!$AU$4:'BXL'!$AU$103=A37)*BXL!$AZ$4:$AZ$103)</f>
        <v>0</v>
      </c>
      <c r="G37" s="136" cm="1">
        <f t="array" ref="G37">SUMPRODUCT((BXL!$AA$4:'BXL'!$AA$103=A37)*BXL!$AI$4:$AI$103)+SUMPRODUCT((BXL!$AB$4:'BXL'!$AB$103=A37)*BXL!$AI$4:$AI$103)+SUMPRODUCT((BXL!$AU$4:'BXL'!$AU$103=A37)*BXL!$BA$4:$BA$103)</f>
        <v>0</v>
      </c>
      <c r="H37" s="115"/>
      <c r="I37" s="139">
        <f t="shared" si="1"/>
        <v>0</v>
      </c>
      <c r="J37" s="136">
        <f t="shared" si="3"/>
        <v>0</v>
      </c>
      <c r="K37" s="136">
        <f t="shared" si="3"/>
        <v>0</v>
      </c>
      <c r="L37" s="136">
        <f t="shared" si="3"/>
        <v>0</v>
      </c>
      <c r="M37" s="136">
        <f t="shared" si="3"/>
        <v>0</v>
      </c>
      <c r="N37" s="115"/>
      <c r="O37" s="131"/>
      <c r="P37" s="131"/>
      <c r="Q37" s="131"/>
      <c r="R37" s="115"/>
      <c r="S37" s="131"/>
      <c r="T37" s="131"/>
      <c r="U37" s="131"/>
      <c r="V37" s="115"/>
      <c r="W37" s="128"/>
      <c r="X37" s="128"/>
      <c r="Y37" s="128"/>
      <c r="Z37" s="126"/>
      <c r="AA37" s="126"/>
      <c r="AB37" s="126"/>
      <c r="AC37" s="115"/>
      <c r="AD37" s="128"/>
      <c r="AE37" s="128"/>
      <c r="AF37" s="128"/>
      <c r="AG37" s="126"/>
      <c r="AH37" s="126"/>
      <c r="AI37" s="126"/>
      <c r="AJ37" s="115"/>
      <c r="AK37" s="131"/>
      <c r="AL37" s="131"/>
      <c r="AM37" s="131"/>
      <c r="AN37" s="115"/>
      <c r="AO37" s="131"/>
      <c r="AP37" s="131"/>
      <c r="AQ37" s="131"/>
      <c r="AR37" s="115"/>
      <c r="AS37" s="126"/>
      <c r="AT37" s="126"/>
      <c r="AU37" s="126"/>
      <c r="AV37" s="115"/>
      <c r="AW37" s="126"/>
      <c r="AX37" s="126"/>
      <c r="AY37" s="126"/>
      <c r="AZ37" s="115"/>
    </row>
    <row r="38" spans="1:52" x14ac:dyDescent="0.25">
      <c r="A38" s="94">
        <v>1983</v>
      </c>
      <c r="B38" s="139" cm="1">
        <f t="array" ref="B38">SUMPRODUCT((BXL!$AA$4:'BXL'!$AA$103=A38)*BXL!$AD$4:$AD$103)+SUMPRODUCT((BXL!$AB$4:'BXL'!$AB$103=A38)*BXL!$AD$4:$AD$103)+SUMPRODUCT((BXL!$AU$4:'BXL'!$AU$103=A38)*BXL!$AX$4:$AX$103)</f>
        <v>0</v>
      </c>
      <c r="C38" s="139" cm="1">
        <f t="array" ref="C38">SUMPRODUCT((BXL!$AA$4:'BXL'!$AA$103=A38)*BXL!$AE$4:$AE$103)+SUMPRODUCT((BXL!$AB$4:'BXL'!$AB$103=A38)*BXL!$AE$4:$AE$103)+SUMPRODUCT((BXL!$AU$4:'BXL'!$AU$103=A38)*BXL!$AY$4:$AY$103)</f>
        <v>0</v>
      </c>
      <c r="D38" s="136" cm="1">
        <f t="array" ref="D38">SUMPRODUCT((BXL!$AA$4:'BXL'!$AA$103=A38)*BXL!$AF$4:$AF$103)+SUMPRODUCT((BXL!$AB$4:'BXL'!$AB$103=A38)*BXL!$AF$4:$AF$103)+SUMPRODUCT((BXL!$AU$4:'BXL'!$AU$103=A38)*BXL!$AV$4:$AV$103)</f>
        <v>0</v>
      </c>
      <c r="E38" s="136" cm="1">
        <f t="array" ref="E38">SUMPRODUCT((BXL!$AA$4:'BXL'!$AA$103=A38)*BXL!$AG$4:$AG$103)+SUMPRODUCT((BXL!$AB$4:'BXL'!$AB$103=A38)*BXL!$AG$4:$AG$103)+SUMPRODUCT((BXL!$AU$4:'BXL'!$AU$103=A38)*BXL!$AW$4:$AW$103)</f>
        <v>0</v>
      </c>
      <c r="F38" s="136" cm="1">
        <f t="array" ref="F38">SUMPRODUCT((BXL!$AA$4:'BXL'!$AA$103=A38)*BXL!$AH$4:$AH$103)+SUMPRODUCT((BXL!$AB$4:'BXL'!$AB$103=A38)*BXL!$AH$4:$AH$103)+SUMPRODUCT((BXL!$AU$4:'BXL'!$AU$103=A38)*BXL!$AZ$4:$AZ$103)</f>
        <v>0</v>
      </c>
      <c r="G38" s="136" cm="1">
        <f t="array" ref="G38">SUMPRODUCT((BXL!$AA$4:'BXL'!$AA$103=A38)*BXL!$AI$4:$AI$103)+SUMPRODUCT((BXL!$AB$4:'BXL'!$AB$103=A38)*BXL!$AI$4:$AI$103)+SUMPRODUCT((BXL!$AU$4:'BXL'!$AU$103=A38)*BXL!$BA$4:$BA$103)</f>
        <v>0</v>
      </c>
      <c r="H38" s="115"/>
      <c r="I38" s="139">
        <f t="shared" si="1"/>
        <v>0</v>
      </c>
      <c r="J38" s="136">
        <f t="shared" si="3"/>
        <v>0</v>
      </c>
      <c r="K38" s="136">
        <f t="shared" si="3"/>
        <v>0</v>
      </c>
      <c r="L38" s="136">
        <f t="shared" si="3"/>
        <v>0</v>
      </c>
      <c r="M38" s="136">
        <f t="shared" si="3"/>
        <v>0</v>
      </c>
      <c r="N38" s="115"/>
      <c r="O38" s="131"/>
      <c r="P38" s="131"/>
      <c r="Q38" s="131"/>
      <c r="R38" s="115"/>
      <c r="S38" s="131"/>
      <c r="T38" s="131"/>
      <c r="U38" s="131"/>
      <c r="V38" s="115"/>
      <c r="W38" s="128"/>
      <c r="X38" s="128"/>
      <c r="Y38" s="128"/>
      <c r="Z38" s="126"/>
      <c r="AA38" s="126"/>
      <c r="AB38" s="126"/>
      <c r="AC38" s="115"/>
      <c r="AD38" s="128"/>
      <c r="AE38" s="128"/>
      <c r="AF38" s="128"/>
      <c r="AG38" s="126"/>
      <c r="AH38" s="126"/>
      <c r="AI38" s="126"/>
      <c r="AJ38" s="115"/>
      <c r="AK38" s="131"/>
      <c r="AL38" s="131"/>
      <c r="AM38" s="131"/>
      <c r="AN38" s="115"/>
      <c r="AO38" s="131"/>
      <c r="AP38" s="131"/>
      <c r="AQ38" s="131"/>
      <c r="AR38" s="115"/>
      <c r="AS38" s="126"/>
      <c r="AT38" s="126"/>
      <c r="AU38" s="126"/>
      <c r="AV38" s="115"/>
      <c r="AW38" s="126"/>
      <c r="AX38" s="126"/>
      <c r="AY38" s="126"/>
      <c r="AZ38" s="115"/>
    </row>
    <row r="39" spans="1:52" x14ac:dyDescent="0.25">
      <c r="A39" s="94">
        <v>1984</v>
      </c>
      <c r="B39" s="139" cm="1">
        <f t="array" ref="B39">SUMPRODUCT((BXL!$AA$4:'BXL'!$AA$103=A39)*BXL!$AD$4:$AD$103)+SUMPRODUCT((BXL!$AB$4:'BXL'!$AB$103=A39)*BXL!$AD$4:$AD$103)+SUMPRODUCT((BXL!$AU$4:'BXL'!$AU$103=A39)*BXL!$AX$4:$AX$103)</f>
        <v>0</v>
      </c>
      <c r="C39" s="139" cm="1">
        <f t="array" ref="C39">SUMPRODUCT((BXL!$AA$4:'BXL'!$AA$103=A39)*BXL!$AE$4:$AE$103)+SUMPRODUCT((BXL!$AB$4:'BXL'!$AB$103=A39)*BXL!$AE$4:$AE$103)+SUMPRODUCT((BXL!$AU$4:'BXL'!$AU$103=A39)*BXL!$AY$4:$AY$103)</f>
        <v>0</v>
      </c>
      <c r="D39" s="136" cm="1">
        <f t="array" ref="D39">SUMPRODUCT((BXL!$AA$4:'BXL'!$AA$103=A39)*BXL!$AF$4:$AF$103)+SUMPRODUCT((BXL!$AB$4:'BXL'!$AB$103=A39)*BXL!$AF$4:$AF$103)+SUMPRODUCT((BXL!$AU$4:'BXL'!$AU$103=A39)*BXL!$AV$4:$AV$103)</f>
        <v>0</v>
      </c>
      <c r="E39" s="136" cm="1">
        <f t="array" ref="E39">SUMPRODUCT((BXL!$AA$4:'BXL'!$AA$103=A39)*BXL!$AG$4:$AG$103)+SUMPRODUCT((BXL!$AB$4:'BXL'!$AB$103=A39)*BXL!$AG$4:$AG$103)+SUMPRODUCT((BXL!$AU$4:'BXL'!$AU$103=A39)*BXL!$AW$4:$AW$103)</f>
        <v>0</v>
      </c>
      <c r="F39" s="136" cm="1">
        <f t="array" ref="F39">SUMPRODUCT((BXL!$AA$4:'BXL'!$AA$103=A39)*BXL!$AH$4:$AH$103)+SUMPRODUCT((BXL!$AB$4:'BXL'!$AB$103=A39)*BXL!$AH$4:$AH$103)+SUMPRODUCT((BXL!$AU$4:'BXL'!$AU$103=A39)*BXL!$AZ$4:$AZ$103)</f>
        <v>0</v>
      </c>
      <c r="G39" s="136" cm="1">
        <f t="array" ref="G39">SUMPRODUCT((BXL!$AA$4:'BXL'!$AA$103=A39)*BXL!$AI$4:$AI$103)+SUMPRODUCT((BXL!$AB$4:'BXL'!$AB$103=A39)*BXL!$AI$4:$AI$103)+SUMPRODUCT((BXL!$AU$4:'BXL'!$AU$103=A39)*BXL!$BA$4:$BA$103)</f>
        <v>0</v>
      </c>
      <c r="H39" s="115"/>
      <c r="I39" s="139">
        <f t="shared" ref="I39:I70" si="4">C39+I38</f>
        <v>0</v>
      </c>
      <c r="J39" s="136">
        <f t="shared" ref="J39:M54" si="5">D39+J38</f>
        <v>0</v>
      </c>
      <c r="K39" s="136">
        <f t="shared" si="5"/>
        <v>0</v>
      </c>
      <c r="L39" s="136">
        <f t="shared" si="5"/>
        <v>0</v>
      </c>
      <c r="M39" s="136">
        <f t="shared" si="5"/>
        <v>0</v>
      </c>
      <c r="N39" s="115"/>
      <c r="O39" s="131"/>
      <c r="P39" s="131"/>
      <c r="Q39" s="131"/>
      <c r="R39" s="115"/>
      <c r="S39" s="131"/>
      <c r="T39" s="131"/>
      <c r="U39" s="131"/>
      <c r="V39" s="115"/>
      <c r="W39" s="128"/>
      <c r="X39" s="128"/>
      <c r="Y39" s="128"/>
      <c r="Z39" s="126"/>
      <c r="AA39" s="126"/>
      <c r="AB39" s="126"/>
      <c r="AC39" s="115"/>
      <c r="AD39" s="128"/>
      <c r="AE39" s="128"/>
      <c r="AF39" s="128"/>
      <c r="AG39" s="126"/>
      <c r="AH39" s="126"/>
      <c r="AI39" s="126"/>
      <c r="AJ39" s="115"/>
      <c r="AK39" s="131"/>
      <c r="AL39" s="131"/>
      <c r="AM39" s="131"/>
      <c r="AN39" s="115"/>
      <c r="AO39" s="131"/>
      <c r="AP39" s="131"/>
      <c r="AQ39" s="131"/>
      <c r="AR39" s="115"/>
      <c r="AS39" s="126"/>
      <c r="AT39" s="126"/>
      <c r="AU39" s="126"/>
      <c r="AV39" s="115"/>
      <c r="AW39" s="126"/>
      <c r="AX39" s="126"/>
      <c r="AY39" s="126"/>
      <c r="AZ39" s="115"/>
    </row>
    <row r="40" spans="1:52" x14ac:dyDescent="0.25">
      <c r="A40" s="94">
        <v>1985</v>
      </c>
      <c r="B40" s="139" cm="1">
        <f t="array" ref="B40">SUMPRODUCT((BXL!$AA$4:'BXL'!$AA$103=A40)*BXL!$AD$4:$AD$103)+SUMPRODUCT((BXL!$AB$4:'BXL'!$AB$103=A40)*BXL!$AD$4:$AD$103)+SUMPRODUCT((BXL!$AU$4:'BXL'!$AU$103=A40)*BXL!$AX$4:$AX$103)</f>
        <v>0</v>
      </c>
      <c r="C40" s="139" cm="1">
        <f t="array" ref="C40">SUMPRODUCT((BXL!$AA$4:'BXL'!$AA$103=A40)*BXL!$AE$4:$AE$103)+SUMPRODUCT((BXL!$AB$4:'BXL'!$AB$103=A40)*BXL!$AE$4:$AE$103)+SUMPRODUCT((BXL!$AU$4:'BXL'!$AU$103=A40)*BXL!$AY$4:$AY$103)</f>
        <v>0</v>
      </c>
      <c r="D40" s="136" cm="1">
        <f t="array" ref="D40">SUMPRODUCT((BXL!$AA$4:'BXL'!$AA$103=A40)*BXL!$AF$4:$AF$103)+SUMPRODUCT((BXL!$AB$4:'BXL'!$AB$103=A40)*BXL!$AF$4:$AF$103)+SUMPRODUCT((BXL!$AU$4:'BXL'!$AU$103=A40)*BXL!$AV$4:$AV$103)</f>
        <v>0</v>
      </c>
      <c r="E40" s="136" cm="1">
        <f t="array" ref="E40">SUMPRODUCT((BXL!$AA$4:'BXL'!$AA$103=A40)*BXL!$AG$4:$AG$103)+SUMPRODUCT((BXL!$AB$4:'BXL'!$AB$103=A40)*BXL!$AG$4:$AG$103)+SUMPRODUCT((BXL!$AU$4:'BXL'!$AU$103=A40)*BXL!$AW$4:$AW$103)</f>
        <v>0</v>
      </c>
      <c r="F40" s="136" cm="1">
        <f t="array" ref="F40">SUMPRODUCT((BXL!$AA$4:'BXL'!$AA$103=A40)*BXL!$AH$4:$AH$103)+SUMPRODUCT((BXL!$AB$4:'BXL'!$AB$103=A40)*BXL!$AH$4:$AH$103)+SUMPRODUCT((BXL!$AU$4:'BXL'!$AU$103=A40)*BXL!$AZ$4:$AZ$103)</f>
        <v>0</v>
      </c>
      <c r="G40" s="136" cm="1">
        <f t="array" ref="G40">SUMPRODUCT((BXL!$AA$4:'BXL'!$AA$103=A40)*BXL!$AI$4:$AI$103)+SUMPRODUCT((BXL!$AB$4:'BXL'!$AB$103=A40)*BXL!$AI$4:$AI$103)+SUMPRODUCT((BXL!$AU$4:'BXL'!$AU$103=A40)*BXL!$BA$4:$BA$103)</f>
        <v>0</v>
      </c>
      <c r="H40" s="115"/>
      <c r="I40" s="139">
        <f t="shared" si="4"/>
        <v>0</v>
      </c>
      <c r="J40" s="136">
        <f t="shared" si="5"/>
        <v>0</v>
      </c>
      <c r="K40" s="136">
        <f t="shared" si="5"/>
        <v>0</v>
      </c>
      <c r="L40" s="136">
        <f t="shared" si="5"/>
        <v>0</v>
      </c>
      <c r="M40" s="136">
        <f t="shared" si="5"/>
        <v>0</v>
      </c>
      <c r="N40" s="115"/>
      <c r="O40" s="131"/>
      <c r="P40" s="131"/>
      <c r="Q40" s="131"/>
      <c r="R40" s="115"/>
      <c r="S40" s="131"/>
      <c r="T40" s="131"/>
      <c r="U40" s="131"/>
      <c r="V40" s="115"/>
      <c r="W40" s="128"/>
      <c r="X40" s="128"/>
      <c r="Y40" s="128"/>
      <c r="Z40" s="126"/>
      <c r="AA40" s="126"/>
      <c r="AB40" s="126"/>
      <c r="AC40" s="115"/>
      <c r="AD40" s="128"/>
      <c r="AE40" s="128"/>
      <c r="AF40" s="128"/>
      <c r="AG40" s="126"/>
      <c r="AH40" s="126"/>
      <c r="AI40" s="126"/>
      <c r="AJ40" s="115"/>
      <c r="AK40" s="131"/>
      <c r="AL40" s="131"/>
      <c r="AM40" s="131"/>
      <c r="AN40" s="115"/>
      <c r="AO40" s="131"/>
      <c r="AP40" s="131"/>
      <c r="AQ40" s="131"/>
      <c r="AR40" s="115"/>
      <c r="AS40" s="126"/>
      <c r="AT40" s="126"/>
      <c r="AU40" s="126"/>
      <c r="AV40" s="115"/>
      <c r="AW40" s="126"/>
      <c r="AX40" s="126"/>
      <c r="AY40" s="126"/>
      <c r="AZ40" s="115"/>
    </row>
    <row r="41" spans="1:52" x14ac:dyDescent="0.25">
      <c r="A41" s="94">
        <v>1986</v>
      </c>
      <c r="B41" s="139" cm="1">
        <f t="array" ref="B41">SUMPRODUCT((BXL!$AA$4:'BXL'!$AA$103=A41)*BXL!$AD$4:$AD$103)+SUMPRODUCT((BXL!$AB$4:'BXL'!$AB$103=A41)*BXL!$AD$4:$AD$103)+SUMPRODUCT((BXL!$AU$4:'BXL'!$AU$103=A41)*BXL!$AX$4:$AX$103)</f>
        <v>0</v>
      </c>
      <c r="C41" s="139" cm="1">
        <f t="array" ref="C41">SUMPRODUCT((BXL!$AA$4:'BXL'!$AA$103=A41)*BXL!$AE$4:$AE$103)+SUMPRODUCT((BXL!$AB$4:'BXL'!$AB$103=A41)*BXL!$AE$4:$AE$103)+SUMPRODUCT((BXL!$AU$4:'BXL'!$AU$103=A41)*BXL!$AY$4:$AY$103)</f>
        <v>0</v>
      </c>
      <c r="D41" s="136" cm="1">
        <f t="array" ref="D41">SUMPRODUCT((BXL!$AA$4:'BXL'!$AA$103=A41)*BXL!$AF$4:$AF$103)+SUMPRODUCT((BXL!$AB$4:'BXL'!$AB$103=A41)*BXL!$AF$4:$AF$103)+SUMPRODUCT((BXL!$AU$4:'BXL'!$AU$103=A41)*BXL!$AV$4:$AV$103)</f>
        <v>0</v>
      </c>
      <c r="E41" s="136" cm="1">
        <f t="array" ref="E41">SUMPRODUCT((BXL!$AA$4:'BXL'!$AA$103=A41)*BXL!$AG$4:$AG$103)+SUMPRODUCT((BXL!$AB$4:'BXL'!$AB$103=A41)*BXL!$AG$4:$AG$103)+SUMPRODUCT((BXL!$AU$4:'BXL'!$AU$103=A41)*BXL!$AW$4:$AW$103)</f>
        <v>0</v>
      </c>
      <c r="F41" s="136" cm="1">
        <f t="array" ref="F41">SUMPRODUCT((BXL!$AA$4:'BXL'!$AA$103=A41)*BXL!$AH$4:$AH$103)+SUMPRODUCT((BXL!$AB$4:'BXL'!$AB$103=A41)*BXL!$AH$4:$AH$103)+SUMPRODUCT((BXL!$AU$4:'BXL'!$AU$103=A41)*BXL!$AZ$4:$AZ$103)</f>
        <v>0</v>
      </c>
      <c r="G41" s="136" cm="1">
        <f t="array" ref="G41">SUMPRODUCT((BXL!$AA$4:'BXL'!$AA$103=A41)*BXL!$AI$4:$AI$103)+SUMPRODUCT((BXL!$AB$4:'BXL'!$AB$103=A41)*BXL!$AI$4:$AI$103)+SUMPRODUCT((BXL!$AU$4:'BXL'!$AU$103=A41)*BXL!$BA$4:$BA$103)</f>
        <v>0</v>
      </c>
      <c r="H41" s="115"/>
      <c r="I41" s="139">
        <f t="shared" si="4"/>
        <v>0</v>
      </c>
      <c r="J41" s="136">
        <f t="shared" si="5"/>
        <v>0</v>
      </c>
      <c r="K41" s="136">
        <f t="shared" si="5"/>
        <v>0</v>
      </c>
      <c r="L41" s="136">
        <f t="shared" si="5"/>
        <v>0</v>
      </c>
      <c r="M41" s="136">
        <f t="shared" si="5"/>
        <v>0</v>
      </c>
      <c r="N41" s="115"/>
      <c r="O41" s="131"/>
      <c r="P41" s="131"/>
      <c r="Q41" s="131"/>
      <c r="R41" s="115"/>
      <c r="S41" s="131"/>
      <c r="T41" s="131"/>
      <c r="U41" s="131"/>
      <c r="V41" s="115"/>
      <c r="W41" s="128"/>
      <c r="X41" s="128"/>
      <c r="Y41" s="128"/>
      <c r="Z41" s="126"/>
      <c r="AA41" s="126"/>
      <c r="AB41" s="126"/>
      <c r="AC41" s="115"/>
      <c r="AD41" s="128"/>
      <c r="AE41" s="128"/>
      <c r="AF41" s="128"/>
      <c r="AG41" s="126"/>
      <c r="AH41" s="126"/>
      <c r="AI41" s="126"/>
      <c r="AJ41" s="115"/>
      <c r="AK41" s="131"/>
      <c r="AL41" s="131"/>
      <c r="AM41" s="131"/>
      <c r="AN41" s="115"/>
      <c r="AO41" s="131"/>
      <c r="AP41" s="131"/>
      <c r="AQ41" s="131"/>
      <c r="AR41" s="115"/>
      <c r="AS41" s="126"/>
      <c r="AT41" s="126"/>
      <c r="AU41" s="126"/>
      <c r="AV41" s="115"/>
      <c r="AW41" s="126"/>
      <c r="AX41" s="126"/>
      <c r="AY41" s="126"/>
      <c r="AZ41" s="115"/>
    </row>
    <row r="42" spans="1:52" x14ac:dyDescent="0.25">
      <c r="A42" s="94">
        <v>1987</v>
      </c>
      <c r="B42" s="139" cm="1">
        <f t="array" ref="B42">SUMPRODUCT((BXL!$AA$4:'BXL'!$AA$103=A42)*BXL!$AD$4:$AD$103)+SUMPRODUCT((BXL!$AB$4:'BXL'!$AB$103=A42)*BXL!$AD$4:$AD$103)+SUMPRODUCT((BXL!$AU$4:'BXL'!$AU$103=A42)*BXL!$AX$4:$AX$103)</f>
        <v>0</v>
      </c>
      <c r="C42" s="139" cm="1">
        <f t="array" ref="C42">SUMPRODUCT((BXL!$AA$4:'BXL'!$AA$103=A42)*BXL!$AE$4:$AE$103)+SUMPRODUCT((BXL!$AB$4:'BXL'!$AB$103=A42)*BXL!$AE$4:$AE$103)+SUMPRODUCT((BXL!$AU$4:'BXL'!$AU$103=A42)*BXL!$AY$4:$AY$103)</f>
        <v>0</v>
      </c>
      <c r="D42" s="136" cm="1">
        <f t="array" ref="D42">SUMPRODUCT((BXL!$AA$4:'BXL'!$AA$103=A42)*BXL!$AF$4:$AF$103)+SUMPRODUCT((BXL!$AB$4:'BXL'!$AB$103=A42)*BXL!$AF$4:$AF$103)+SUMPRODUCT((BXL!$AU$4:'BXL'!$AU$103=A42)*BXL!$AV$4:$AV$103)</f>
        <v>0</v>
      </c>
      <c r="E42" s="136" cm="1">
        <f t="array" ref="E42">SUMPRODUCT((BXL!$AA$4:'BXL'!$AA$103=A42)*BXL!$AG$4:$AG$103)+SUMPRODUCT((BXL!$AB$4:'BXL'!$AB$103=A42)*BXL!$AG$4:$AG$103)+SUMPRODUCT((BXL!$AU$4:'BXL'!$AU$103=A42)*BXL!$AW$4:$AW$103)</f>
        <v>0</v>
      </c>
      <c r="F42" s="136" cm="1">
        <f t="array" ref="F42">SUMPRODUCT((BXL!$AA$4:'BXL'!$AA$103=A42)*BXL!$AH$4:$AH$103)+SUMPRODUCT((BXL!$AB$4:'BXL'!$AB$103=A42)*BXL!$AH$4:$AH$103)+SUMPRODUCT((BXL!$AU$4:'BXL'!$AU$103=A42)*BXL!$AZ$4:$AZ$103)</f>
        <v>0</v>
      </c>
      <c r="G42" s="136" cm="1">
        <f t="array" ref="G42">SUMPRODUCT((BXL!$AA$4:'BXL'!$AA$103=A42)*BXL!$AI$4:$AI$103)+SUMPRODUCT((BXL!$AB$4:'BXL'!$AB$103=A42)*BXL!$AI$4:$AI$103)+SUMPRODUCT((BXL!$AU$4:'BXL'!$AU$103=A42)*BXL!$BA$4:$BA$103)</f>
        <v>0</v>
      </c>
      <c r="H42" s="115"/>
      <c r="I42" s="139">
        <f t="shared" si="4"/>
        <v>0</v>
      </c>
      <c r="J42" s="136">
        <f t="shared" si="5"/>
        <v>0</v>
      </c>
      <c r="K42" s="136">
        <f t="shared" si="5"/>
        <v>0</v>
      </c>
      <c r="L42" s="136">
        <f t="shared" si="5"/>
        <v>0</v>
      </c>
      <c r="M42" s="136">
        <f t="shared" si="5"/>
        <v>0</v>
      </c>
      <c r="N42" s="115"/>
      <c r="O42" s="131"/>
      <c r="P42" s="131"/>
      <c r="Q42" s="131"/>
      <c r="R42" s="115"/>
      <c r="S42" s="131"/>
      <c r="T42" s="131"/>
      <c r="U42" s="131"/>
      <c r="V42" s="115"/>
      <c r="W42" s="128"/>
      <c r="X42" s="128"/>
      <c r="Y42" s="128"/>
      <c r="Z42" s="126"/>
      <c r="AA42" s="126"/>
      <c r="AB42" s="126"/>
      <c r="AC42" s="115"/>
      <c r="AD42" s="128"/>
      <c r="AE42" s="128"/>
      <c r="AF42" s="128"/>
      <c r="AG42" s="126"/>
      <c r="AH42" s="126"/>
      <c r="AI42" s="126"/>
      <c r="AJ42" s="115"/>
      <c r="AK42" s="131"/>
      <c r="AL42" s="131"/>
      <c r="AM42" s="131"/>
      <c r="AN42" s="115"/>
      <c r="AO42" s="131"/>
      <c r="AP42" s="131"/>
      <c r="AQ42" s="131"/>
      <c r="AR42" s="115"/>
      <c r="AS42" s="126"/>
      <c r="AT42" s="126"/>
      <c r="AU42" s="126"/>
      <c r="AV42" s="115"/>
      <c r="AW42" s="126"/>
      <c r="AX42" s="126"/>
      <c r="AY42" s="126"/>
      <c r="AZ42" s="115"/>
    </row>
    <row r="43" spans="1:52" x14ac:dyDescent="0.25">
      <c r="A43" s="94">
        <v>1988</v>
      </c>
      <c r="B43" s="139" cm="1">
        <f t="array" ref="B43">SUMPRODUCT((BXL!$AA$4:'BXL'!$AA$103=A43)*BXL!$AD$4:$AD$103)+SUMPRODUCT((BXL!$AB$4:'BXL'!$AB$103=A43)*BXL!$AD$4:$AD$103)+SUMPRODUCT((BXL!$AU$4:'BXL'!$AU$103=A43)*BXL!$AX$4:$AX$103)</f>
        <v>0</v>
      </c>
      <c r="C43" s="139" cm="1">
        <f t="array" ref="C43">SUMPRODUCT((BXL!$AA$4:'BXL'!$AA$103=A43)*BXL!$AE$4:$AE$103)+SUMPRODUCT((BXL!$AB$4:'BXL'!$AB$103=A43)*BXL!$AE$4:$AE$103)+SUMPRODUCT((BXL!$AU$4:'BXL'!$AU$103=A43)*BXL!$AY$4:$AY$103)</f>
        <v>0</v>
      </c>
      <c r="D43" s="136" cm="1">
        <f t="array" ref="D43">SUMPRODUCT((BXL!$AA$4:'BXL'!$AA$103=A43)*BXL!$AF$4:$AF$103)+SUMPRODUCT((BXL!$AB$4:'BXL'!$AB$103=A43)*BXL!$AF$4:$AF$103)+SUMPRODUCT((BXL!$AU$4:'BXL'!$AU$103=A43)*BXL!$AV$4:$AV$103)</f>
        <v>0</v>
      </c>
      <c r="E43" s="136" cm="1">
        <f t="array" ref="E43">SUMPRODUCT((BXL!$AA$4:'BXL'!$AA$103=A43)*BXL!$AG$4:$AG$103)+SUMPRODUCT((BXL!$AB$4:'BXL'!$AB$103=A43)*BXL!$AG$4:$AG$103)+SUMPRODUCT((BXL!$AU$4:'BXL'!$AU$103=A43)*BXL!$AW$4:$AW$103)</f>
        <v>0</v>
      </c>
      <c r="F43" s="136" cm="1">
        <f t="array" ref="F43">SUMPRODUCT((BXL!$AA$4:'BXL'!$AA$103=A43)*BXL!$AH$4:$AH$103)+SUMPRODUCT((BXL!$AB$4:'BXL'!$AB$103=A43)*BXL!$AH$4:$AH$103)+SUMPRODUCT((BXL!$AU$4:'BXL'!$AU$103=A43)*BXL!$AZ$4:$AZ$103)</f>
        <v>0</v>
      </c>
      <c r="G43" s="136" cm="1">
        <f t="array" ref="G43">SUMPRODUCT((BXL!$AA$4:'BXL'!$AA$103=A43)*BXL!$AI$4:$AI$103)+SUMPRODUCT((BXL!$AB$4:'BXL'!$AB$103=A43)*BXL!$AI$4:$AI$103)+SUMPRODUCT((BXL!$AU$4:'BXL'!$AU$103=A43)*BXL!$BA$4:$BA$103)</f>
        <v>0</v>
      </c>
      <c r="H43" s="115"/>
      <c r="I43" s="139">
        <f t="shared" si="4"/>
        <v>0</v>
      </c>
      <c r="J43" s="136">
        <f t="shared" si="5"/>
        <v>0</v>
      </c>
      <c r="K43" s="136">
        <f t="shared" si="5"/>
        <v>0</v>
      </c>
      <c r="L43" s="136">
        <f t="shared" si="5"/>
        <v>0</v>
      </c>
      <c r="M43" s="136">
        <f t="shared" si="5"/>
        <v>0</v>
      </c>
      <c r="N43" s="115"/>
      <c r="O43" s="131"/>
      <c r="P43" s="131"/>
      <c r="Q43" s="131"/>
      <c r="R43" s="115"/>
      <c r="S43" s="131"/>
      <c r="T43" s="131"/>
      <c r="U43" s="131"/>
      <c r="V43" s="115"/>
      <c r="W43" s="128"/>
      <c r="X43" s="128"/>
      <c r="Y43" s="128"/>
      <c r="Z43" s="126"/>
      <c r="AA43" s="126"/>
      <c r="AB43" s="126"/>
      <c r="AC43" s="115"/>
      <c r="AD43" s="128"/>
      <c r="AE43" s="128"/>
      <c r="AF43" s="128"/>
      <c r="AG43" s="126"/>
      <c r="AH43" s="126"/>
      <c r="AI43" s="126"/>
      <c r="AJ43" s="115"/>
      <c r="AK43" s="131"/>
      <c r="AL43" s="131"/>
      <c r="AM43" s="131"/>
      <c r="AN43" s="115"/>
      <c r="AO43" s="131"/>
      <c r="AP43" s="131"/>
      <c r="AQ43" s="131"/>
      <c r="AR43" s="115"/>
      <c r="AS43" s="126"/>
      <c r="AT43" s="126"/>
      <c r="AU43" s="126"/>
      <c r="AV43" s="115"/>
      <c r="AW43" s="126"/>
      <c r="AX43" s="126"/>
      <c r="AY43" s="126"/>
      <c r="AZ43" s="115"/>
    </row>
    <row r="44" spans="1:52" x14ac:dyDescent="0.25">
      <c r="A44" s="94">
        <v>1989</v>
      </c>
      <c r="B44" s="139" cm="1">
        <f t="array" ref="B44">SUMPRODUCT((BXL!$AA$4:'BXL'!$AA$103=A44)*BXL!$AD$4:$AD$103)+SUMPRODUCT((BXL!$AB$4:'BXL'!$AB$103=A44)*BXL!$AD$4:$AD$103)+SUMPRODUCT((BXL!$AU$4:'BXL'!$AU$103=A44)*BXL!$AX$4:$AX$103)</f>
        <v>0</v>
      </c>
      <c r="C44" s="139" cm="1">
        <f t="array" ref="C44">SUMPRODUCT((BXL!$AA$4:'BXL'!$AA$103=A44)*BXL!$AE$4:$AE$103)+SUMPRODUCT((BXL!$AB$4:'BXL'!$AB$103=A44)*BXL!$AE$4:$AE$103)+SUMPRODUCT((BXL!$AU$4:'BXL'!$AU$103=A44)*BXL!$AY$4:$AY$103)</f>
        <v>0</v>
      </c>
      <c r="D44" s="136" cm="1">
        <f t="array" ref="D44">SUMPRODUCT((BXL!$AA$4:'BXL'!$AA$103=A44)*BXL!$AF$4:$AF$103)+SUMPRODUCT((BXL!$AB$4:'BXL'!$AB$103=A44)*BXL!$AF$4:$AF$103)+SUMPRODUCT((BXL!$AU$4:'BXL'!$AU$103=A44)*BXL!$AV$4:$AV$103)</f>
        <v>0</v>
      </c>
      <c r="E44" s="136" cm="1">
        <f t="array" ref="E44">SUMPRODUCT((BXL!$AA$4:'BXL'!$AA$103=A44)*BXL!$AG$4:$AG$103)+SUMPRODUCT((BXL!$AB$4:'BXL'!$AB$103=A44)*BXL!$AG$4:$AG$103)+SUMPRODUCT((BXL!$AU$4:'BXL'!$AU$103=A44)*BXL!$AW$4:$AW$103)</f>
        <v>0</v>
      </c>
      <c r="F44" s="136" cm="1">
        <f t="array" ref="F44">SUMPRODUCT((BXL!$AA$4:'BXL'!$AA$103=A44)*BXL!$AH$4:$AH$103)+SUMPRODUCT((BXL!$AB$4:'BXL'!$AB$103=A44)*BXL!$AH$4:$AH$103)+SUMPRODUCT((BXL!$AU$4:'BXL'!$AU$103=A44)*BXL!$AZ$4:$AZ$103)</f>
        <v>0</v>
      </c>
      <c r="G44" s="136" cm="1">
        <f t="array" ref="G44">SUMPRODUCT((BXL!$AA$4:'BXL'!$AA$103=A44)*BXL!$AI$4:$AI$103)+SUMPRODUCT((BXL!$AB$4:'BXL'!$AB$103=A44)*BXL!$AI$4:$AI$103)+SUMPRODUCT((BXL!$AU$4:'BXL'!$AU$103=A44)*BXL!$BA$4:$BA$103)</f>
        <v>0</v>
      </c>
      <c r="H44" s="115"/>
      <c r="I44" s="139">
        <f t="shared" si="4"/>
        <v>0</v>
      </c>
      <c r="J44" s="136">
        <f t="shared" si="5"/>
        <v>0</v>
      </c>
      <c r="K44" s="136">
        <f t="shared" si="5"/>
        <v>0</v>
      </c>
      <c r="L44" s="136">
        <f t="shared" si="5"/>
        <v>0</v>
      </c>
      <c r="M44" s="136">
        <f t="shared" si="5"/>
        <v>0</v>
      </c>
      <c r="N44" s="115"/>
      <c r="O44" s="131"/>
      <c r="P44" s="131"/>
      <c r="Q44" s="131"/>
      <c r="R44" s="115"/>
      <c r="S44" s="131"/>
      <c r="T44" s="131"/>
      <c r="U44" s="131"/>
      <c r="V44" s="115"/>
      <c r="W44" s="128"/>
      <c r="X44" s="128"/>
      <c r="Y44" s="128"/>
      <c r="Z44" s="126"/>
      <c r="AA44" s="126"/>
      <c r="AB44" s="126"/>
      <c r="AC44" s="115"/>
      <c r="AD44" s="128"/>
      <c r="AE44" s="128"/>
      <c r="AF44" s="128"/>
      <c r="AG44" s="126"/>
      <c r="AH44" s="126"/>
      <c r="AI44" s="126"/>
      <c r="AJ44" s="115"/>
      <c r="AK44" s="131"/>
      <c r="AL44" s="131"/>
      <c r="AM44" s="131"/>
      <c r="AN44" s="115"/>
      <c r="AO44" s="131"/>
      <c r="AP44" s="131"/>
      <c r="AQ44" s="131"/>
      <c r="AR44" s="115"/>
      <c r="AS44" s="126"/>
      <c r="AT44" s="126"/>
      <c r="AU44" s="126"/>
      <c r="AV44" s="115"/>
      <c r="AW44" s="126"/>
      <c r="AX44" s="126"/>
      <c r="AY44" s="126"/>
      <c r="AZ44" s="115"/>
    </row>
    <row r="45" spans="1:52" x14ac:dyDescent="0.25">
      <c r="A45" s="94">
        <v>1990</v>
      </c>
      <c r="B45" s="139" cm="1">
        <f t="array" ref="B45">SUMPRODUCT((BXL!$AA$4:'BXL'!$AA$103=A45)*BXL!$AD$4:$AD$103)+SUMPRODUCT((BXL!$AB$4:'BXL'!$AB$103=A45)*BXL!$AD$4:$AD$103)+SUMPRODUCT((BXL!$AU$4:'BXL'!$AU$103=A45)*BXL!$AX$4:$AX$103)</f>
        <v>0</v>
      </c>
      <c r="C45" s="139" cm="1">
        <f t="array" ref="C45">SUMPRODUCT((BXL!$AA$4:'BXL'!$AA$103=A45)*BXL!$AE$4:$AE$103)+SUMPRODUCT((BXL!$AB$4:'BXL'!$AB$103=A45)*BXL!$AE$4:$AE$103)+SUMPRODUCT((BXL!$AU$4:'BXL'!$AU$103=A45)*BXL!$AY$4:$AY$103)</f>
        <v>0</v>
      </c>
      <c r="D45" s="136" cm="1">
        <f t="array" ref="D45">SUMPRODUCT((BXL!$AA$4:'BXL'!$AA$103=A45)*BXL!$AF$4:$AF$103)+SUMPRODUCT((BXL!$AB$4:'BXL'!$AB$103=A45)*BXL!$AF$4:$AF$103)+SUMPRODUCT((BXL!$AU$4:'BXL'!$AU$103=A45)*BXL!$AV$4:$AV$103)</f>
        <v>0</v>
      </c>
      <c r="E45" s="136" cm="1">
        <f t="array" ref="E45">SUMPRODUCT((BXL!$AA$4:'BXL'!$AA$103=A45)*BXL!$AG$4:$AG$103)+SUMPRODUCT((BXL!$AB$4:'BXL'!$AB$103=A45)*BXL!$AG$4:$AG$103)+SUMPRODUCT((BXL!$AU$4:'BXL'!$AU$103=A45)*BXL!$AW$4:$AW$103)</f>
        <v>0</v>
      </c>
      <c r="F45" s="136" cm="1">
        <f t="array" ref="F45">SUMPRODUCT((BXL!$AA$4:'BXL'!$AA$103=A45)*BXL!$AH$4:$AH$103)+SUMPRODUCT((BXL!$AB$4:'BXL'!$AB$103=A45)*BXL!$AH$4:$AH$103)+SUMPRODUCT((BXL!$AU$4:'BXL'!$AU$103=A45)*BXL!$AZ$4:$AZ$103)</f>
        <v>0</v>
      </c>
      <c r="G45" s="136" cm="1">
        <f t="array" ref="G45">SUMPRODUCT((BXL!$AA$4:'BXL'!$AA$103=A45)*BXL!$AI$4:$AI$103)+SUMPRODUCT((BXL!$AB$4:'BXL'!$AB$103=A45)*BXL!$AI$4:$AI$103)+SUMPRODUCT((BXL!$AU$4:'BXL'!$AU$103=A45)*BXL!$BA$4:$BA$103)</f>
        <v>0</v>
      </c>
      <c r="H45" s="115"/>
      <c r="I45" s="139">
        <f t="shared" si="4"/>
        <v>0</v>
      </c>
      <c r="J45" s="136">
        <f t="shared" si="5"/>
        <v>0</v>
      </c>
      <c r="K45" s="136">
        <f t="shared" si="5"/>
        <v>0</v>
      </c>
      <c r="L45" s="136">
        <f t="shared" si="5"/>
        <v>0</v>
      </c>
      <c r="M45" s="136">
        <f t="shared" si="5"/>
        <v>0</v>
      </c>
      <c r="N45" s="115"/>
      <c r="O45" s="131"/>
      <c r="P45" s="131"/>
      <c r="Q45" s="131"/>
      <c r="R45" s="115"/>
      <c r="S45" s="131"/>
      <c r="T45" s="131"/>
      <c r="U45" s="131"/>
      <c r="V45" s="115"/>
      <c r="W45" s="128"/>
      <c r="X45" s="128"/>
      <c r="Y45" s="128"/>
      <c r="Z45" s="126"/>
      <c r="AA45" s="126"/>
      <c r="AB45" s="126"/>
      <c r="AC45" s="115"/>
      <c r="AD45" s="128"/>
      <c r="AE45" s="128"/>
      <c r="AF45" s="128"/>
      <c r="AG45" s="126"/>
      <c r="AH45" s="126"/>
      <c r="AI45" s="126"/>
      <c r="AJ45" s="115"/>
      <c r="AK45" s="131"/>
      <c r="AL45" s="131"/>
      <c r="AM45" s="131"/>
      <c r="AN45" s="115"/>
      <c r="AO45" s="131"/>
      <c r="AP45" s="131"/>
      <c r="AQ45" s="131"/>
      <c r="AR45" s="115"/>
      <c r="AS45" s="126"/>
      <c r="AT45" s="126"/>
      <c r="AU45" s="126"/>
      <c r="AV45" s="115"/>
      <c r="AW45" s="126"/>
      <c r="AX45" s="126"/>
      <c r="AY45" s="126"/>
      <c r="AZ45" s="115"/>
    </row>
    <row r="46" spans="1:52" x14ac:dyDescent="0.25">
      <c r="A46" s="94">
        <v>1991</v>
      </c>
      <c r="B46" s="139" cm="1">
        <f t="array" ref="B46">SUMPRODUCT((BXL!$AA$4:'BXL'!$AA$103=A46)*BXL!$AD$4:$AD$103)+SUMPRODUCT((BXL!$AB$4:'BXL'!$AB$103=A46)*BXL!$AD$4:$AD$103)+SUMPRODUCT((BXL!$AU$4:'BXL'!$AU$103=A46)*BXL!$AX$4:$AX$103)</f>
        <v>0</v>
      </c>
      <c r="C46" s="139" cm="1">
        <f t="array" ref="C46">SUMPRODUCT((BXL!$AA$4:'BXL'!$AA$103=A46)*BXL!$AE$4:$AE$103)+SUMPRODUCT((BXL!$AB$4:'BXL'!$AB$103=A46)*BXL!$AE$4:$AE$103)+SUMPRODUCT((BXL!$AU$4:'BXL'!$AU$103=A46)*BXL!$AY$4:$AY$103)</f>
        <v>0</v>
      </c>
      <c r="D46" s="136" cm="1">
        <f t="array" ref="D46">SUMPRODUCT((BXL!$AA$4:'BXL'!$AA$103=A46)*BXL!$AF$4:$AF$103)+SUMPRODUCT((BXL!$AB$4:'BXL'!$AB$103=A46)*BXL!$AF$4:$AF$103)+SUMPRODUCT((BXL!$AU$4:'BXL'!$AU$103=A46)*BXL!$AV$4:$AV$103)</f>
        <v>0</v>
      </c>
      <c r="E46" s="136" cm="1">
        <f t="array" ref="E46">SUMPRODUCT((BXL!$AA$4:'BXL'!$AA$103=A46)*BXL!$AG$4:$AG$103)+SUMPRODUCT((BXL!$AB$4:'BXL'!$AB$103=A46)*BXL!$AG$4:$AG$103)+SUMPRODUCT((BXL!$AU$4:'BXL'!$AU$103=A46)*BXL!$AW$4:$AW$103)</f>
        <v>0</v>
      </c>
      <c r="F46" s="136" cm="1">
        <f t="array" ref="F46">SUMPRODUCT((BXL!$AA$4:'BXL'!$AA$103=A46)*BXL!$AH$4:$AH$103)+SUMPRODUCT((BXL!$AB$4:'BXL'!$AB$103=A46)*BXL!$AH$4:$AH$103)+SUMPRODUCT((BXL!$AU$4:'BXL'!$AU$103=A46)*BXL!$AZ$4:$AZ$103)</f>
        <v>0</v>
      </c>
      <c r="G46" s="136" cm="1">
        <f t="array" ref="G46">SUMPRODUCT((BXL!$AA$4:'BXL'!$AA$103=A46)*BXL!$AI$4:$AI$103)+SUMPRODUCT((BXL!$AB$4:'BXL'!$AB$103=A46)*BXL!$AI$4:$AI$103)+SUMPRODUCT((BXL!$AU$4:'BXL'!$AU$103=A46)*BXL!$BA$4:$BA$103)</f>
        <v>0</v>
      </c>
      <c r="H46" s="115"/>
      <c r="I46" s="139">
        <f t="shared" si="4"/>
        <v>0</v>
      </c>
      <c r="J46" s="136">
        <f t="shared" si="5"/>
        <v>0</v>
      </c>
      <c r="K46" s="136">
        <f t="shared" si="5"/>
        <v>0</v>
      </c>
      <c r="L46" s="136">
        <f t="shared" si="5"/>
        <v>0</v>
      </c>
      <c r="M46" s="136">
        <f t="shared" si="5"/>
        <v>0</v>
      </c>
      <c r="N46" s="115"/>
      <c r="O46" s="131"/>
      <c r="P46" s="131"/>
      <c r="Q46" s="131"/>
      <c r="R46" s="115"/>
      <c r="S46" s="131"/>
      <c r="T46" s="131"/>
      <c r="U46" s="131"/>
      <c r="V46" s="115"/>
      <c r="W46" s="128"/>
      <c r="X46" s="128"/>
      <c r="Y46" s="128"/>
      <c r="Z46" s="126"/>
      <c r="AA46" s="126"/>
      <c r="AB46" s="126"/>
      <c r="AC46" s="115"/>
      <c r="AD46" s="128"/>
      <c r="AE46" s="128"/>
      <c r="AF46" s="128"/>
      <c r="AG46" s="126"/>
      <c r="AH46" s="126"/>
      <c r="AI46" s="126"/>
      <c r="AJ46" s="115"/>
      <c r="AK46" s="131"/>
      <c r="AL46" s="131"/>
      <c r="AM46" s="131"/>
      <c r="AN46" s="115"/>
      <c r="AO46" s="131"/>
      <c r="AP46" s="131"/>
      <c r="AQ46" s="131"/>
      <c r="AR46" s="115"/>
      <c r="AS46" s="126"/>
      <c r="AT46" s="126"/>
      <c r="AU46" s="126"/>
      <c r="AV46" s="115"/>
      <c r="AW46" s="126"/>
      <c r="AX46" s="126"/>
      <c r="AY46" s="126"/>
      <c r="AZ46" s="115"/>
    </row>
    <row r="47" spans="1:52" x14ac:dyDescent="0.25">
      <c r="A47" s="94">
        <v>1992</v>
      </c>
      <c r="B47" s="139" cm="1">
        <f t="array" ref="B47">SUMPRODUCT((BXL!$AA$4:'BXL'!$AA$103=A47)*BXL!$AD$4:$AD$103)+SUMPRODUCT((BXL!$AB$4:'BXL'!$AB$103=A47)*BXL!$AD$4:$AD$103)+SUMPRODUCT((BXL!$AU$4:'BXL'!$AU$103=A47)*BXL!$AX$4:$AX$103)</f>
        <v>0</v>
      </c>
      <c r="C47" s="139" cm="1">
        <f t="array" ref="C47">SUMPRODUCT((BXL!$AA$4:'BXL'!$AA$103=A47)*BXL!$AE$4:$AE$103)+SUMPRODUCT((BXL!$AB$4:'BXL'!$AB$103=A47)*BXL!$AE$4:$AE$103)+SUMPRODUCT((BXL!$AU$4:'BXL'!$AU$103=A47)*BXL!$AY$4:$AY$103)</f>
        <v>0</v>
      </c>
      <c r="D47" s="136" cm="1">
        <f t="array" ref="D47">SUMPRODUCT((BXL!$AA$4:'BXL'!$AA$103=A47)*BXL!$AF$4:$AF$103)+SUMPRODUCT((BXL!$AB$4:'BXL'!$AB$103=A47)*BXL!$AF$4:$AF$103)+SUMPRODUCT((BXL!$AU$4:'BXL'!$AU$103=A47)*BXL!$AV$4:$AV$103)</f>
        <v>0</v>
      </c>
      <c r="E47" s="136" cm="1">
        <f t="array" ref="E47">SUMPRODUCT((BXL!$AA$4:'BXL'!$AA$103=A47)*BXL!$AG$4:$AG$103)+SUMPRODUCT((BXL!$AB$4:'BXL'!$AB$103=A47)*BXL!$AG$4:$AG$103)+SUMPRODUCT((BXL!$AU$4:'BXL'!$AU$103=A47)*BXL!$AW$4:$AW$103)</f>
        <v>0</v>
      </c>
      <c r="F47" s="136" cm="1">
        <f t="array" ref="F47">SUMPRODUCT((BXL!$AA$4:'BXL'!$AA$103=A47)*BXL!$AH$4:$AH$103)+SUMPRODUCT((BXL!$AB$4:'BXL'!$AB$103=A47)*BXL!$AH$4:$AH$103)+SUMPRODUCT((BXL!$AU$4:'BXL'!$AU$103=A47)*BXL!$AZ$4:$AZ$103)</f>
        <v>0</v>
      </c>
      <c r="G47" s="136" cm="1">
        <f t="array" ref="G47">SUMPRODUCT((BXL!$AA$4:'BXL'!$AA$103=A47)*BXL!$AI$4:$AI$103)+SUMPRODUCT((BXL!$AB$4:'BXL'!$AB$103=A47)*BXL!$AI$4:$AI$103)+SUMPRODUCT((BXL!$AU$4:'BXL'!$AU$103=A47)*BXL!$BA$4:$BA$103)</f>
        <v>0</v>
      </c>
      <c r="H47" s="115"/>
      <c r="I47" s="139">
        <f t="shared" si="4"/>
        <v>0</v>
      </c>
      <c r="J47" s="136">
        <f t="shared" si="5"/>
        <v>0</v>
      </c>
      <c r="K47" s="136">
        <f t="shared" si="5"/>
        <v>0</v>
      </c>
      <c r="L47" s="136">
        <f t="shared" si="5"/>
        <v>0</v>
      </c>
      <c r="M47" s="136">
        <f t="shared" si="5"/>
        <v>0</v>
      </c>
      <c r="N47" s="115"/>
      <c r="O47" s="131"/>
      <c r="P47" s="131"/>
      <c r="Q47" s="131"/>
      <c r="R47" s="115"/>
      <c r="S47" s="131"/>
      <c r="T47" s="131"/>
      <c r="U47" s="131"/>
      <c r="V47" s="115"/>
      <c r="W47" s="128"/>
      <c r="X47" s="128"/>
      <c r="Y47" s="128"/>
      <c r="Z47" s="126"/>
      <c r="AA47" s="126"/>
      <c r="AB47" s="126"/>
      <c r="AC47" s="115"/>
      <c r="AD47" s="128"/>
      <c r="AE47" s="128"/>
      <c r="AF47" s="128"/>
      <c r="AG47" s="126"/>
      <c r="AH47" s="126"/>
      <c r="AI47" s="126"/>
      <c r="AJ47" s="115"/>
      <c r="AK47" s="131"/>
      <c r="AL47" s="131"/>
      <c r="AM47" s="131"/>
      <c r="AN47" s="115"/>
      <c r="AO47" s="131"/>
      <c r="AP47" s="131"/>
      <c r="AQ47" s="131"/>
      <c r="AR47" s="115"/>
      <c r="AS47" s="126"/>
      <c r="AT47" s="126"/>
      <c r="AU47" s="126"/>
      <c r="AV47" s="115"/>
      <c r="AW47" s="126"/>
      <c r="AX47" s="126"/>
      <c r="AY47" s="126"/>
      <c r="AZ47" s="115"/>
    </row>
    <row r="48" spans="1:52" x14ac:dyDescent="0.25">
      <c r="A48" s="94">
        <v>1993</v>
      </c>
      <c r="B48" s="139" cm="1">
        <f t="array" ref="B48">SUMPRODUCT((BXL!$AA$4:'BXL'!$AA$103=A48)*BXL!$AD$4:$AD$103)+SUMPRODUCT((BXL!$AB$4:'BXL'!$AB$103=A48)*BXL!$AD$4:$AD$103)+SUMPRODUCT((BXL!$AU$4:'BXL'!$AU$103=A48)*BXL!$AX$4:$AX$103)</f>
        <v>0</v>
      </c>
      <c r="C48" s="139" cm="1">
        <f t="array" ref="C48">SUMPRODUCT((BXL!$AA$4:'BXL'!$AA$103=A48)*BXL!$AE$4:$AE$103)+SUMPRODUCT((BXL!$AB$4:'BXL'!$AB$103=A48)*BXL!$AE$4:$AE$103)+SUMPRODUCT((BXL!$AU$4:'BXL'!$AU$103=A48)*BXL!$AY$4:$AY$103)</f>
        <v>0</v>
      </c>
      <c r="D48" s="136" cm="1">
        <f t="array" ref="D48">SUMPRODUCT((BXL!$AA$4:'BXL'!$AA$103=A48)*BXL!$AF$4:$AF$103)+SUMPRODUCT((BXL!$AB$4:'BXL'!$AB$103=A48)*BXL!$AF$4:$AF$103)+SUMPRODUCT((BXL!$AU$4:'BXL'!$AU$103=A48)*BXL!$AV$4:$AV$103)</f>
        <v>0</v>
      </c>
      <c r="E48" s="136" cm="1">
        <f t="array" ref="E48">SUMPRODUCT((BXL!$AA$4:'BXL'!$AA$103=A48)*BXL!$AG$4:$AG$103)+SUMPRODUCT((BXL!$AB$4:'BXL'!$AB$103=A48)*BXL!$AG$4:$AG$103)+SUMPRODUCT((BXL!$AU$4:'BXL'!$AU$103=A48)*BXL!$AW$4:$AW$103)</f>
        <v>0</v>
      </c>
      <c r="F48" s="136" cm="1">
        <f t="array" ref="F48">SUMPRODUCT((BXL!$AA$4:'BXL'!$AA$103=A48)*BXL!$AH$4:$AH$103)+SUMPRODUCT((BXL!$AB$4:'BXL'!$AB$103=A48)*BXL!$AH$4:$AH$103)+SUMPRODUCT((BXL!$AU$4:'BXL'!$AU$103=A48)*BXL!$AZ$4:$AZ$103)</f>
        <v>0</v>
      </c>
      <c r="G48" s="136" cm="1">
        <f t="array" ref="G48">SUMPRODUCT((BXL!$AA$4:'BXL'!$AA$103=A48)*BXL!$AI$4:$AI$103)+SUMPRODUCT((BXL!$AB$4:'BXL'!$AB$103=A48)*BXL!$AI$4:$AI$103)+SUMPRODUCT((BXL!$AU$4:'BXL'!$AU$103=A48)*BXL!$BA$4:$BA$103)</f>
        <v>0</v>
      </c>
      <c r="H48" s="115"/>
      <c r="I48" s="139">
        <f t="shared" si="4"/>
        <v>0</v>
      </c>
      <c r="J48" s="136">
        <f t="shared" si="5"/>
        <v>0</v>
      </c>
      <c r="K48" s="136">
        <f t="shared" si="5"/>
        <v>0</v>
      </c>
      <c r="L48" s="136">
        <f t="shared" si="5"/>
        <v>0</v>
      </c>
      <c r="M48" s="136">
        <f t="shared" si="5"/>
        <v>0</v>
      </c>
      <c r="N48" s="115"/>
      <c r="O48" s="131"/>
      <c r="P48" s="131"/>
      <c r="Q48" s="131"/>
      <c r="R48" s="115"/>
      <c r="S48" s="131"/>
      <c r="T48" s="131"/>
      <c r="U48" s="131"/>
      <c r="V48" s="115"/>
      <c r="W48" s="128"/>
      <c r="X48" s="128"/>
      <c r="Y48" s="128"/>
      <c r="Z48" s="126"/>
      <c r="AA48" s="126"/>
      <c r="AB48" s="126"/>
      <c r="AC48" s="115"/>
      <c r="AD48" s="128"/>
      <c r="AE48" s="128"/>
      <c r="AF48" s="128"/>
      <c r="AG48" s="126"/>
      <c r="AH48" s="126"/>
      <c r="AI48" s="126"/>
      <c r="AJ48" s="115"/>
      <c r="AK48" s="131"/>
      <c r="AL48" s="131"/>
      <c r="AM48" s="131"/>
      <c r="AN48" s="115"/>
      <c r="AO48" s="131"/>
      <c r="AP48" s="131"/>
      <c r="AQ48" s="131"/>
      <c r="AR48" s="115"/>
      <c r="AS48" s="126"/>
      <c r="AT48" s="126"/>
      <c r="AU48" s="126"/>
      <c r="AV48" s="115"/>
      <c r="AW48" s="126"/>
      <c r="AX48" s="126"/>
      <c r="AY48" s="126"/>
      <c r="AZ48" s="115"/>
    </row>
    <row r="49" spans="1:52" x14ac:dyDescent="0.25">
      <c r="A49" s="94">
        <v>1994</v>
      </c>
      <c r="B49" s="139" cm="1">
        <f t="array" ref="B49">SUMPRODUCT((BXL!$AA$4:'BXL'!$AA$103=A49)*BXL!$AD$4:$AD$103)+SUMPRODUCT((BXL!$AB$4:'BXL'!$AB$103=A49)*BXL!$AD$4:$AD$103)+SUMPRODUCT((BXL!$AU$4:'BXL'!$AU$103=A49)*BXL!$AX$4:$AX$103)</f>
        <v>0</v>
      </c>
      <c r="C49" s="139" cm="1">
        <f t="array" ref="C49">SUMPRODUCT((BXL!$AA$4:'BXL'!$AA$103=A49)*BXL!$AE$4:$AE$103)+SUMPRODUCT((BXL!$AB$4:'BXL'!$AB$103=A49)*BXL!$AE$4:$AE$103)+SUMPRODUCT((BXL!$AU$4:'BXL'!$AU$103=A49)*BXL!$AY$4:$AY$103)</f>
        <v>0</v>
      </c>
      <c r="D49" s="136" cm="1">
        <f t="array" ref="D49">SUMPRODUCT((BXL!$AA$4:'BXL'!$AA$103=A49)*BXL!$AF$4:$AF$103)+SUMPRODUCT((BXL!$AB$4:'BXL'!$AB$103=A49)*BXL!$AF$4:$AF$103)+SUMPRODUCT((BXL!$AU$4:'BXL'!$AU$103=A49)*BXL!$AV$4:$AV$103)</f>
        <v>0</v>
      </c>
      <c r="E49" s="136" cm="1">
        <f t="array" ref="E49">SUMPRODUCT((BXL!$AA$4:'BXL'!$AA$103=A49)*BXL!$AG$4:$AG$103)+SUMPRODUCT((BXL!$AB$4:'BXL'!$AB$103=A49)*BXL!$AG$4:$AG$103)+SUMPRODUCT((BXL!$AU$4:'BXL'!$AU$103=A49)*BXL!$AW$4:$AW$103)</f>
        <v>0</v>
      </c>
      <c r="F49" s="136" cm="1">
        <f t="array" ref="F49">SUMPRODUCT((BXL!$AA$4:'BXL'!$AA$103=A49)*BXL!$AH$4:$AH$103)+SUMPRODUCT((BXL!$AB$4:'BXL'!$AB$103=A49)*BXL!$AH$4:$AH$103)+SUMPRODUCT((BXL!$AU$4:'BXL'!$AU$103=A49)*BXL!$AZ$4:$AZ$103)</f>
        <v>0</v>
      </c>
      <c r="G49" s="136" cm="1">
        <f t="array" ref="G49">SUMPRODUCT((BXL!$AA$4:'BXL'!$AA$103=A49)*BXL!$AI$4:$AI$103)+SUMPRODUCT((BXL!$AB$4:'BXL'!$AB$103=A49)*BXL!$AI$4:$AI$103)+SUMPRODUCT((BXL!$AU$4:'BXL'!$AU$103=A49)*BXL!$BA$4:$BA$103)</f>
        <v>0</v>
      </c>
      <c r="H49" s="115"/>
      <c r="I49" s="139">
        <f t="shared" si="4"/>
        <v>0</v>
      </c>
      <c r="J49" s="136">
        <f t="shared" si="5"/>
        <v>0</v>
      </c>
      <c r="K49" s="136">
        <f t="shared" si="5"/>
        <v>0</v>
      </c>
      <c r="L49" s="136">
        <f t="shared" si="5"/>
        <v>0</v>
      </c>
      <c r="M49" s="136">
        <f t="shared" si="5"/>
        <v>0</v>
      </c>
      <c r="N49" s="115"/>
      <c r="O49" s="131"/>
      <c r="P49" s="131"/>
      <c r="Q49" s="131"/>
      <c r="R49" s="115"/>
      <c r="S49" s="131"/>
      <c r="T49" s="131"/>
      <c r="U49" s="131"/>
      <c r="V49" s="115"/>
      <c r="W49" s="128"/>
      <c r="X49" s="128"/>
      <c r="Y49" s="128"/>
      <c r="Z49" s="126"/>
      <c r="AA49" s="126"/>
      <c r="AB49" s="126"/>
      <c r="AC49" s="115"/>
      <c r="AD49" s="128"/>
      <c r="AE49" s="128"/>
      <c r="AF49" s="128"/>
      <c r="AG49" s="126"/>
      <c r="AH49" s="126"/>
      <c r="AI49" s="126"/>
      <c r="AJ49" s="115"/>
      <c r="AK49" s="131"/>
      <c r="AL49" s="131"/>
      <c r="AM49" s="131"/>
      <c r="AN49" s="115"/>
      <c r="AO49" s="131"/>
      <c r="AP49" s="131"/>
      <c r="AQ49" s="131"/>
      <c r="AR49" s="115"/>
      <c r="AS49" s="126"/>
      <c r="AT49" s="126"/>
      <c r="AU49" s="126"/>
      <c r="AV49" s="115"/>
      <c r="AW49" s="126"/>
      <c r="AX49" s="126"/>
      <c r="AY49" s="126"/>
      <c r="AZ49" s="115"/>
    </row>
    <row r="50" spans="1:52" x14ac:dyDescent="0.25">
      <c r="A50" s="94">
        <v>1995</v>
      </c>
      <c r="B50" s="139" cm="1">
        <f t="array" ref="B50">SUMPRODUCT((BXL!$AA$4:'BXL'!$AA$103=A50)*BXL!$AD$4:$AD$103)+SUMPRODUCT((BXL!$AB$4:'BXL'!$AB$103=A50)*BXL!$AD$4:$AD$103)+SUMPRODUCT((BXL!$AU$4:'BXL'!$AU$103=A50)*BXL!$AX$4:$AX$103)</f>
        <v>0</v>
      </c>
      <c r="C50" s="139" cm="1">
        <f t="array" ref="C50">SUMPRODUCT((BXL!$AA$4:'BXL'!$AA$103=A50)*BXL!$AE$4:$AE$103)+SUMPRODUCT((BXL!$AB$4:'BXL'!$AB$103=A50)*BXL!$AE$4:$AE$103)+SUMPRODUCT((BXL!$AU$4:'BXL'!$AU$103=A50)*BXL!$AY$4:$AY$103)</f>
        <v>0</v>
      </c>
      <c r="D50" s="136" cm="1">
        <f t="array" ref="D50">SUMPRODUCT((BXL!$AA$4:'BXL'!$AA$103=A50)*BXL!$AF$4:$AF$103)+SUMPRODUCT((BXL!$AB$4:'BXL'!$AB$103=A50)*BXL!$AF$4:$AF$103)+SUMPRODUCT((BXL!$AU$4:'BXL'!$AU$103=A50)*BXL!$AV$4:$AV$103)</f>
        <v>0</v>
      </c>
      <c r="E50" s="136" cm="1">
        <f t="array" ref="E50">SUMPRODUCT((BXL!$AA$4:'BXL'!$AA$103=A50)*BXL!$AG$4:$AG$103)+SUMPRODUCT((BXL!$AB$4:'BXL'!$AB$103=A50)*BXL!$AG$4:$AG$103)+SUMPRODUCT((BXL!$AU$4:'BXL'!$AU$103=A50)*BXL!$AW$4:$AW$103)</f>
        <v>0</v>
      </c>
      <c r="F50" s="136" cm="1">
        <f t="array" ref="F50">SUMPRODUCT((BXL!$AA$4:'BXL'!$AA$103=A50)*BXL!$AH$4:$AH$103)+SUMPRODUCT((BXL!$AB$4:'BXL'!$AB$103=A50)*BXL!$AH$4:$AH$103)+SUMPRODUCT((BXL!$AU$4:'BXL'!$AU$103=A50)*BXL!$AZ$4:$AZ$103)</f>
        <v>0</v>
      </c>
      <c r="G50" s="136" cm="1">
        <f t="array" ref="G50">SUMPRODUCT((BXL!$AA$4:'BXL'!$AA$103=A50)*BXL!$AI$4:$AI$103)+SUMPRODUCT((BXL!$AB$4:'BXL'!$AB$103=A50)*BXL!$AI$4:$AI$103)+SUMPRODUCT((BXL!$AU$4:'BXL'!$AU$103=A50)*BXL!$BA$4:$BA$103)</f>
        <v>0</v>
      </c>
      <c r="H50" s="115"/>
      <c r="I50" s="139">
        <f t="shared" si="4"/>
        <v>0</v>
      </c>
      <c r="J50" s="136">
        <f t="shared" si="5"/>
        <v>0</v>
      </c>
      <c r="K50" s="136">
        <f t="shared" si="5"/>
        <v>0</v>
      </c>
      <c r="L50" s="136">
        <f t="shared" si="5"/>
        <v>0</v>
      </c>
      <c r="M50" s="136">
        <f t="shared" si="5"/>
        <v>0</v>
      </c>
      <c r="N50" s="115"/>
      <c r="O50" s="131"/>
      <c r="P50" s="131"/>
      <c r="Q50" s="131"/>
      <c r="R50" s="115"/>
      <c r="S50" s="131"/>
      <c r="T50" s="131"/>
      <c r="U50" s="131"/>
      <c r="V50" s="115"/>
      <c r="W50" s="128"/>
      <c r="X50" s="128"/>
      <c r="Y50" s="128"/>
      <c r="Z50" s="126"/>
      <c r="AA50" s="126"/>
      <c r="AB50" s="126"/>
      <c r="AC50" s="115"/>
      <c r="AD50" s="128"/>
      <c r="AE50" s="128"/>
      <c r="AF50" s="128"/>
      <c r="AG50" s="126"/>
      <c r="AH50" s="126"/>
      <c r="AI50" s="126"/>
      <c r="AJ50" s="115"/>
      <c r="AK50" s="131"/>
      <c r="AL50" s="131"/>
      <c r="AM50" s="131"/>
      <c r="AN50" s="115"/>
      <c r="AO50" s="131"/>
      <c r="AP50" s="131"/>
      <c r="AQ50" s="131"/>
      <c r="AR50" s="115"/>
      <c r="AS50" s="126"/>
      <c r="AT50" s="126"/>
      <c r="AU50" s="126"/>
      <c r="AV50" s="115"/>
      <c r="AW50" s="126"/>
      <c r="AX50" s="126"/>
      <c r="AY50" s="126"/>
      <c r="AZ50" s="115"/>
    </row>
    <row r="51" spans="1:52" x14ac:dyDescent="0.25">
      <c r="A51" s="94">
        <v>1996</v>
      </c>
      <c r="B51" s="139" cm="1">
        <f t="array" ref="B51">SUMPRODUCT((BXL!$AA$4:'BXL'!$AA$103=A51)*BXL!$AD$4:$AD$103)+SUMPRODUCT((BXL!$AB$4:'BXL'!$AB$103=A51)*BXL!$AD$4:$AD$103)+SUMPRODUCT((BXL!$AU$4:'BXL'!$AU$103=A51)*BXL!$AX$4:$AX$103)</f>
        <v>0</v>
      </c>
      <c r="C51" s="139" cm="1">
        <f t="array" ref="C51">SUMPRODUCT((BXL!$AA$4:'BXL'!$AA$103=A51)*BXL!$AE$4:$AE$103)+SUMPRODUCT((BXL!$AB$4:'BXL'!$AB$103=A51)*BXL!$AE$4:$AE$103)+SUMPRODUCT((BXL!$AU$4:'BXL'!$AU$103=A51)*BXL!$AY$4:$AY$103)</f>
        <v>0</v>
      </c>
      <c r="D51" s="136" cm="1">
        <f t="array" ref="D51">SUMPRODUCT((BXL!$AA$4:'BXL'!$AA$103=A51)*BXL!$AF$4:$AF$103)+SUMPRODUCT((BXL!$AB$4:'BXL'!$AB$103=A51)*BXL!$AF$4:$AF$103)+SUMPRODUCT((BXL!$AU$4:'BXL'!$AU$103=A51)*BXL!$AV$4:$AV$103)</f>
        <v>0</v>
      </c>
      <c r="E51" s="136" cm="1">
        <f t="array" ref="E51">SUMPRODUCT((BXL!$AA$4:'BXL'!$AA$103=A51)*BXL!$AG$4:$AG$103)+SUMPRODUCT((BXL!$AB$4:'BXL'!$AB$103=A51)*BXL!$AG$4:$AG$103)+SUMPRODUCT((BXL!$AU$4:'BXL'!$AU$103=A51)*BXL!$AW$4:$AW$103)</f>
        <v>0</v>
      </c>
      <c r="F51" s="136" cm="1">
        <f t="array" ref="F51">SUMPRODUCT((BXL!$AA$4:'BXL'!$AA$103=A51)*BXL!$AH$4:$AH$103)+SUMPRODUCT((BXL!$AB$4:'BXL'!$AB$103=A51)*BXL!$AH$4:$AH$103)+SUMPRODUCT((BXL!$AU$4:'BXL'!$AU$103=A51)*BXL!$AZ$4:$AZ$103)</f>
        <v>0</v>
      </c>
      <c r="G51" s="136" cm="1">
        <f t="array" ref="G51">SUMPRODUCT((BXL!$AA$4:'BXL'!$AA$103=A51)*BXL!$AI$4:$AI$103)+SUMPRODUCT((BXL!$AB$4:'BXL'!$AB$103=A51)*BXL!$AI$4:$AI$103)+SUMPRODUCT((BXL!$AU$4:'BXL'!$AU$103=A51)*BXL!$BA$4:$BA$103)</f>
        <v>0</v>
      </c>
      <c r="H51" s="115"/>
      <c r="I51" s="139">
        <f t="shared" si="4"/>
        <v>0</v>
      </c>
      <c r="J51" s="136">
        <f t="shared" si="5"/>
        <v>0</v>
      </c>
      <c r="K51" s="136">
        <f t="shared" si="5"/>
        <v>0</v>
      </c>
      <c r="L51" s="136">
        <f t="shared" si="5"/>
        <v>0</v>
      </c>
      <c r="M51" s="136">
        <f t="shared" si="5"/>
        <v>0</v>
      </c>
      <c r="N51" s="115"/>
      <c r="O51" s="131"/>
      <c r="P51" s="131"/>
      <c r="Q51" s="131"/>
      <c r="R51" s="115"/>
      <c r="S51" s="131"/>
      <c r="T51" s="131"/>
      <c r="U51" s="131"/>
      <c r="V51" s="115"/>
      <c r="W51" s="128"/>
      <c r="X51" s="128"/>
      <c r="Y51" s="128"/>
      <c r="Z51" s="126"/>
      <c r="AA51" s="126"/>
      <c r="AB51" s="126"/>
      <c r="AC51" s="115"/>
      <c r="AD51" s="128"/>
      <c r="AE51" s="128"/>
      <c r="AF51" s="128"/>
      <c r="AG51" s="126"/>
      <c r="AH51" s="126"/>
      <c r="AI51" s="126"/>
      <c r="AJ51" s="115"/>
      <c r="AK51" s="131"/>
      <c r="AL51" s="131"/>
      <c r="AM51" s="131"/>
      <c r="AN51" s="115"/>
      <c r="AO51" s="131"/>
      <c r="AP51" s="131"/>
      <c r="AQ51" s="131"/>
      <c r="AR51" s="115"/>
      <c r="AS51" s="126"/>
      <c r="AT51" s="126"/>
      <c r="AU51" s="126"/>
      <c r="AV51" s="115"/>
      <c r="AW51" s="126"/>
      <c r="AX51" s="126"/>
      <c r="AY51" s="126"/>
      <c r="AZ51" s="115"/>
    </row>
    <row r="52" spans="1:52" x14ac:dyDescent="0.25">
      <c r="A52" s="94">
        <v>1997</v>
      </c>
      <c r="B52" s="139" cm="1">
        <f t="array" ref="B52">SUMPRODUCT((BXL!$AA$4:'BXL'!$AA$103=A52)*BXL!$AD$4:$AD$103)+SUMPRODUCT((BXL!$AB$4:'BXL'!$AB$103=A52)*BXL!$AD$4:$AD$103)+SUMPRODUCT((BXL!$AU$4:'BXL'!$AU$103=A52)*BXL!$AX$4:$AX$103)</f>
        <v>0</v>
      </c>
      <c r="C52" s="139" cm="1">
        <f t="array" ref="C52">SUMPRODUCT((BXL!$AA$4:'BXL'!$AA$103=A52)*BXL!$AE$4:$AE$103)+SUMPRODUCT((BXL!$AB$4:'BXL'!$AB$103=A52)*BXL!$AE$4:$AE$103)+SUMPRODUCT((BXL!$AU$4:'BXL'!$AU$103=A52)*BXL!$AY$4:$AY$103)</f>
        <v>0</v>
      </c>
      <c r="D52" s="136" cm="1">
        <f t="array" ref="D52">SUMPRODUCT((BXL!$AA$4:'BXL'!$AA$103=A52)*BXL!$AF$4:$AF$103)+SUMPRODUCT((BXL!$AB$4:'BXL'!$AB$103=A52)*BXL!$AF$4:$AF$103)+SUMPRODUCT((BXL!$AU$4:'BXL'!$AU$103=A52)*BXL!$AV$4:$AV$103)</f>
        <v>0</v>
      </c>
      <c r="E52" s="136" cm="1">
        <f t="array" ref="E52">SUMPRODUCT((BXL!$AA$4:'BXL'!$AA$103=A52)*BXL!$AG$4:$AG$103)+SUMPRODUCT((BXL!$AB$4:'BXL'!$AB$103=A52)*BXL!$AG$4:$AG$103)+SUMPRODUCT((BXL!$AU$4:'BXL'!$AU$103=A52)*BXL!$AW$4:$AW$103)</f>
        <v>0</v>
      </c>
      <c r="F52" s="136" cm="1">
        <f t="array" ref="F52">SUMPRODUCT((BXL!$AA$4:'BXL'!$AA$103=A52)*BXL!$AH$4:$AH$103)+SUMPRODUCT((BXL!$AB$4:'BXL'!$AB$103=A52)*BXL!$AH$4:$AH$103)+SUMPRODUCT((BXL!$AU$4:'BXL'!$AU$103=A52)*BXL!$AZ$4:$AZ$103)</f>
        <v>0</v>
      </c>
      <c r="G52" s="136" cm="1">
        <f t="array" ref="G52">SUMPRODUCT((BXL!$AA$4:'BXL'!$AA$103=A52)*BXL!$AI$4:$AI$103)+SUMPRODUCT((BXL!$AB$4:'BXL'!$AB$103=A52)*BXL!$AI$4:$AI$103)+SUMPRODUCT((BXL!$AU$4:'BXL'!$AU$103=A52)*BXL!$BA$4:$BA$103)</f>
        <v>0</v>
      </c>
      <c r="H52" s="115"/>
      <c r="I52" s="139">
        <f t="shared" si="4"/>
        <v>0</v>
      </c>
      <c r="J52" s="136">
        <f t="shared" si="5"/>
        <v>0</v>
      </c>
      <c r="K52" s="136">
        <f t="shared" si="5"/>
        <v>0</v>
      </c>
      <c r="L52" s="136">
        <f t="shared" si="5"/>
        <v>0</v>
      </c>
      <c r="M52" s="136">
        <f t="shared" si="5"/>
        <v>0</v>
      </c>
      <c r="N52" s="115"/>
      <c r="O52" s="131"/>
      <c r="P52" s="131"/>
      <c r="Q52" s="131"/>
      <c r="R52" s="115"/>
      <c r="S52" s="131"/>
      <c r="T52" s="131"/>
      <c r="U52" s="131"/>
      <c r="V52" s="115"/>
      <c r="W52" s="128"/>
      <c r="X52" s="128"/>
      <c r="Y52" s="128"/>
      <c r="Z52" s="126"/>
      <c r="AA52" s="126"/>
      <c r="AB52" s="126"/>
      <c r="AC52" s="115"/>
      <c r="AD52" s="128"/>
      <c r="AE52" s="128"/>
      <c r="AF52" s="128"/>
      <c r="AG52" s="126"/>
      <c r="AH52" s="126"/>
      <c r="AI52" s="126"/>
      <c r="AJ52" s="115"/>
      <c r="AK52" s="131"/>
      <c r="AL52" s="131"/>
      <c r="AM52" s="131"/>
      <c r="AN52" s="115"/>
      <c r="AO52" s="131"/>
      <c r="AP52" s="131"/>
      <c r="AQ52" s="131"/>
      <c r="AR52" s="115"/>
      <c r="AS52" s="126"/>
      <c r="AT52" s="126"/>
      <c r="AU52" s="126"/>
      <c r="AV52" s="115"/>
      <c r="AW52" s="126"/>
      <c r="AX52" s="126"/>
      <c r="AY52" s="126"/>
      <c r="AZ52" s="115"/>
    </row>
    <row r="53" spans="1:52" x14ac:dyDescent="0.25">
      <c r="A53" s="94">
        <v>1998</v>
      </c>
      <c r="B53" s="139" cm="1">
        <f t="array" ref="B53">SUMPRODUCT((BXL!$AA$4:'BXL'!$AA$103=A53)*BXL!$AD$4:$AD$103)+SUMPRODUCT((BXL!$AB$4:'BXL'!$AB$103=A53)*BXL!$AD$4:$AD$103)+SUMPRODUCT((BXL!$AU$4:'BXL'!$AU$103=A53)*BXL!$AX$4:$AX$103)</f>
        <v>0</v>
      </c>
      <c r="C53" s="139" cm="1">
        <f t="array" ref="C53">SUMPRODUCT((BXL!$AA$4:'BXL'!$AA$103=A53)*BXL!$AE$4:$AE$103)+SUMPRODUCT((BXL!$AB$4:'BXL'!$AB$103=A53)*BXL!$AE$4:$AE$103)+SUMPRODUCT((BXL!$AU$4:'BXL'!$AU$103=A53)*BXL!$AY$4:$AY$103)</f>
        <v>0</v>
      </c>
      <c r="D53" s="136" cm="1">
        <f t="array" ref="D53">SUMPRODUCT((BXL!$AA$4:'BXL'!$AA$103=A53)*BXL!$AF$4:$AF$103)+SUMPRODUCT((BXL!$AB$4:'BXL'!$AB$103=A53)*BXL!$AF$4:$AF$103)+SUMPRODUCT((BXL!$AU$4:'BXL'!$AU$103=A53)*BXL!$AV$4:$AV$103)</f>
        <v>0</v>
      </c>
      <c r="E53" s="136" cm="1">
        <f t="array" ref="E53">SUMPRODUCT((BXL!$AA$4:'BXL'!$AA$103=A53)*BXL!$AG$4:$AG$103)+SUMPRODUCT((BXL!$AB$4:'BXL'!$AB$103=A53)*BXL!$AG$4:$AG$103)+SUMPRODUCT((BXL!$AU$4:'BXL'!$AU$103=A53)*BXL!$AW$4:$AW$103)</f>
        <v>0</v>
      </c>
      <c r="F53" s="136" cm="1">
        <f t="array" ref="F53">SUMPRODUCT((BXL!$AA$4:'BXL'!$AA$103=A53)*BXL!$AH$4:$AH$103)+SUMPRODUCT((BXL!$AB$4:'BXL'!$AB$103=A53)*BXL!$AH$4:$AH$103)+SUMPRODUCT((BXL!$AU$4:'BXL'!$AU$103=A53)*BXL!$AZ$4:$AZ$103)</f>
        <v>0</v>
      </c>
      <c r="G53" s="136" cm="1">
        <f t="array" ref="G53">SUMPRODUCT((BXL!$AA$4:'BXL'!$AA$103=A53)*BXL!$AI$4:$AI$103)+SUMPRODUCT((BXL!$AB$4:'BXL'!$AB$103=A53)*BXL!$AI$4:$AI$103)+SUMPRODUCT((BXL!$AU$4:'BXL'!$AU$103=A53)*BXL!$BA$4:$BA$103)</f>
        <v>0</v>
      </c>
      <c r="H53" s="115"/>
      <c r="I53" s="139">
        <f t="shared" si="4"/>
        <v>0</v>
      </c>
      <c r="J53" s="136">
        <f t="shared" si="5"/>
        <v>0</v>
      </c>
      <c r="K53" s="136">
        <f t="shared" si="5"/>
        <v>0</v>
      </c>
      <c r="L53" s="136">
        <f t="shared" si="5"/>
        <v>0</v>
      </c>
      <c r="M53" s="136">
        <f t="shared" si="5"/>
        <v>0</v>
      </c>
      <c r="N53" s="115"/>
      <c r="O53" s="131"/>
      <c r="P53" s="131"/>
      <c r="Q53" s="131"/>
      <c r="R53" s="115"/>
      <c r="S53" s="131"/>
      <c r="T53" s="131"/>
      <c r="U53" s="131"/>
      <c r="V53" s="115"/>
      <c r="W53" s="128"/>
      <c r="X53" s="128"/>
      <c r="Y53" s="128"/>
      <c r="Z53" s="126"/>
      <c r="AA53" s="126"/>
      <c r="AB53" s="126"/>
      <c r="AC53" s="115"/>
      <c r="AD53" s="128"/>
      <c r="AE53" s="128"/>
      <c r="AF53" s="128"/>
      <c r="AG53" s="126"/>
      <c r="AH53" s="126"/>
      <c r="AI53" s="126"/>
      <c r="AJ53" s="115"/>
      <c r="AK53" s="131"/>
      <c r="AL53" s="131"/>
      <c r="AM53" s="131"/>
      <c r="AN53" s="115"/>
      <c r="AO53" s="131"/>
      <c r="AP53" s="131"/>
      <c r="AQ53" s="131"/>
      <c r="AR53" s="115"/>
      <c r="AS53" s="126"/>
      <c r="AT53" s="126"/>
      <c r="AU53" s="126"/>
      <c r="AV53" s="115"/>
      <c r="AW53" s="126"/>
      <c r="AX53" s="126"/>
      <c r="AY53" s="126"/>
      <c r="AZ53" s="115"/>
    </row>
    <row r="54" spans="1:52" x14ac:dyDescent="0.25">
      <c r="A54" s="94">
        <v>1999</v>
      </c>
      <c r="B54" s="139" cm="1">
        <f t="array" ref="B54">SUMPRODUCT((BXL!$AA$4:'BXL'!$AA$103=A54)*BXL!$AD$4:$AD$103)+SUMPRODUCT((BXL!$AB$4:'BXL'!$AB$103=A54)*BXL!$AD$4:$AD$103)+SUMPRODUCT((BXL!$AU$4:'BXL'!$AU$103=A54)*BXL!$AX$4:$AX$103)</f>
        <v>0</v>
      </c>
      <c r="C54" s="139" cm="1">
        <f t="array" ref="C54">SUMPRODUCT((BXL!$AA$4:'BXL'!$AA$103=A54)*BXL!$AE$4:$AE$103)+SUMPRODUCT((BXL!$AB$4:'BXL'!$AB$103=A54)*BXL!$AE$4:$AE$103)+SUMPRODUCT((BXL!$AU$4:'BXL'!$AU$103=A54)*BXL!$AY$4:$AY$103)</f>
        <v>0</v>
      </c>
      <c r="D54" s="136" cm="1">
        <f t="array" ref="D54">SUMPRODUCT((BXL!$AA$4:'BXL'!$AA$103=A54)*BXL!$AF$4:$AF$103)+SUMPRODUCT((BXL!$AB$4:'BXL'!$AB$103=A54)*BXL!$AF$4:$AF$103)+SUMPRODUCT((BXL!$AU$4:'BXL'!$AU$103=A54)*BXL!$AV$4:$AV$103)</f>
        <v>0</v>
      </c>
      <c r="E54" s="136" cm="1">
        <f t="array" ref="E54">SUMPRODUCT((BXL!$AA$4:'BXL'!$AA$103=A54)*BXL!$AG$4:$AG$103)+SUMPRODUCT((BXL!$AB$4:'BXL'!$AB$103=A54)*BXL!$AG$4:$AG$103)+SUMPRODUCT((BXL!$AU$4:'BXL'!$AU$103=A54)*BXL!$AW$4:$AW$103)</f>
        <v>0</v>
      </c>
      <c r="F54" s="136" cm="1">
        <f t="array" ref="F54">SUMPRODUCT((BXL!$AA$4:'BXL'!$AA$103=A54)*BXL!$AH$4:$AH$103)+SUMPRODUCT((BXL!$AB$4:'BXL'!$AB$103=A54)*BXL!$AH$4:$AH$103)+SUMPRODUCT((BXL!$AU$4:'BXL'!$AU$103=A54)*BXL!$AZ$4:$AZ$103)</f>
        <v>0</v>
      </c>
      <c r="G54" s="136" cm="1">
        <f t="array" ref="G54">SUMPRODUCT((BXL!$AA$4:'BXL'!$AA$103=A54)*BXL!$AI$4:$AI$103)+SUMPRODUCT((BXL!$AB$4:'BXL'!$AB$103=A54)*BXL!$AI$4:$AI$103)+SUMPRODUCT((BXL!$AU$4:'BXL'!$AU$103=A54)*BXL!$BA$4:$BA$103)</f>
        <v>0</v>
      </c>
      <c r="H54" s="115"/>
      <c r="I54" s="139">
        <f t="shared" si="4"/>
        <v>0</v>
      </c>
      <c r="J54" s="136">
        <f t="shared" si="5"/>
        <v>0</v>
      </c>
      <c r="K54" s="136">
        <f t="shared" si="5"/>
        <v>0</v>
      </c>
      <c r="L54" s="136">
        <f t="shared" si="5"/>
        <v>0</v>
      </c>
      <c r="M54" s="136">
        <f t="shared" si="5"/>
        <v>0</v>
      </c>
      <c r="N54" s="115"/>
      <c r="O54" s="131"/>
      <c r="P54" s="131"/>
      <c r="Q54" s="131"/>
      <c r="R54" s="115"/>
      <c r="S54" s="131"/>
      <c r="T54" s="131"/>
      <c r="U54" s="131"/>
      <c r="V54" s="115"/>
      <c r="W54" s="128"/>
      <c r="X54" s="128"/>
      <c r="Y54" s="128"/>
      <c r="Z54" s="126"/>
      <c r="AA54" s="126"/>
      <c r="AB54" s="126"/>
      <c r="AC54" s="115"/>
      <c r="AD54" s="128"/>
      <c r="AE54" s="128"/>
      <c r="AF54" s="128"/>
      <c r="AG54" s="126"/>
      <c r="AH54" s="126"/>
      <c r="AI54" s="126"/>
      <c r="AJ54" s="115"/>
      <c r="AK54" s="131"/>
      <c r="AL54" s="131"/>
      <c r="AM54" s="131"/>
      <c r="AN54" s="115"/>
      <c r="AO54" s="131"/>
      <c r="AP54" s="131"/>
      <c r="AQ54" s="131"/>
      <c r="AR54" s="115"/>
      <c r="AS54" s="126"/>
      <c r="AT54" s="126"/>
      <c r="AU54" s="126"/>
      <c r="AV54" s="115"/>
      <c r="AW54" s="126"/>
      <c r="AX54" s="126"/>
      <c r="AY54" s="126"/>
      <c r="AZ54" s="115"/>
    </row>
    <row r="55" spans="1:52" x14ac:dyDescent="0.25">
      <c r="A55" s="94">
        <v>2000</v>
      </c>
      <c r="B55" s="139" cm="1">
        <f t="array" ref="B55">SUMPRODUCT((BXL!$AA$4:'BXL'!$AA$103=A55)*BXL!$AD$4:$AD$103)+SUMPRODUCT((BXL!$AB$4:'BXL'!$AB$103=A55)*BXL!$AD$4:$AD$103)+SUMPRODUCT((BXL!$AU$4:'BXL'!$AU$103=A55)*BXL!$AX$4:$AX$103)</f>
        <v>0</v>
      </c>
      <c r="C55" s="139" cm="1">
        <f t="array" ref="C55">SUMPRODUCT((BXL!$AA$4:'BXL'!$AA$103=A55)*BXL!$AE$4:$AE$103)+SUMPRODUCT((BXL!$AB$4:'BXL'!$AB$103=A55)*BXL!$AE$4:$AE$103)+SUMPRODUCT((BXL!$AU$4:'BXL'!$AU$103=A55)*BXL!$AY$4:$AY$103)</f>
        <v>0</v>
      </c>
      <c r="D55" s="136" cm="1">
        <f t="array" ref="D55">SUMPRODUCT((BXL!$AA$4:'BXL'!$AA$103=A55)*BXL!$AF$4:$AF$103)+SUMPRODUCT((BXL!$AB$4:'BXL'!$AB$103=A55)*BXL!$AF$4:$AF$103)+SUMPRODUCT((BXL!$AU$4:'BXL'!$AU$103=A55)*BXL!$AV$4:$AV$103)</f>
        <v>0</v>
      </c>
      <c r="E55" s="136" cm="1">
        <f t="array" ref="E55">SUMPRODUCT((BXL!$AA$4:'BXL'!$AA$103=A55)*BXL!$AG$4:$AG$103)+SUMPRODUCT((BXL!$AB$4:'BXL'!$AB$103=A55)*BXL!$AG$4:$AG$103)+SUMPRODUCT((BXL!$AU$4:'BXL'!$AU$103=A55)*BXL!$AW$4:$AW$103)</f>
        <v>0</v>
      </c>
      <c r="F55" s="136" cm="1">
        <f t="array" ref="F55">SUMPRODUCT((BXL!$AA$4:'BXL'!$AA$103=A55)*BXL!$AH$4:$AH$103)+SUMPRODUCT((BXL!$AB$4:'BXL'!$AB$103=A55)*BXL!$AH$4:$AH$103)+SUMPRODUCT((BXL!$AU$4:'BXL'!$AU$103=A55)*BXL!$AZ$4:$AZ$103)</f>
        <v>0</v>
      </c>
      <c r="G55" s="136" cm="1">
        <f t="array" ref="G55">SUMPRODUCT((BXL!$AA$4:'BXL'!$AA$103=A55)*BXL!$AI$4:$AI$103)+SUMPRODUCT((BXL!$AB$4:'BXL'!$AB$103=A55)*BXL!$AI$4:$AI$103)+SUMPRODUCT((BXL!$AU$4:'BXL'!$AU$103=A55)*BXL!$BA$4:$BA$103)</f>
        <v>0</v>
      </c>
      <c r="H55" s="115"/>
      <c r="I55" s="139">
        <f t="shared" si="4"/>
        <v>0</v>
      </c>
      <c r="J55" s="136">
        <f t="shared" ref="J55:M70" si="6">D55+J54</f>
        <v>0</v>
      </c>
      <c r="K55" s="136">
        <f t="shared" si="6"/>
        <v>0</v>
      </c>
      <c r="L55" s="136">
        <f t="shared" si="6"/>
        <v>0</v>
      </c>
      <c r="M55" s="136">
        <f t="shared" si="6"/>
        <v>0</v>
      </c>
      <c r="N55" s="115"/>
      <c r="O55" s="131"/>
      <c r="P55" s="131"/>
      <c r="Q55" s="131"/>
      <c r="R55" s="115"/>
      <c r="S55" s="131"/>
      <c r="T55" s="131"/>
      <c r="U55" s="131"/>
      <c r="V55" s="115"/>
      <c r="W55" s="128"/>
      <c r="X55" s="128"/>
      <c r="Y55" s="128"/>
      <c r="Z55" s="126"/>
      <c r="AA55" s="126"/>
      <c r="AB55" s="126"/>
      <c r="AC55" s="115"/>
      <c r="AD55" s="128"/>
      <c r="AE55" s="128"/>
      <c r="AF55" s="128"/>
      <c r="AG55" s="126"/>
      <c r="AH55" s="126"/>
      <c r="AI55" s="126"/>
      <c r="AJ55" s="115"/>
      <c r="AK55" s="131"/>
      <c r="AL55" s="131"/>
      <c r="AM55" s="131"/>
      <c r="AN55" s="115"/>
      <c r="AO55" s="131"/>
      <c r="AP55" s="131"/>
      <c r="AQ55" s="131"/>
      <c r="AR55" s="115"/>
      <c r="AS55" s="126"/>
      <c r="AT55" s="126"/>
      <c r="AU55" s="126"/>
      <c r="AV55" s="115"/>
      <c r="AW55" s="126"/>
      <c r="AX55" s="126"/>
      <c r="AY55" s="126"/>
      <c r="AZ55" s="115"/>
    </row>
    <row r="56" spans="1:52" x14ac:dyDescent="0.25">
      <c r="A56" s="94">
        <v>2001</v>
      </c>
      <c r="B56" s="139" cm="1">
        <f t="array" ref="B56">SUMPRODUCT((BXL!$AA$4:'BXL'!$AA$103=A56)*BXL!$AD$4:$AD$103)+SUMPRODUCT((BXL!$AB$4:'BXL'!$AB$103=A56)*BXL!$AD$4:$AD$103)+SUMPRODUCT((BXL!$AU$4:'BXL'!$AU$103=A56)*BXL!$AX$4:$AX$103)</f>
        <v>33526</v>
      </c>
      <c r="C56" s="139" cm="1">
        <f t="array" ref="C56">SUMPRODUCT((BXL!$AA$4:'BXL'!$AA$103=A56)*BXL!$AE$4:$AE$103)+SUMPRODUCT((BXL!$AB$4:'BXL'!$AB$103=A56)*BXL!$AE$4:$AE$103)+SUMPRODUCT((BXL!$AU$4:'BXL'!$AU$103=A56)*BXL!$AY$4:$AY$103)</f>
        <v>726.05</v>
      </c>
      <c r="D56" s="136" cm="1">
        <f t="array" ref="D56">SUMPRODUCT((BXL!$AA$4:'BXL'!$AA$103=A56)*BXL!$AF$4:$AF$103)+SUMPRODUCT((BXL!$AB$4:'BXL'!$AB$103=A56)*BXL!$AF$4:$AF$103)+SUMPRODUCT((BXL!$AU$4:'BXL'!$AU$103=A56)*BXL!$AV$4:$AV$103)</f>
        <v>166.05</v>
      </c>
      <c r="E56" s="136" cm="1">
        <f t="array" ref="E56">SUMPRODUCT((BXL!$AA$4:'BXL'!$AA$103=A56)*BXL!$AG$4:$AG$103)+SUMPRODUCT((BXL!$AB$4:'BXL'!$AB$103=A56)*BXL!$AG$4:$AG$103)+SUMPRODUCT((BXL!$AU$4:'BXL'!$AU$103=A56)*BXL!$AW$4:$AW$103)</f>
        <v>560</v>
      </c>
      <c r="F56" s="136" cm="1">
        <f t="array" ref="F56">SUMPRODUCT((BXL!$AA$4:'BXL'!$AA$103=A56)*BXL!$AH$4:$AH$103)+SUMPRODUCT((BXL!$AB$4:'BXL'!$AB$103=A56)*BXL!$AH$4:$AH$103)+SUMPRODUCT((BXL!$AU$4:'BXL'!$AU$103=A56)*BXL!$AZ$4:$AZ$103)</f>
        <v>16.961052631578948</v>
      </c>
      <c r="G56" s="136" cm="1">
        <f t="array" ref="G56">SUMPRODUCT((BXL!$AA$4:'BXL'!$AA$103=A56)*BXL!$AI$4:$AI$103)+SUMPRODUCT((BXL!$AB$4:'BXL'!$AB$103=A56)*BXL!$AI$4:$AI$103)+SUMPRODUCT((BXL!$AU$4:'BXL'!$AU$103=A56)*BXL!$BA$4:$BA$103)</f>
        <v>0</v>
      </c>
      <c r="H56" s="115"/>
      <c r="I56" s="139">
        <f t="shared" si="4"/>
        <v>726.05</v>
      </c>
      <c r="J56" s="136">
        <f t="shared" si="6"/>
        <v>166.05</v>
      </c>
      <c r="K56" s="136">
        <f t="shared" si="6"/>
        <v>560</v>
      </c>
      <c r="L56" s="136">
        <f t="shared" si="6"/>
        <v>16.961052631578948</v>
      </c>
      <c r="M56" s="136">
        <f t="shared" si="6"/>
        <v>0</v>
      </c>
      <c r="N56" s="115"/>
      <c r="O56" s="131"/>
      <c r="P56" s="131"/>
      <c r="Q56" s="131"/>
      <c r="R56" s="115"/>
      <c r="S56" s="131"/>
      <c r="T56" s="131"/>
      <c r="U56" s="131"/>
      <c r="V56" s="115"/>
      <c r="W56" s="128"/>
      <c r="X56" s="128"/>
      <c r="Y56" s="128"/>
      <c r="Z56" s="126"/>
      <c r="AA56" s="126"/>
      <c r="AB56" s="126"/>
      <c r="AC56" s="115"/>
      <c r="AD56" s="128"/>
      <c r="AE56" s="128"/>
      <c r="AF56" s="128"/>
      <c r="AG56" s="126"/>
      <c r="AH56" s="126"/>
      <c r="AI56" s="126"/>
      <c r="AJ56" s="115"/>
      <c r="AK56" s="131"/>
      <c r="AL56" s="131"/>
      <c r="AM56" s="131"/>
      <c r="AN56" s="115"/>
      <c r="AO56" s="131"/>
      <c r="AP56" s="131"/>
      <c r="AQ56" s="131"/>
      <c r="AR56" s="115"/>
      <c r="AS56" s="126"/>
      <c r="AT56" s="126"/>
      <c r="AU56" s="126"/>
      <c r="AV56" s="115"/>
      <c r="AW56" s="126"/>
      <c r="AX56" s="126"/>
      <c r="AY56" s="126"/>
      <c r="AZ56" s="115"/>
    </row>
    <row r="57" spans="1:52" x14ac:dyDescent="0.25">
      <c r="A57" s="94">
        <v>2002</v>
      </c>
      <c r="B57" s="139" cm="1">
        <f t="array" ref="B57">SUMPRODUCT((BXL!$AA$4:'BXL'!$AA$103=A57)*BXL!$AD$4:$AD$103)+SUMPRODUCT((BXL!$AB$4:'BXL'!$AB$103=A57)*BXL!$AD$4:$AD$103)+SUMPRODUCT((BXL!$AU$4:'BXL'!$AU$103=A57)*BXL!$AX$4:$AX$103)</f>
        <v>0</v>
      </c>
      <c r="C57" s="139" cm="1">
        <f t="array" ref="C57">SUMPRODUCT((BXL!$AA$4:'BXL'!$AA$103=A57)*BXL!$AE$4:$AE$103)+SUMPRODUCT((BXL!$AB$4:'BXL'!$AB$103=A57)*BXL!$AE$4:$AE$103)+SUMPRODUCT((BXL!$AU$4:'BXL'!$AU$103=A57)*BXL!$AY$4:$AY$103)</f>
        <v>0</v>
      </c>
      <c r="D57" s="136" cm="1">
        <f t="array" ref="D57">SUMPRODUCT((BXL!$AA$4:'BXL'!$AA$103=A57)*BXL!$AF$4:$AF$103)+SUMPRODUCT((BXL!$AB$4:'BXL'!$AB$103=A57)*BXL!$AF$4:$AF$103)+SUMPRODUCT((BXL!$AU$4:'BXL'!$AU$103=A57)*BXL!$AV$4:$AV$103)</f>
        <v>0</v>
      </c>
      <c r="E57" s="136" cm="1">
        <f t="array" ref="E57">SUMPRODUCT((BXL!$AA$4:'BXL'!$AA$103=A57)*BXL!$AG$4:$AG$103)+SUMPRODUCT((BXL!$AB$4:'BXL'!$AB$103=A57)*BXL!$AG$4:$AG$103)+SUMPRODUCT((BXL!$AU$4:'BXL'!$AU$103=A57)*BXL!$AW$4:$AW$103)</f>
        <v>0</v>
      </c>
      <c r="F57" s="136" cm="1">
        <f t="array" ref="F57">SUMPRODUCT((BXL!$AA$4:'BXL'!$AA$103=A57)*BXL!$AH$4:$AH$103)+SUMPRODUCT((BXL!$AB$4:'BXL'!$AB$103=A57)*BXL!$AH$4:$AH$103)+SUMPRODUCT((BXL!$AU$4:'BXL'!$AU$103=A57)*BXL!$AZ$4:$AZ$103)</f>
        <v>0</v>
      </c>
      <c r="G57" s="136" cm="1">
        <f t="array" ref="G57">SUMPRODUCT((BXL!$AA$4:'BXL'!$AA$103=A57)*BXL!$AI$4:$AI$103)+SUMPRODUCT((BXL!$AB$4:'BXL'!$AB$103=A57)*BXL!$AI$4:$AI$103)+SUMPRODUCT((BXL!$AU$4:'BXL'!$AU$103=A57)*BXL!$BA$4:$BA$103)</f>
        <v>0</v>
      </c>
      <c r="H57" s="115"/>
      <c r="I57" s="139">
        <f t="shared" si="4"/>
        <v>726.05</v>
      </c>
      <c r="J57" s="136">
        <f t="shared" si="6"/>
        <v>166.05</v>
      </c>
      <c r="K57" s="136">
        <f t="shared" si="6"/>
        <v>560</v>
      </c>
      <c r="L57" s="136">
        <f t="shared" si="6"/>
        <v>16.961052631578948</v>
      </c>
      <c r="M57" s="136">
        <f t="shared" si="6"/>
        <v>0</v>
      </c>
      <c r="N57" s="115"/>
      <c r="O57" s="131"/>
      <c r="P57" s="131"/>
      <c r="Q57" s="131"/>
      <c r="R57" s="115"/>
      <c r="S57" s="131"/>
      <c r="T57" s="131"/>
      <c r="U57" s="131"/>
      <c r="V57" s="115"/>
      <c r="W57" s="128"/>
      <c r="X57" s="128"/>
      <c r="Y57" s="128"/>
      <c r="Z57" s="126"/>
      <c r="AA57" s="126"/>
      <c r="AB57" s="126"/>
      <c r="AC57" s="115"/>
      <c r="AD57" s="128"/>
      <c r="AE57" s="128"/>
      <c r="AF57" s="128"/>
      <c r="AG57" s="126"/>
      <c r="AH57" s="126"/>
      <c r="AI57" s="126"/>
      <c r="AJ57" s="115"/>
      <c r="AK57" s="131"/>
      <c r="AL57" s="131"/>
      <c r="AM57" s="131"/>
      <c r="AN57" s="115"/>
      <c r="AO57" s="131"/>
      <c r="AP57" s="131"/>
      <c r="AQ57" s="131"/>
      <c r="AR57" s="115"/>
      <c r="AS57" s="126"/>
      <c r="AT57" s="126"/>
      <c r="AU57" s="126"/>
      <c r="AV57" s="115"/>
      <c r="AW57" s="126"/>
      <c r="AX57" s="126"/>
      <c r="AY57" s="126"/>
      <c r="AZ57" s="115"/>
    </row>
    <row r="58" spans="1:52" x14ac:dyDescent="0.25">
      <c r="A58" s="94">
        <v>2003</v>
      </c>
      <c r="B58" s="139" cm="1">
        <f t="array" ref="B58">SUMPRODUCT((BXL!$AA$4:'BXL'!$AA$103=A58)*BXL!$AD$4:$AD$103)+SUMPRODUCT((BXL!$AB$4:'BXL'!$AB$103=A58)*BXL!$AD$4:$AD$103)+SUMPRODUCT((BXL!$AU$4:'BXL'!$AU$103=A58)*BXL!$AX$4:$AX$103)</f>
        <v>0</v>
      </c>
      <c r="C58" s="139" cm="1">
        <f t="array" ref="C58">SUMPRODUCT((BXL!$AA$4:'BXL'!$AA$103=A58)*BXL!$AE$4:$AE$103)+SUMPRODUCT((BXL!$AB$4:'BXL'!$AB$103=A58)*BXL!$AE$4:$AE$103)+SUMPRODUCT((BXL!$AU$4:'BXL'!$AU$103=A58)*BXL!$AY$4:$AY$103)</f>
        <v>0</v>
      </c>
      <c r="D58" s="136" cm="1">
        <f t="array" ref="D58">SUMPRODUCT((BXL!$AA$4:'BXL'!$AA$103=A58)*BXL!$AF$4:$AF$103)+SUMPRODUCT((BXL!$AB$4:'BXL'!$AB$103=A58)*BXL!$AF$4:$AF$103)+SUMPRODUCT((BXL!$AU$4:'BXL'!$AU$103=A58)*BXL!$AV$4:$AV$103)</f>
        <v>0</v>
      </c>
      <c r="E58" s="136" cm="1">
        <f t="array" ref="E58">SUMPRODUCT((BXL!$AA$4:'BXL'!$AA$103=A58)*BXL!$AG$4:$AG$103)+SUMPRODUCT((BXL!$AB$4:'BXL'!$AB$103=A58)*BXL!$AG$4:$AG$103)+SUMPRODUCT((BXL!$AU$4:'BXL'!$AU$103=A58)*BXL!$AW$4:$AW$103)</f>
        <v>0</v>
      </c>
      <c r="F58" s="136" cm="1">
        <f t="array" ref="F58">SUMPRODUCT((BXL!$AA$4:'BXL'!$AA$103=A58)*BXL!$AH$4:$AH$103)+SUMPRODUCT((BXL!$AB$4:'BXL'!$AB$103=A58)*BXL!$AH$4:$AH$103)+SUMPRODUCT((BXL!$AU$4:'BXL'!$AU$103=A58)*BXL!$AZ$4:$AZ$103)</f>
        <v>0</v>
      </c>
      <c r="G58" s="136" cm="1">
        <f t="array" ref="G58">SUMPRODUCT((BXL!$AA$4:'BXL'!$AA$103=A58)*BXL!$AI$4:$AI$103)+SUMPRODUCT((BXL!$AB$4:'BXL'!$AB$103=A58)*BXL!$AI$4:$AI$103)+SUMPRODUCT((BXL!$AU$4:'BXL'!$AU$103=A58)*BXL!$BA$4:$BA$103)</f>
        <v>0</v>
      </c>
      <c r="H58" s="115"/>
      <c r="I58" s="139">
        <f t="shared" si="4"/>
        <v>726.05</v>
      </c>
      <c r="J58" s="136">
        <f t="shared" si="6"/>
        <v>166.05</v>
      </c>
      <c r="K58" s="136">
        <f t="shared" si="6"/>
        <v>560</v>
      </c>
      <c r="L58" s="136">
        <f t="shared" si="6"/>
        <v>16.961052631578948</v>
      </c>
      <c r="M58" s="136">
        <f t="shared" si="6"/>
        <v>0</v>
      </c>
      <c r="N58" s="115"/>
      <c r="O58" s="131"/>
      <c r="P58" s="131"/>
      <c r="Q58" s="131"/>
      <c r="R58" s="115"/>
      <c r="S58" s="131"/>
      <c r="T58" s="131"/>
      <c r="U58" s="131"/>
      <c r="V58" s="115"/>
      <c r="W58" s="128"/>
      <c r="X58" s="128"/>
      <c r="Y58" s="128"/>
      <c r="Z58" s="126"/>
      <c r="AA58" s="126"/>
      <c r="AB58" s="126"/>
      <c r="AC58" s="115"/>
      <c r="AD58" s="128"/>
      <c r="AE58" s="128"/>
      <c r="AF58" s="128"/>
      <c r="AG58" s="126"/>
      <c r="AH58" s="126"/>
      <c r="AI58" s="126"/>
      <c r="AJ58" s="115"/>
      <c r="AK58" s="131"/>
      <c r="AL58" s="131"/>
      <c r="AM58" s="131"/>
      <c r="AN58" s="115"/>
      <c r="AO58" s="131"/>
      <c r="AP58" s="131"/>
      <c r="AQ58" s="131"/>
      <c r="AR58" s="115"/>
      <c r="AS58" s="126"/>
      <c r="AT58" s="126"/>
      <c r="AU58" s="126"/>
      <c r="AV58" s="115"/>
      <c r="AW58" s="126"/>
      <c r="AX58" s="126"/>
      <c r="AY58" s="126"/>
      <c r="AZ58" s="115"/>
    </row>
    <row r="59" spans="1:52" x14ac:dyDescent="0.25">
      <c r="A59" s="94">
        <v>2004</v>
      </c>
      <c r="B59" s="139" cm="1">
        <f t="array" ref="B59">SUMPRODUCT((BXL!$AA$4:'BXL'!$AA$103=A59)*BXL!$AD$4:$AD$103)+SUMPRODUCT((BXL!$AB$4:'BXL'!$AB$103=A59)*BXL!$AD$4:$AD$103)+SUMPRODUCT((BXL!$AU$4:'BXL'!$AU$103=A59)*BXL!$AX$4:$AX$103)</f>
        <v>12679.2</v>
      </c>
      <c r="C59" s="139" cm="1">
        <f t="array" ref="C59">SUMPRODUCT((BXL!$AA$4:'BXL'!$AA$103=A59)*BXL!$AE$4:$AE$103)+SUMPRODUCT((BXL!$AB$4:'BXL'!$AB$103=A59)*BXL!$AE$4:$AE$103)+SUMPRODUCT((BXL!$AU$4:'BXL'!$AU$103=A59)*BXL!$AY$4:$AY$103)</f>
        <v>304.30079999999998</v>
      </c>
      <c r="D59" s="136" cm="1">
        <f t="array" ref="D59">SUMPRODUCT((BXL!$AA$4:'BXL'!$AA$103=A59)*BXL!$AF$4:$AF$103)+SUMPRODUCT((BXL!$AB$4:'BXL'!$AB$103=A59)*BXL!$AF$4:$AF$103)+SUMPRODUCT((BXL!$AU$4:'BXL'!$AU$103=A59)*BXL!$AV$4:$AV$103)</f>
        <v>19.018800000000002</v>
      </c>
      <c r="E59" s="136" cm="1">
        <f t="array" ref="E59">SUMPRODUCT((BXL!$AA$4:'BXL'!$AA$103=A59)*BXL!$AG$4:$AG$103)+SUMPRODUCT((BXL!$AB$4:'BXL'!$AB$103=A59)*BXL!$AG$4:$AG$103)+SUMPRODUCT((BXL!$AU$4:'BXL'!$AU$103=A59)*BXL!$AW$4:$AW$103)</f>
        <v>285.28199999999998</v>
      </c>
      <c r="F59" s="136" cm="1">
        <f t="array" ref="F59">SUMPRODUCT((BXL!$AA$4:'BXL'!$AA$103=A59)*BXL!$AH$4:$AH$103)+SUMPRODUCT((BXL!$AB$4:'BXL'!$AB$103=A59)*BXL!$AH$4:$AH$103)+SUMPRODUCT((BXL!$AU$4:'BXL'!$AU$103=A59)*BXL!$AZ$4:$AZ$103)</f>
        <v>20.286720000000003</v>
      </c>
      <c r="G59" s="136" cm="1">
        <f t="array" ref="G59">SUMPRODUCT((BXL!$AA$4:'BXL'!$AA$103=A59)*BXL!$AI$4:$AI$103)+SUMPRODUCT((BXL!$AB$4:'BXL'!$AB$103=A59)*BXL!$AI$4:$AI$103)+SUMPRODUCT((BXL!$AU$4:'BXL'!$AU$103=A59)*BXL!$BA$4:$BA$103)</f>
        <v>15.63768</v>
      </c>
      <c r="H59" s="115"/>
      <c r="I59" s="139">
        <f t="shared" si="4"/>
        <v>1030.3507999999999</v>
      </c>
      <c r="J59" s="136">
        <f t="shared" si="6"/>
        <v>185.06880000000001</v>
      </c>
      <c r="K59" s="136">
        <f t="shared" si="6"/>
        <v>845.28199999999993</v>
      </c>
      <c r="L59" s="136">
        <f t="shared" si="6"/>
        <v>37.247772631578954</v>
      </c>
      <c r="M59" s="136">
        <f t="shared" si="6"/>
        <v>15.63768</v>
      </c>
      <c r="N59" s="115"/>
      <c r="O59" s="131"/>
      <c r="P59" s="131"/>
      <c r="Q59" s="131"/>
      <c r="R59" s="115"/>
      <c r="S59" s="131"/>
      <c r="T59" s="131"/>
      <c r="U59" s="131"/>
      <c r="V59" s="115"/>
      <c r="W59" s="128"/>
      <c r="X59" s="128"/>
      <c r="Y59" s="128"/>
      <c r="Z59" s="126"/>
      <c r="AA59" s="126"/>
      <c r="AB59" s="126"/>
      <c r="AC59" s="115"/>
      <c r="AD59" s="128"/>
      <c r="AE59" s="128"/>
      <c r="AF59" s="128"/>
      <c r="AG59" s="126"/>
      <c r="AH59" s="126"/>
      <c r="AI59" s="126"/>
      <c r="AJ59" s="115"/>
      <c r="AK59" s="131"/>
      <c r="AL59" s="131"/>
      <c r="AM59" s="131"/>
      <c r="AN59" s="115"/>
      <c r="AO59" s="131"/>
      <c r="AP59" s="131"/>
      <c r="AQ59" s="131"/>
      <c r="AR59" s="115"/>
      <c r="AS59" s="126"/>
      <c r="AT59" s="126"/>
      <c r="AU59" s="126"/>
      <c r="AV59" s="115"/>
      <c r="AW59" s="126"/>
      <c r="AX59" s="126"/>
      <c r="AY59" s="126"/>
      <c r="AZ59" s="115"/>
    </row>
    <row r="60" spans="1:52" x14ac:dyDescent="0.25">
      <c r="A60" s="94">
        <v>2005</v>
      </c>
      <c r="B60" s="139" cm="1">
        <f t="array" ref="B60">SUMPRODUCT((BXL!$AA$4:'BXL'!$AA$103=A60)*BXL!$AD$4:$AD$103)+SUMPRODUCT((BXL!$AB$4:'BXL'!$AB$103=A60)*BXL!$AD$4:$AD$103)+SUMPRODUCT((BXL!$AU$4:'BXL'!$AU$103=A60)*BXL!$AX$4:$AX$103)</f>
        <v>0</v>
      </c>
      <c r="C60" s="139" cm="1">
        <f t="array" ref="C60">SUMPRODUCT((BXL!$AA$4:'BXL'!$AA$103=A60)*BXL!$AE$4:$AE$103)+SUMPRODUCT((BXL!$AB$4:'BXL'!$AB$103=A60)*BXL!$AE$4:$AE$103)+SUMPRODUCT((BXL!$AU$4:'BXL'!$AU$103=A60)*BXL!$AY$4:$AY$103)</f>
        <v>0</v>
      </c>
      <c r="D60" s="136" cm="1">
        <f t="array" ref="D60">SUMPRODUCT((BXL!$AA$4:'BXL'!$AA$103=A60)*BXL!$AF$4:$AF$103)+SUMPRODUCT((BXL!$AB$4:'BXL'!$AB$103=A60)*BXL!$AF$4:$AF$103)+SUMPRODUCT((BXL!$AU$4:'BXL'!$AU$103=A60)*BXL!$AV$4:$AV$103)</f>
        <v>0</v>
      </c>
      <c r="E60" s="136" cm="1">
        <f t="array" ref="E60">SUMPRODUCT((BXL!$AA$4:'BXL'!$AA$103=A60)*BXL!$AG$4:$AG$103)+SUMPRODUCT((BXL!$AB$4:'BXL'!$AB$103=A60)*BXL!$AG$4:$AG$103)+SUMPRODUCT((BXL!$AU$4:'BXL'!$AU$103=A60)*BXL!$AW$4:$AW$103)</f>
        <v>0</v>
      </c>
      <c r="F60" s="136" cm="1">
        <f t="array" ref="F60">SUMPRODUCT((BXL!$AA$4:'BXL'!$AA$103=A60)*BXL!$AH$4:$AH$103)+SUMPRODUCT((BXL!$AB$4:'BXL'!$AB$103=A60)*BXL!$AH$4:$AH$103)+SUMPRODUCT((BXL!$AU$4:'BXL'!$AU$103=A60)*BXL!$AZ$4:$AZ$103)</f>
        <v>0</v>
      </c>
      <c r="G60" s="136" cm="1">
        <f t="array" ref="G60">SUMPRODUCT((BXL!$AA$4:'BXL'!$AA$103=A60)*BXL!$AI$4:$AI$103)+SUMPRODUCT((BXL!$AB$4:'BXL'!$AB$103=A60)*BXL!$AI$4:$AI$103)+SUMPRODUCT((BXL!$AU$4:'BXL'!$AU$103=A60)*BXL!$BA$4:$BA$103)</f>
        <v>0</v>
      </c>
      <c r="H60" s="115"/>
      <c r="I60" s="139">
        <f t="shared" si="4"/>
        <v>1030.3507999999999</v>
      </c>
      <c r="J60" s="136">
        <f t="shared" si="6"/>
        <v>185.06880000000001</v>
      </c>
      <c r="K60" s="136">
        <f t="shared" si="6"/>
        <v>845.28199999999993</v>
      </c>
      <c r="L60" s="136">
        <f t="shared" si="6"/>
        <v>37.247772631578954</v>
      </c>
      <c r="M60" s="136">
        <f t="shared" si="6"/>
        <v>15.63768</v>
      </c>
      <c r="N60" s="115"/>
      <c r="O60" s="131"/>
      <c r="P60" s="131"/>
      <c r="Q60" s="131"/>
      <c r="R60" s="115"/>
      <c r="S60" s="131"/>
      <c r="T60" s="131"/>
      <c r="U60" s="131"/>
      <c r="V60" s="115"/>
      <c r="W60" s="128"/>
      <c r="X60" s="128"/>
      <c r="Y60" s="128"/>
      <c r="Z60" s="126"/>
      <c r="AA60" s="126"/>
      <c r="AB60" s="126"/>
      <c r="AC60" s="115"/>
      <c r="AD60" s="128"/>
      <c r="AE60" s="128"/>
      <c r="AF60" s="128"/>
      <c r="AG60" s="126"/>
      <c r="AH60" s="126"/>
      <c r="AI60" s="126"/>
      <c r="AJ60" s="115"/>
      <c r="AK60" s="131"/>
      <c r="AL60" s="131"/>
      <c r="AM60" s="131"/>
      <c r="AN60" s="115"/>
      <c r="AO60" s="131"/>
      <c r="AP60" s="131"/>
      <c r="AQ60" s="131"/>
      <c r="AR60" s="115"/>
      <c r="AS60" s="126"/>
      <c r="AT60" s="126"/>
      <c r="AU60" s="126"/>
      <c r="AV60" s="115"/>
      <c r="AW60" s="126"/>
      <c r="AX60" s="126"/>
      <c r="AY60" s="126"/>
      <c r="AZ60" s="115"/>
    </row>
    <row r="61" spans="1:52" x14ac:dyDescent="0.25">
      <c r="A61" s="94">
        <v>2006</v>
      </c>
      <c r="B61" s="139" cm="1">
        <f t="array" ref="B61">SUMPRODUCT((BXL!$AA$4:'BXL'!$AA$103=A61)*BXL!$AD$4:$AD$103)+SUMPRODUCT((BXL!$AB$4:'BXL'!$AB$103=A61)*BXL!$AD$4:$AD$103)+SUMPRODUCT((BXL!$AU$4:'BXL'!$AU$103=A61)*BXL!$AX$4:$AX$103)</f>
        <v>0</v>
      </c>
      <c r="C61" s="139" cm="1">
        <f t="array" ref="C61">SUMPRODUCT((BXL!$AA$4:'BXL'!$AA$103=A61)*BXL!$AE$4:$AE$103)+SUMPRODUCT((BXL!$AB$4:'BXL'!$AB$103=A61)*BXL!$AE$4:$AE$103)+SUMPRODUCT((BXL!$AU$4:'BXL'!$AU$103=A61)*BXL!$AY$4:$AY$103)</f>
        <v>0</v>
      </c>
      <c r="D61" s="136" cm="1">
        <f t="array" ref="D61">SUMPRODUCT((BXL!$AA$4:'BXL'!$AA$103=A61)*BXL!$AF$4:$AF$103)+SUMPRODUCT((BXL!$AB$4:'BXL'!$AB$103=A61)*BXL!$AF$4:$AF$103)+SUMPRODUCT((BXL!$AU$4:'BXL'!$AU$103=A61)*BXL!$AV$4:$AV$103)</f>
        <v>0</v>
      </c>
      <c r="E61" s="136" cm="1">
        <f t="array" ref="E61">SUMPRODUCT((BXL!$AA$4:'BXL'!$AA$103=A61)*BXL!$AG$4:$AG$103)+SUMPRODUCT((BXL!$AB$4:'BXL'!$AB$103=A61)*BXL!$AG$4:$AG$103)+SUMPRODUCT((BXL!$AU$4:'BXL'!$AU$103=A61)*BXL!$AW$4:$AW$103)</f>
        <v>0</v>
      </c>
      <c r="F61" s="136" cm="1">
        <f t="array" ref="F61">SUMPRODUCT((BXL!$AA$4:'BXL'!$AA$103=A61)*BXL!$AH$4:$AH$103)+SUMPRODUCT((BXL!$AB$4:'BXL'!$AB$103=A61)*BXL!$AH$4:$AH$103)+SUMPRODUCT((BXL!$AU$4:'BXL'!$AU$103=A61)*BXL!$AZ$4:$AZ$103)</f>
        <v>0</v>
      </c>
      <c r="G61" s="136" cm="1">
        <f t="array" ref="G61">SUMPRODUCT((BXL!$AA$4:'BXL'!$AA$103=A61)*BXL!$AI$4:$AI$103)+SUMPRODUCT((BXL!$AB$4:'BXL'!$AB$103=A61)*BXL!$AI$4:$AI$103)+SUMPRODUCT((BXL!$AU$4:'BXL'!$AU$103=A61)*BXL!$BA$4:$BA$103)</f>
        <v>0</v>
      </c>
      <c r="H61" s="115"/>
      <c r="I61" s="139">
        <f t="shared" si="4"/>
        <v>1030.3507999999999</v>
      </c>
      <c r="J61" s="136">
        <f t="shared" si="6"/>
        <v>185.06880000000001</v>
      </c>
      <c r="K61" s="136">
        <f t="shared" si="6"/>
        <v>845.28199999999993</v>
      </c>
      <c r="L61" s="136">
        <f t="shared" si="6"/>
        <v>37.247772631578954</v>
      </c>
      <c r="M61" s="136">
        <f t="shared" si="6"/>
        <v>15.63768</v>
      </c>
      <c r="N61" s="115"/>
      <c r="O61" s="131"/>
      <c r="P61" s="131"/>
      <c r="Q61" s="131"/>
      <c r="R61" s="115"/>
      <c r="S61" s="131"/>
      <c r="T61" s="131"/>
      <c r="U61" s="131"/>
      <c r="V61" s="115"/>
      <c r="W61" s="128"/>
      <c r="X61" s="128"/>
      <c r="Y61" s="128"/>
      <c r="Z61" s="126"/>
      <c r="AA61" s="126"/>
      <c r="AB61" s="126"/>
      <c r="AC61" s="115"/>
      <c r="AD61" s="128"/>
      <c r="AE61" s="128"/>
      <c r="AF61" s="128"/>
      <c r="AG61" s="126"/>
      <c r="AH61" s="126"/>
      <c r="AI61" s="126"/>
      <c r="AJ61" s="115"/>
      <c r="AK61" s="131"/>
      <c r="AL61" s="131"/>
      <c r="AM61" s="131"/>
      <c r="AN61" s="115"/>
      <c r="AO61" s="131"/>
      <c r="AP61" s="131"/>
      <c r="AQ61" s="131"/>
      <c r="AR61" s="115"/>
      <c r="AS61" s="126"/>
      <c r="AT61" s="126"/>
      <c r="AU61" s="126"/>
      <c r="AV61" s="115"/>
      <c r="AW61" s="126"/>
      <c r="AX61" s="126"/>
      <c r="AY61" s="126"/>
      <c r="AZ61" s="115"/>
    </row>
    <row r="62" spans="1:52" x14ac:dyDescent="0.25">
      <c r="A62" s="94">
        <v>2007</v>
      </c>
      <c r="B62" s="139" cm="1">
        <f t="array" ref="B62">SUMPRODUCT((BXL!$AA$4:'BXL'!$AA$103=A62)*BXL!$AD$4:$AD$103)+SUMPRODUCT((BXL!$AB$4:'BXL'!$AB$103=A62)*BXL!$AD$4:$AD$103)+SUMPRODUCT((BXL!$AU$4:'BXL'!$AU$103=A62)*BXL!$AX$4:$AX$103)</f>
        <v>0</v>
      </c>
      <c r="C62" s="139" cm="1">
        <f t="array" ref="C62">SUMPRODUCT((BXL!$AA$4:'BXL'!$AA$103=A62)*BXL!$AE$4:$AE$103)+SUMPRODUCT((BXL!$AB$4:'BXL'!$AB$103=A62)*BXL!$AE$4:$AE$103)+SUMPRODUCT((BXL!$AU$4:'BXL'!$AU$103=A62)*BXL!$AY$4:$AY$103)</f>
        <v>0</v>
      </c>
      <c r="D62" s="136" cm="1">
        <f t="array" ref="D62">SUMPRODUCT((BXL!$AA$4:'BXL'!$AA$103=A62)*BXL!$AF$4:$AF$103)+SUMPRODUCT((BXL!$AB$4:'BXL'!$AB$103=A62)*BXL!$AF$4:$AF$103)+SUMPRODUCT((BXL!$AU$4:'BXL'!$AU$103=A62)*BXL!$AV$4:$AV$103)</f>
        <v>0</v>
      </c>
      <c r="E62" s="136" cm="1">
        <f t="array" ref="E62">SUMPRODUCT((BXL!$AA$4:'BXL'!$AA$103=A62)*BXL!$AG$4:$AG$103)+SUMPRODUCT((BXL!$AB$4:'BXL'!$AB$103=A62)*BXL!$AG$4:$AG$103)+SUMPRODUCT((BXL!$AU$4:'BXL'!$AU$103=A62)*BXL!$AW$4:$AW$103)</f>
        <v>0</v>
      </c>
      <c r="F62" s="136" cm="1">
        <f t="array" ref="F62">SUMPRODUCT((BXL!$AA$4:'BXL'!$AA$103=A62)*BXL!$AH$4:$AH$103)+SUMPRODUCT((BXL!$AB$4:'BXL'!$AB$103=A62)*BXL!$AH$4:$AH$103)+SUMPRODUCT((BXL!$AU$4:'BXL'!$AU$103=A62)*BXL!$AZ$4:$AZ$103)</f>
        <v>0</v>
      </c>
      <c r="G62" s="136" cm="1">
        <f t="array" ref="G62">SUMPRODUCT((BXL!$AA$4:'BXL'!$AA$103=A62)*BXL!$AI$4:$AI$103)+SUMPRODUCT((BXL!$AB$4:'BXL'!$AB$103=A62)*BXL!$AI$4:$AI$103)+SUMPRODUCT((BXL!$AU$4:'BXL'!$AU$103=A62)*BXL!$BA$4:$BA$103)</f>
        <v>0</v>
      </c>
      <c r="H62" s="115"/>
      <c r="I62" s="139">
        <f t="shared" si="4"/>
        <v>1030.3507999999999</v>
      </c>
      <c r="J62" s="136">
        <f t="shared" si="6"/>
        <v>185.06880000000001</v>
      </c>
      <c r="K62" s="136">
        <f t="shared" si="6"/>
        <v>845.28199999999993</v>
      </c>
      <c r="L62" s="136">
        <f t="shared" si="6"/>
        <v>37.247772631578954</v>
      </c>
      <c r="M62" s="136">
        <f t="shared" si="6"/>
        <v>15.63768</v>
      </c>
      <c r="N62" s="115"/>
      <c r="O62" s="131"/>
      <c r="P62" s="131"/>
      <c r="Q62" s="131"/>
      <c r="R62" s="115"/>
      <c r="S62" s="131"/>
      <c r="T62" s="131"/>
      <c r="U62" s="131"/>
      <c r="V62" s="115"/>
      <c r="W62" s="128"/>
      <c r="X62" s="128"/>
      <c r="Y62" s="128"/>
      <c r="Z62" s="126"/>
      <c r="AA62" s="126"/>
      <c r="AB62" s="126"/>
      <c r="AC62" s="115"/>
      <c r="AD62" s="128"/>
      <c r="AE62" s="128"/>
      <c r="AF62" s="128"/>
      <c r="AG62" s="126"/>
      <c r="AH62" s="126"/>
      <c r="AI62" s="126"/>
      <c r="AJ62" s="115"/>
      <c r="AK62" s="131"/>
      <c r="AL62" s="131"/>
      <c r="AM62" s="131"/>
      <c r="AN62" s="115"/>
      <c r="AO62" s="131"/>
      <c r="AP62" s="131"/>
      <c r="AQ62" s="131"/>
      <c r="AR62" s="115"/>
      <c r="AS62" s="126"/>
      <c r="AT62" s="126"/>
      <c r="AU62" s="126"/>
      <c r="AV62" s="115"/>
      <c r="AW62" s="126"/>
      <c r="AX62" s="126"/>
      <c r="AY62" s="126"/>
      <c r="AZ62" s="115"/>
    </row>
    <row r="63" spans="1:52" x14ac:dyDescent="0.25">
      <c r="A63" s="94">
        <v>2008</v>
      </c>
      <c r="B63" s="139" cm="1">
        <f t="array" ref="B63">SUMPRODUCT((BXL!$AA$4:'BXL'!$AA$103=A63)*BXL!$AD$4:$AD$103)+SUMPRODUCT((BXL!$AB$4:'BXL'!$AB$103=A63)*BXL!$AD$4:$AD$103)+SUMPRODUCT((BXL!$AU$4:'BXL'!$AU$103=A63)*BXL!$AX$4:$AX$103)</f>
        <v>0</v>
      </c>
      <c r="C63" s="139" cm="1">
        <f t="array" ref="C63">SUMPRODUCT((BXL!$AA$4:'BXL'!$AA$103=A63)*BXL!$AE$4:$AE$103)+SUMPRODUCT((BXL!$AB$4:'BXL'!$AB$103=A63)*BXL!$AE$4:$AE$103)+SUMPRODUCT((BXL!$AU$4:'BXL'!$AU$103=A63)*BXL!$AY$4:$AY$103)</f>
        <v>0</v>
      </c>
      <c r="D63" s="136" cm="1">
        <f t="array" ref="D63">SUMPRODUCT((BXL!$AA$4:'BXL'!$AA$103=A63)*BXL!$AF$4:$AF$103)+SUMPRODUCT((BXL!$AB$4:'BXL'!$AB$103=A63)*BXL!$AF$4:$AF$103)+SUMPRODUCT((BXL!$AU$4:'BXL'!$AU$103=A63)*BXL!$AV$4:$AV$103)</f>
        <v>0</v>
      </c>
      <c r="E63" s="136" cm="1">
        <f t="array" ref="E63">SUMPRODUCT((BXL!$AA$4:'BXL'!$AA$103=A63)*BXL!$AG$4:$AG$103)+SUMPRODUCT((BXL!$AB$4:'BXL'!$AB$103=A63)*BXL!$AG$4:$AG$103)+SUMPRODUCT((BXL!$AU$4:'BXL'!$AU$103=A63)*BXL!$AW$4:$AW$103)</f>
        <v>0</v>
      </c>
      <c r="F63" s="136" cm="1">
        <f t="array" ref="F63">SUMPRODUCT((BXL!$AA$4:'BXL'!$AA$103=A63)*BXL!$AH$4:$AH$103)+SUMPRODUCT((BXL!$AB$4:'BXL'!$AB$103=A63)*BXL!$AH$4:$AH$103)+SUMPRODUCT((BXL!$AU$4:'BXL'!$AU$103=A63)*BXL!$AZ$4:$AZ$103)</f>
        <v>0</v>
      </c>
      <c r="G63" s="136" cm="1">
        <f t="array" ref="G63">SUMPRODUCT((BXL!$AA$4:'BXL'!$AA$103=A63)*BXL!$AI$4:$AI$103)+SUMPRODUCT((BXL!$AB$4:'BXL'!$AB$103=A63)*BXL!$AI$4:$AI$103)+SUMPRODUCT((BXL!$AU$4:'BXL'!$AU$103=A63)*BXL!$BA$4:$BA$103)</f>
        <v>0</v>
      </c>
      <c r="H63" s="115"/>
      <c r="I63" s="139">
        <f t="shared" si="4"/>
        <v>1030.3507999999999</v>
      </c>
      <c r="J63" s="136">
        <f t="shared" si="6"/>
        <v>185.06880000000001</v>
      </c>
      <c r="K63" s="136">
        <f t="shared" si="6"/>
        <v>845.28199999999993</v>
      </c>
      <c r="L63" s="136">
        <f t="shared" si="6"/>
        <v>37.247772631578954</v>
      </c>
      <c r="M63" s="136">
        <f t="shared" si="6"/>
        <v>15.63768</v>
      </c>
      <c r="N63" s="115"/>
      <c r="O63" s="131"/>
      <c r="P63" s="131"/>
      <c r="Q63" s="131"/>
      <c r="R63" s="115"/>
      <c r="S63" s="131"/>
      <c r="T63" s="131"/>
      <c r="U63" s="131"/>
      <c r="V63" s="115"/>
      <c r="W63" s="128"/>
      <c r="X63" s="128"/>
      <c r="Y63" s="128"/>
      <c r="Z63" s="126"/>
      <c r="AA63" s="126"/>
      <c r="AB63" s="126"/>
      <c r="AC63" s="115"/>
      <c r="AD63" s="128"/>
      <c r="AE63" s="128"/>
      <c r="AF63" s="128"/>
      <c r="AG63" s="126"/>
      <c r="AH63" s="126"/>
      <c r="AI63" s="126"/>
      <c r="AJ63" s="115"/>
      <c r="AK63" s="131"/>
      <c r="AL63" s="131"/>
      <c r="AM63" s="131"/>
      <c r="AN63" s="115"/>
      <c r="AO63" s="131"/>
      <c r="AP63" s="131"/>
      <c r="AQ63" s="131"/>
      <c r="AR63" s="115"/>
      <c r="AS63" s="126"/>
      <c r="AT63" s="126"/>
      <c r="AU63" s="126"/>
      <c r="AV63" s="115"/>
      <c r="AW63" s="126"/>
      <c r="AX63" s="126"/>
      <c r="AY63" s="126"/>
      <c r="AZ63" s="115"/>
    </row>
    <row r="64" spans="1:52" x14ac:dyDescent="0.25">
      <c r="A64" s="94">
        <v>2009</v>
      </c>
      <c r="B64" s="139" cm="1">
        <f t="array" ref="B64">SUMPRODUCT((BXL!$AA$4:'BXL'!$AA$103=A64)*BXL!$AD$4:$AD$103)+SUMPRODUCT((BXL!$AB$4:'BXL'!$AB$103=A64)*BXL!$AD$4:$AD$103)+SUMPRODUCT((BXL!$AU$4:'BXL'!$AU$103=A64)*BXL!$AX$4:$AX$103)</f>
        <v>0</v>
      </c>
      <c r="C64" s="139" cm="1">
        <f t="array" ref="C64">SUMPRODUCT((BXL!$AA$4:'BXL'!$AA$103=A64)*BXL!$AE$4:$AE$103)+SUMPRODUCT((BXL!$AB$4:'BXL'!$AB$103=A64)*BXL!$AE$4:$AE$103)+SUMPRODUCT((BXL!$AU$4:'BXL'!$AU$103=A64)*BXL!$AY$4:$AY$103)</f>
        <v>0</v>
      </c>
      <c r="D64" s="136" cm="1">
        <f t="array" ref="D64">SUMPRODUCT((BXL!$AA$4:'BXL'!$AA$103=A64)*BXL!$AF$4:$AF$103)+SUMPRODUCT((BXL!$AB$4:'BXL'!$AB$103=A64)*BXL!$AF$4:$AF$103)+SUMPRODUCT((BXL!$AU$4:'BXL'!$AU$103=A64)*BXL!$AV$4:$AV$103)</f>
        <v>0</v>
      </c>
      <c r="E64" s="136" cm="1">
        <f t="array" ref="E64">SUMPRODUCT((BXL!$AA$4:'BXL'!$AA$103=A64)*BXL!$AG$4:$AG$103)+SUMPRODUCT((BXL!$AB$4:'BXL'!$AB$103=A64)*BXL!$AG$4:$AG$103)+SUMPRODUCT((BXL!$AU$4:'BXL'!$AU$103=A64)*BXL!$AW$4:$AW$103)</f>
        <v>0</v>
      </c>
      <c r="F64" s="136" cm="1">
        <f t="array" ref="F64">SUMPRODUCT((BXL!$AA$4:'BXL'!$AA$103=A64)*BXL!$AH$4:$AH$103)+SUMPRODUCT((BXL!$AB$4:'BXL'!$AB$103=A64)*BXL!$AH$4:$AH$103)+SUMPRODUCT((BXL!$AU$4:'BXL'!$AU$103=A64)*BXL!$AZ$4:$AZ$103)</f>
        <v>0</v>
      </c>
      <c r="G64" s="136" cm="1">
        <f t="array" ref="G64">SUMPRODUCT((BXL!$AA$4:'BXL'!$AA$103=A64)*BXL!$AI$4:$AI$103)+SUMPRODUCT((BXL!$AB$4:'BXL'!$AB$103=A64)*BXL!$AI$4:$AI$103)+SUMPRODUCT((BXL!$AU$4:'BXL'!$AU$103=A64)*BXL!$BA$4:$BA$103)</f>
        <v>0</v>
      </c>
      <c r="H64" s="115"/>
      <c r="I64" s="139">
        <f t="shared" si="4"/>
        <v>1030.3507999999999</v>
      </c>
      <c r="J64" s="136">
        <f t="shared" si="6"/>
        <v>185.06880000000001</v>
      </c>
      <c r="K64" s="136">
        <f t="shared" si="6"/>
        <v>845.28199999999993</v>
      </c>
      <c r="L64" s="136">
        <f t="shared" si="6"/>
        <v>37.247772631578954</v>
      </c>
      <c r="M64" s="136">
        <f t="shared" si="6"/>
        <v>15.63768</v>
      </c>
      <c r="N64" s="115"/>
      <c r="O64" s="131"/>
      <c r="P64" s="131"/>
      <c r="Q64" s="131"/>
      <c r="R64" s="115"/>
      <c r="S64" s="131"/>
      <c r="T64" s="131"/>
      <c r="U64" s="131"/>
      <c r="V64" s="115"/>
      <c r="W64" s="128"/>
      <c r="X64" s="128"/>
      <c r="Y64" s="128"/>
      <c r="Z64" s="126"/>
      <c r="AA64" s="126"/>
      <c r="AB64" s="126"/>
      <c r="AC64" s="115"/>
      <c r="AD64" s="128"/>
      <c r="AE64" s="128"/>
      <c r="AF64" s="128"/>
      <c r="AG64" s="126"/>
      <c r="AH64" s="126"/>
      <c r="AI64" s="126"/>
      <c r="AJ64" s="115"/>
      <c r="AK64" s="131"/>
      <c r="AL64" s="131"/>
      <c r="AM64" s="131"/>
      <c r="AN64" s="115"/>
      <c r="AO64" s="131"/>
      <c r="AP64" s="131"/>
      <c r="AQ64" s="131"/>
      <c r="AR64" s="115"/>
      <c r="AS64" s="126"/>
      <c r="AT64" s="126"/>
      <c r="AU64" s="126"/>
      <c r="AV64" s="115"/>
      <c r="AW64" s="126"/>
      <c r="AX64" s="126"/>
      <c r="AY64" s="126"/>
      <c r="AZ64" s="115"/>
    </row>
    <row r="65" spans="1:52" x14ac:dyDescent="0.25">
      <c r="A65" s="94">
        <v>2010</v>
      </c>
      <c r="B65" s="139" cm="1">
        <f t="array" ref="B65">SUMPRODUCT((BXL!$AA$4:'BXL'!$AA$103=A65)*BXL!$AD$4:$AD$103)+SUMPRODUCT((BXL!$AB$4:'BXL'!$AB$103=A65)*BXL!$AD$4:$AD$103)+SUMPRODUCT((BXL!$AU$4:'BXL'!$AU$103=A65)*BXL!$AX$4:$AX$103)</f>
        <v>0</v>
      </c>
      <c r="C65" s="139" cm="1">
        <f t="array" ref="C65">SUMPRODUCT((BXL!$AA$4:'BXL'!$AA$103=A65)*BXL!$AE$4:$AE$103)+SUMPRODUCT((BXL!$AB$4:'BXL'!$AB$103=A65)*BXL!$AE$4:$AE$103)+SUMPRODUCT((BXL!$AU$4:'BXL'!$AU$103=A65)*BXL!$AY$4:$AY$103)</f>
        <v>0</v>
      </c>
      <c r="D65" s="136" cm="1">
        <f t="array" ref="D65">SUMPRODUCT((BXL!$AA$4:'BXL'!$AA$103=A65)*BXL!$AF$4:$AF$103)+SUMPRODUCT((BXL!$AB$4:'BXL'!$AB$103=A65)*BXL!$AF$4:$AF$103)+SUMPRODUCT((BXL!$AU$4:'BXL'!$AU$103=A65)*BXL!$AV$4:$AV$103)</f>
        <v>0</v>
      </c>
      <c r="E65" s="136" cm="1">
        <f t="array" ref="E65">SUMPRODUCT((BXL!$AA$4:'BXL'!$AA$103=A65)*BXL!$AG$4:$AG$103)+SUMPRODUCT((BXL!$AB$4:'BXL'!$AB$103=A65)*BXL!$AG$4:$AG$103)+SUMPRODUCT((BXL!$AU$4:'BXL'!$AU$103=A65)*BXL!$AW$4:$AW$103)</f>
        <v>0</v>
      </c>
      <c r="F65" s="136" cm="1">
        <f t="array" ref="F65">SUMPRODUCT((BXL!$AA$4:'BXL'!$AA$103=A65)*BXL!$AH$4:$AH$103)+SUMPRODUCT((BXL!$AB$4:'BXL'!$AB$103=A65)*BXL!$AH$4:$AH$103)+SUMPRODUCT((BXL!$AU$4:'BXL'!$AU$103=A65)*BXL!$AZ$4:$AZ$103)</f>
        <v>0</v>
      </c>
      <c r="G65" s="136" cm="1">
        <f t="array" ref="G65">SUMPRODUCT((BXL!$AA$4:'BXL'!$AA$103=A65)*BXL!$AI$4:$AI$103)+SUMPRODUCT((BXL!$AB$4:'BXL'!$AB$103=A65)*BXL!$AI$4:$AI$103)+SUMPRODUCT((BXL!$AU$4:'BXL'!$AU$103=A65)*BXL!$BA$4:$BA$103)</f>
        <v>0</v>
      </c>
      <c r="H65" s="115"/>
      <c r="I65" s="139">
        <f t="shared" si="4"/>
        <v>1030.3507999999999</v>
      </c>
      <c r="J65" s="136">
        <f t="shared" si="6"/>
        <v>185.06880000000001</v>
      </c>
      <c r="K65" s="136">
        <f t="shared" si="6"/>
        <v>845.28199999999993</v>
      </c>
      <c r="L65" s="136">
        <f t="shared" si="6"/>
        <v>37.247772631578954</v>
      </c>
      <c r="M65" s="136">
        <f t="shared" si="6"/>
        <v>15.63768</v>
      </c>
      <c r="N65" s="115"/>
      <c r="O65" s="131"/>
      <c r="P65" s="131"/>
      <c r="Q65" s="131"/>
      <c r="R65" s="115"/>
      <c r="S65" s="131"/>
      <c r="T65" s="131"/>
      <c r="U65" s="131"/>
      <c r="V65" s="115"/>
      <c r="W65" s="128"/>
      <c r="X65" s="128"/>
      <c r="Y65" s="128"/>
      <c r="Z65" s="126"/>
      <c r="AA65" s="126"/>
      <c r="AB65" s="126"/>
      <c r="AC65" s="115"/>
      <c r="AD65" s="128"/>
      <c r="AE65" s="128"/>
      <c r="AF65" s="128"/>
      <c r="AG65" s="126"/>
      <c r="AH65" s="126"/>
      <c r="AI65" s="126"/>
      <c r="AJ65" s="115"/>
      <c r="AK65" s="131"/>
      <c r="AL65" s="131"/>
      <c r="AM65" s="131"/>
      <c r="AN65" s="115"/>
      <c r="AO65" s="131"/>
      <c r="AP65" s="131"/>
      <c r="AQ65" s="131"/>
      <c r="AR65" s="115"/>
      <c r="AS65" s="126"/>
      <c r="AT65" s="126"/>
      <c r="AU65" s="126"/>
      <c r="AV65" s="115"/>
      <c r="AW65" s="126"/>
      <c r="AX65" s="126"/>
      <c r="AY65" s="126"/>
      <c r="AZ65" s="115"/>
    </row>
    <row r="66" spans="1:52" x14ac:dyDescent="0.25">
      <c r="A66" s="94">
        <v>2011</v>
      </c>
      <c r="B66" s="139" cm="1">
        <f t="array" ref="B66">SUMPRODUCT((BXL!$AA$4:'BXL'!$AA$103=A66)*BXL!$AD$4:$AD$103)+SUMPRODUCT((BXL!$AB$4:'BXL'!$AB$103=A66)*BXL!$AD$4:$AD$103)+SUMPRODUCT((BXL!$AU$4:'BXL'!$AU$103=A66)*BXL!$AX$4:$AX$103)</f>
        <v>0</v>
      </c>
      <c r="C66" s="139" cm="1">
        <f t="array" ref="C66">SUMPRODUCT((BXL!$AA$4:'BXL'!$AA$103=A66)*BXL!$AE$4:$AE$103)+SUMPRODUCT((BXL!$AB$4:'BXL'!$AB$103=A66)*BXL!$AE$4:$AE$103)+SUMPRODUCT((BXL!$AU$4:'BXL'!$AU$103=A66)*BXL!$AY$4:$AY$103)</f>
        <v>0</v>
      </c>
      <c r="D66" s="136" cm="1">
        <f t="array" ref="D66">SUMPRODUCT((BXL!$AA$4:'BXL'!$AA$103=A66)*BXL!$AF$4:$AF$103)+SUMPRODUCT((BXL!$AB$4:'BXL'!$AB$103=A66)*BXL!$AF$4:$AF$103)+SUMPRODUCT((BXL!$AU$4:'BXL'!$AU$103=A66)*BXL!$AV$4:$AV$103)</f>
        <v>0</v>
      </c>
      <c r="E66" s="136" cm="1">
        <f t="array" ref="E66">SUMPRODUCT((BXL!$AA$4:'BXL'!$AA$103=A66)*BXL!$AG$4:$AG$103)+SUMPRODUCT((BXL!$AB$4:'BXL'!$AB$103=A66)*BXL!$AG$4:$AG$103)+SUMPRODUCT((BXL!$AU$4:'BXL'!$AU$103=A66)*BXL!$AW$4:$AW$103)</f>
        <v>0</v>
      </c>
      <c r="F66" s="136" cm="1">
        <f t="array" ref="F66">SUMPRODUCT((BXL!$AA$4:'BXL'!$AA$103=A66)*BXL!$AH$4:$AH$103)+SUMPRODUCT((BXL!$AB$4:'BXL'!$AB$103=A66)*BXL!$AH$4:$AH$103)+SUMPRODUCT((BXL!$AU$4:'BXL'!$AU$103=A66)*BXL!$AZ$4:$AZ$103)</f>
        <v>0</v>
      </c>
      <c r="G66" s="136" cm="1">
        <f t="array" ref="G66">SUMPRODUCT((BXL!$AA$4:'BXL'!$AA$103=A66)*BXL!$AI$4:$AI$103)+SUMPRODUCT((BXL!$AB$4:'BXL'!$AB$103=A66)*BXL!$AI$4:$AI$103)+SUMPRODUCT((BXL!$AU$4:'BXL'!$AU$103=A66)*BXL!$BA$4:$BA$103)</f>
        <v>0</v>
      </c>
      <c r="H66" s="115"/>
      <c r="I66" s="139">
        <f t="shared" si="4"/>
        <v>1030.3507999999999</v>
      </c>
      <c r="J66" s="136">
        <f t="shared" si="6"/>
        <v>185.06880000000001</v>
      </c>
      <c r="K66" s="136">
        <f t="shared" si="6"/>
        <v>845.28199999999993</v>
      </c>
      <c r="L66" s="136">
        <f t="shared" si="6"/>
        <v>37.247772631578954</v>
      </c>
      <c r="M66" s="136">
        <f t="shared" si="6"/>
        <v>15.63768</v>
      </c>
      <c r="N66" s="115"/>
      <c r="O66" s="131"/>
      <c r="P66" s="131"/>
      <c r="Q66" s="131"/>
      <c r="R66" s="115"/>
      <c r="S66" s="131"/>
      <c r="T66" s="131"/>
      <c r="U66" s="131"/>
      <c r="V66" s="115"/>
      <c r="W66" s="128"/>
      <c r="X66" s="128"/>
      <c r="Y66" s="128"/>
      <c r="Z66" s="126"/>
      <c r="AA66" s="126"/>
      <c r="AB66" s="126"/>
      <c r="AC66" s="115"/>
      <c r="AD66" s="128"/>
      <c r="AE66" s="128"/>
      <c r="AF66" s="128"/>
      <c r="AG66" s="126"/>
      <c r="AH66" s="126"/>
      <c r="AI66" s="126"/>
      <c r="AJ66" s="115"/>
      <c r="AK66" s="131"/>
      <c r="AL66" s="131"/>
      <c r="AM66" s="131"/>
      <c r="AN66" s="115"/>
      <c r="AO66" s="131"/>
      <c r="AP66" s="131"/>
      <c r="AQ66" s="131"/>
      <c r="AR66" s="115"/>
      <c r="AS66" s="126"/>
      <c r="AT66" s="126"/>
      <c r="AU66" s="126"/>
      <c r="AV66" s="115"/>
      <c r="AW66" s="126"/>
      <c r="AX66" s="126"/>
      <c r="AY66" s="126"/>
      <c r="AZ66" s="115"/>
    </row>
    <row r="67" spans="1:52" x14ac:dyDescent="0.25">
      <c r="A67" s="94">
        <v>2012</v>
      </c>
      <c r="B67" s="139" cm="1">
        <f t="array" ref="B67">SUMPRODUCT((BXL!$AA$4:'BXL'!$AA$103=A67)*BXL!$AD$4:$AD$103)+SUMPRODUCT((BXL!$AB$4:'BXL'!$AB$103=A67)*BXL!$AD$4:$AD$103)+SUMPRODUCT((BXL!$AU$4:'BXL'!$AU$103=A67)*BXL!$AX$4:$AX$103)</f>
        <v>0</v>
      </c>
      <c r="C67" s="139" cm="1">
        <f t="array" ref="C67">SUMPRODUCT((BXL!$AA$4:'BXL'!$AA$103=A67)*BXL!$AE$4:$AE$103)+SUMPRODUCT((BXL!$AB$4:'BXL'!$AB$103=A67)*BXL!$AE$4:$AE$103)+SUMPRODUCT((BXL!$AU$4:'BXL'!$AU$103=A67)*BXL!$AY$4:$AY$103)</f>
        <v>0</v>
      </c>
      <c r="D67" s="136" cm="1">
        <f t="array" ref="D67">SUMPRODUCT((BXL!$AA$4:'BXL'!$AA$103=A67)*BXL!$AF$4:$AF$103)+SUMPRODUCT((BXL!$AB$4:'BXL'!$AB$103=A67)*BXL!$AF$4:$AF$103)+SUMPRODUCT((BXL!$AU$4:'BXL'!$AU$103=A67)*BXL!$AV$4:$AV$103)</f>
        <v>0</v>
      </c>
      <c r="E67" s="136" cm="1">
        <f t="array" ref="E67">SUMPRODUCT((BXL!$AA$4:'BXL'!$AA$103=A67)*BXL!$AG$4:$AG$103)+SUMPRODUCT((BXL!$AB$4:'BXL'!$AB$103=A67)*BXL!$AG$4:$AG$103)+SUMPRODUCT((BXL!$AU$4:'BXL'!$AU$103=A67)*BXL!$AW$4:$AW$103)</f>
        <v>0</v>
      </c>
      <c r="F67" s="136" cm="1">
        <f t="array" ref="F67">SUMPRODUCT((BXL!$AA$4:'BXL'!$AA$103=A67)*BXL!$AH$4:$AH$103)+SUMPRODUCT((BXL!$AB$4:'BXL'!$AB$103=A67)*BXL!$AH$4:$AH$103)+SUMPRODUCT((BXL!$AU$4:'BXL'!$AU$103=A67)*BXL!$AZ$4:$AZ$103)</f>
        <v>0</v>
      </c>
      <c r="G67" s="136" cm="1">
        <f t="array" ref="G67">SUMPRODUCT((BXL!$AA$4:'BXL'!$AA$103=A67)*BXL!$AI$4:$AI$103)+SUMPRODUCT((BXL!$AB$4:'BXL'!$AB$103=A67)*BXL!$AI$4:$AI$103)+SUMPRODUCT((BXL!$AU$4:'BXL'!$AU$103=A67)*BXL!$BA$4:$BA$103)</f>
        <v>0</v>
      </c>
      <c r="H67" s="115"/>
      <c r="I67" s="139">
        <f t="shared" si="4"/>
        <v>1030.3507999999999</v>
      </c>
      <c r="J67" s="136">
        <f t="shared" si="6"/>
        <v>185.06880000000001</v>
      </c>
      <c r="K67" s="136">
        <f t="shared" si="6"/>
        <v>845.28199999999993</v>
      </c>
      <c r="L67" s="136">
        <f t="shared" si="6"/>
        <v>37.247772631578954</v>
      </c>
      <c r="M67" s="136">
        <f t="shared" si="6"/>
        <v>15.63768</v>
      </c>
      <c r="N67" s="115"/>
      <c r="O67" s="131"/>
      <c r="P67" s="131"/>
      <c r="Q67" s="131"/>
      <c r="R67" s="115"/>
      <c r="S67" s="131"/>
      <c r="T67" s="131"/>
      <c r="U67" s="131"/>
      <c r="V67" s="115"/>
      <c r="W67" s="128"/>
      <c r="X67" s="128"/>
      <c r="Y67" s="128"/>
      <c r="Z67" s="126"/>
      <c r="AA67" s="126"/>
      <c r="AB67" s="126"/>
      <c r="AC67" s="115"/>
      <c r="AD67" s="128"/>
      <c r="AE67" s="128"/>
      <c r="AF67" s="128"/>
      <c r="AG67" s="126"/>
      <c r="AH67" s="126"/>
      <c r="AI67" s="126"/>
      <c r="AJ67" s="115"/>
      <c r="AK67" s="131"/>
      <c r="AL67" s="131"/>
      <c r="AM67" s="131"/>
      <c r="AN67" s="115"/>
      <c r="AO67" s="131"/>
      <c r="AP67" s="131"/>
      <c r="AQ67" s="131"/>
      <c r="AR67" s="115"/>
      <c r="AS67" s="126"/>
      <c r="AT67" s="126"/>
      <c r="AU67" s="126"/>
      <c r="AV67" s="115"/>
      <c r="AW67" s="126"/>
      <c r="AX67" s="126"/>
      <c r="AY67" s="126"/>
      <c r="AZ67" s="115"/>
    </row>
    <row r="68" spans="1:52" x14ac:dyDescent="0.25">
      <c r="A68" s="94">
        <v>2013</v>
      </c>
      <c r="B68" s="139" cm="1">
        <f t="array" ref="B68">SUMPRODUCT((BXL!$AA$4:'BXL'!$AA$103=A68)*BXL!$AD$4:$AD$103)+SUMPRODUCT((BXL!$AB$4:'BXL'!$AB$103=A68)*BXL!$AD$4:$AD$103)+SUMPRODUCT((BXL!$AU$4:'BXL'!$AU$103=A68)*BXL!$AX$4:$AX$103)</f>
        <v>0</v>
      </c>
      <c r="C68" s="139" cm="1">
        <f t="array" ref="C68">SUMPRODUCT((BXL!$AA$4:'BXL'!$AA$103=A68)*BXL!$AE$4:$AE$103)+SUMPRODUCT((BXL!$AB$4:'BXL'!$AB$103=A68)*BXL!$AE$4:$AE$103)+SUMPRODUCT((BXL!$AU$4:'BXL'!$AU$103=A68)*BXL!$AY$4:$AY$103)</f>
        <v>0</v>
      </c>
      <c r="D68" s="136" cm="1">
        <f t="array" ref="D68">SUMPRODUCT((BXL!$AA$4:'BXL'!$AA$103=A68)*BXL!$AF$4:$AF$103)+SUMPRODUCT((BXL!$AB$4:'BXL'!$AB$103=A68)*BXL!$AF$4:$AF$103)+SUMPRODUCT((BXL!$AU$4:'BXL'!$AU$103=A68)*BXL!$AV$4:$AV$103)</f>
        <v>0</v>
      </c>
      <c r="E68" s="136" cm="1">
        <f t="array" ref="E68">SUMPRODUCT((BXL!$AA$4:'BXL'!$AA$103=A68)*BXL!$AG$4:$AG$103)+SUMPRODUCT((BXL!$AB$4:'BXL'!$AB$103=A68)*BXL!$AG$4:$AG$103)+SUMPRODUCT((BXL!$AU$4:'BXL'!$AU$103=A68)*BXL!$AW$4:$AW$103)</f>
        <v>0</v>
      </c>
      <c r="F68" s="136" cm="1">
        <f t="array" ref="F68">SUMPRODUCT((BXL!$AA$4:'BXL'!$AA$103=A68)*BXL!$AH$4:$AH$103)+SUMPRODUCT((BXL!$AB$4:'BXL'!$AB$103=A68)*BXL!$AH$4:$AH$103)+SUMPRODUCT((BXL!$AU$4:'BXL'!$AU$103=A68)*BXL!$AZ$4:$AZ$103)</f>
        <v>0</v>
      </c>
      <c r="G68" s="136" cm="1">
        <f t="array" ref="G68">SUMPRODUCT((BXL!$AA$4:'BXL'!$AA$103=A68)*BXL!$AI$4:$AI$103)+SUMPRODUCT((BXL!$AB$4:'BXL'!$AB$103=A68)*BXL!$AI$4:$AI$103)+SUMPRODUCT((BXL!$AU$4:'BXL'!$AU$103=A68)*BXL!$BA$4:$BA$103)</f>
        <v>0</v>
      </c>
      <c r="H68" s="115"/>
      <c r="I68" s="139">
        <f t="shared" si="4"/>
        <v>1030.3507999999999</v>
      </c>
      <c r="J68" s="136">
        <f t="shared" si="6"/>
        <v>185.06880000000001</v>
      </c>
      <c r="K68" s="136">
        <f t="shared" si="6"/>
        <v>845.28199999999993</v>
      </c>
      <c r="L68" s="136">
        <f t="shared" si="6"/>
        <v>37.247772631578954</v>
      </c>
      <c r="M68" s="136">
        <f t="shared" si="6"/>
        <v>15.63768</v>
      </c>
      <c r="N68" s="115"/>
      <c r="O68" s="131"/>
      <c r="P68" s="131"/>
      <c r="Q68" s="131"/>
      <c r="R68" s="115"/>
      <c r="S68" s="131"/>
      <c r="T68" s="131"/>
      <c r="U68" s="131"/>
      <c r="V68" s="115"/>
      <c r="W68" s="128"/>
      <c r="X68" s="128"/>
      <c r="Y68" s="128"/>
      <c r="Z68" s="126"/>
      <c r="AA68" s="126"/>
      <c r="AB68" s="126" t="s">
        <v>303</v>
      </c>
      <c r="AC68" s="115"/>
      <c r="AD68" s="128"/>
      <c r="AE68" s="128"/>
      <c r="AF68" s="128"/>
      <c r="AG68" s="126"/>
      <c r="AH68" s="126"/>
      <c r="AI68" s="126"/>
      <c r="AJ68" s="115"/>
      <c r="AK68" s="131"/>
      <c r="AL68" s="131"/>
      <c r="AM68" s="131"/>
      <c r="AN68" s="115"/>
      <c r="AO68" s="131"/>
      <c r="AP68" s="131"/>
      <c r="AQ68" s="131"/>
      <c r="AR68" s="115"/>
      <c r="AS68" s="126"/>
      <c r="AT68" s="126"/>
      <c r="AU68" s="126"/>
      <c r="AV68" s="115"/>
      <c r="AW68" s="126"/>
      <c r="AX68" s="126"/>
      <c r="AY68" s="126"/>
      <c r="AZ68" s="115"/>
    </row>
    <row r="69" spans="1:52" x14ac:dyDescent="0.25">
      <c r="A69" s="94">
        <v>2014</v>
      </c>
      <c r="B69" s="139" cm="1">
        <f t="array" ref="B69">SUMPRODUCT((BXL!$AA$4:'BXL'!$AA$103=A69)*BXL!$AD$4:$AD$103)+SUMPRODUCT((BXL!$AB$4:'BXL'!$AB$103=A69)*BXL!$AD$4:$AD$103)+SUMPRODUCT((BXL!$AU$4:'BXL'!$AU$103=A69)*BXL!$AX$4:$AX$103)</f>
        <v>0</v>
      </c>
      <c r="C69" s="139" cm="1">
        <f t="array" ref="C69">SUMPRODUCT((BXL!$AA$4:'BXL'!$AA$103=A69)*BXL!$AE$4:$AE$103)+SUMPRODUCT((BXL!$AB$4:'BXL'!$AB$103=A69)*BXL!$AE$4:$AE$103)+SUMPRODUCT((BXL!$AU$4:'BXL'!$AU$103=A69)*BXL!$AY$4:$AY$103)</f>
        <v>0</v>
      </c>
      <c r="D69" s="136" cm="1">
        <f t="array" ref="D69">SUMPRODUCT((BXL!$AA$4:'BXL'!$AA$103=A69)*BXL!$AF$4:$AF$103)+SUMPRODUCT((BXL!$AB$4:'BXL'!$AB$103=A69)*BXL!$AF$4:$AF$103)+SUMPRODUCT((BXL!$AU$4:'BXL'!$AU$103=A69)*BXL!$AV$4:$AV$103)</f>
        <v>0</v>
      </c>
      <c r="E69" s="136" cm="1">
        <f t="array" ref="E69">SUMPRODUCT((BXL!$AA$4:'BXL'!$AA$103=A69)*BXL!$AG$4:$AG$103)+SUMPRODUCT((BXL!$AB$4:'BXL'!$AB$103=A69)*BXL!$AG$4:$AG$103)+SUMPRODUCT((BXL!$AU$4:'BXL'!$AU$103=A69)*BXL!$AW$4:$AW$103)</f>
        <v>0</v>
      </c>
      <c r="F69" s="136" cm="1">
        <f t="array" ref="F69">SUMPRODUCT((BXL!$AA$4:'BXL'!$AA$103=A69)*BXL!$AH$4:$AH$103)+SUMPRODUCT((BXL!$AB$4:'BXL'!$AB$103=A69)*BXL!$AH$4:$AH$103)+SUMPRODUCT((BXL!$AU$4:'BXL'!$AU$103=A69)*BXL!$AZ$4:$AZ$103)</f>
        <v>0</v>
      </c>
      <c r="G69" s="136" cm="1">
        <f t="array" ref="G69">SUMPRODUCT((BXL!$AA$4:'BXL'!$AA$103=A69)*BXL!$AI$4:$AI$103)+SUMPRODUCT((BXL!$AB$4:'BXL'!$AB$103=A69)*BXL!$AI$4:$AI$103)+SUMPRODUCT((BXL!$AU$4:'BXL'!$AU$103=A69)*BXL!$BA$4:$BA$103)</f>
        <v>0</v>
      </c>
      <c r="H69" s="115"/>
      <c r="I69" s="139">
        <f t="shared" si="4"/>
        <v>1030.3507999999999</v>
      </c>
      <c r="J69" s="136">
        <f t="shared" si="6"/>
        <v>185.06880000000001</v>
      </c>
      <c r="K69" s="136">
        <f t="shared" si="6"/>
        <v>845.28199999999993</v>
      </c>
      <c r="L69" s="136">
        <f t="shared" si="6"/>
        <v>37.247772631578954</v>
      </c>
      <c r="M69" s="136">
        <f t="shared" si="6"/>
        <v>15.63768</v>
      </c>
      <c r="N69" s="115"/>
      <c r="O69" s="131"/>
      <c r="P69" s="131"/>
      <c r="Q69" s="131"/>
      <c r="R69" s="115"/>
      <c r="S69" s="131"/>
      <c r="T69" s="131"/>
      <c r="U69" s="131"/>
      <c r="V69" s="115"/>
      <c r="W69" s="128"/>
      <c r="X69" s="128"/>
      <c r="Y69" s="128"/>
      <c r="Z69" s="126"/>
      <c r="AA69" s="126"/>
      <c r="AB69" s="126"/>
      <c r="AC69" s="115"/>
      <c r="AD69" s="128"/>
      <c r="AE69" s="128"/>
      <c r="AF69" s="128"/>
      <c r="AG69" s="126"/>
      <c r="AH69" s="126"/>
      <c r="AI69" s="126"/>
      <c r="AJ69" s="115"/>
      <c r="AK69" s="131"/>
      <c r="AL69" s="131"/>
      <c r="AM69" s="131"/>
      <c r="AN69" s="115"/>
      <c r="AO69" s="131"/>
      <c r="AP69" s="131"/>
      <c r="AQ69" s="131"/>
      <c r="AR69" s="115"/>
      <c r="AS69" s="126"/>
      <c r="AT69" s="126"/>
      <c r="AU69" s="126"/>
      <c r="AV69" s="115"/>
      <c r="AW69" s="126"/>
      <c r="AX69" s="126"/>
      <c r="AY69" s="126"/>
      <c r="AZ69" s="115"/>
    </row>
    <row r="70" spans="1:52" x14ac:dyDescent="0.25">
      <c r="A70" s="94">
        <v>2015</v>
      </c>
      <c r="B70" s="139" cm="1">
        <f t="array" ref="B70">SUMPRODUCT((BXL!$AA$4:'BXL'!$AA$103=A70)*BXL!$AD$4:$AD$103)+SUMPRODUCT((BXL!$AB$4:'BXL'!$AB$103=A70)*BXL!$AD$4:$AD$103)+SUMPRODUCT((BXL!$AU$4:'BXL'!$AU$103=A70)*BXL!$AX$4:$AX$103)</f>
        <v>0</v>
      </c>
      <c r="C70" s="139" cm="1">
        <f t="array" ref="C70">SUMPRODUCT((BXL!$AA$4:'BXL'!$AA$103=A70)*BXL!$AE$4:$AE$103)+SUMPRODUCT((BXL!$AB$4:'BXL'!$AB$103=A70)*BXL!$AE$4:$AE$103)+SUMPRODUCT((BXL!$AU$4:'BXL'!$AU$103=A70)*BXL!$AY$4:$AY$103)</f>
        <v>0</v>
      </c>
      <c r="D70" s="136" cm="1">
        <f t="array" ref="D70">SUMPRODUCT((BXL!$AA$4:'BXL'!$AA$103=A70)*BXL!$AF$4:$AF$103)+SUMPRODUCT((BXL!$AB$4:'BXL'!$AB$103=A70)*BXL!$AF$4:$AF$103)+SUMPRODUCT((BXL!$AU$4:'BXL'!$AU$103=A70)*BXL!$AV$4:$AV$103)</f>
        <v>0</v>
      </c>
      <c r="E70" s="136" cm="1">
        <f t="array" ref="E70">SUMPRODUCT((BXL!$AA$4:'BXL'!$AA$103=A70)*BXL!$AG$4:$AG$103)+SUMPRODUCT((BXL!$AB$4:'BXL'!$AB$103=A70)*BXL!$AG$4:$AG$103)+SUMPRODUCT((BXL!$AU$4:'BXL'!$AU$103=A70)*BXL!$AW$4:$AW$103)</f>
        <v>0</v>
      </c>
      <c r="F70" s="136" cm="1">
        <f t="array" ref="F70">SUMPRODUCT((BXL!$AA$4:'BXL'!$AA$103=A70)*BXL!$AH$4:$AH$103)+SUMPRODUCT((BXL!$AB$4:'BXL'!$AB$103=A70)*BXL!$AH$4:$AH$103)+SUMPRODUCT((BXL!$AU$4:'BXL'!$AU$103=A70)*BXL!$AZ$4:$AZ$103)</f>
        <v>0</v>
      </c>
      <c r="G70" s="136" cm="1">
        <f t="array" ref="G70">SUMPRODUCT((BXL!$AA$4:'BXL'!$AA$103=A70)*BXL!$AI$4:$AI$103)+SUMPRODUCT((BXL!$AB$4:'BXL'!$AB$103=A70)*BXL!$AI$4:$AI$103)+SUMPRODUCT((BXL!$AU$4:'BXL'!$AU$103=A70)*BXL!$BA$4:$BA$103)</f>
        <v>0</v>
      </c>
      <c r="H70" s="115"/>
      <c r="I70" s="139">
        <f t="shared" si="4"/>
        <v>1030.3507999999999</v>
      </c>
      <c r="J70" s="136">
        <f t="shared" si="6"/>
        <v>185.06880000000001</v>
      </c>
      <c r="K70" s="136">
        <f t="shared" si="6"/>
        <v>845.28199999999993</v>
      </c>
      <c r="L70" s="136">
        <f t="shared" si="6"/>
        <v>37.247772631578954</v>
      </c>
      <c r="M70" s="136">
        <f t="shared" si="6"/>
        <v>15.63768</v>
      </c>
      <c r="N70" s="115"/>
      <c r="O70" s="131"/>
      <c r="P70" s="131"/>
      <c r="Q70" s="131"/>
      <c r="R70" s="115"/>
      <c r="S70" s="131"/>
      <c r="T70" s="131"/>
      <c r="U70" s="131"/>
      <c r="V70" s="115"/>
      <c r="W70" s="128"/>
      <c r="X70" s="128"/>
      <c r="Y70" s="128"/>
      <c r="Z70" s="126"/>
      <c r="AA70" s="126"/>
      <c r="AB70" s="126"/>
      <c r="AC70" s="115"/>
      <c r="AD70" s="128"/>
      <c r="AE70" s="128"/>
      <c r="AF70" s="128"/>
      <c r="AG70" s="126"/>
      <c r="AH70" s="126"/>
      <c r="AI70" s="126"/>
      <c r="AJ70" s="115"/>
      <c r="AK70" s="131"/>
      <c r="AL70" s="131"/>
      <c r="AM70" s="131"/>
      <c r="AN70" s="115"/>
      <c r="AO70" s="131"/>
      <c r="AP70" s="131"/>
      <c r="AQ70" s="131"/>
      <c r="AR70" s="115"/>
      <c r="AS70" s="126"/>
      <c r="AT70" s="126"/>
      <c r="AU70" s="126"/>
      <c r="AV70" s="115"/>
      <c r="AW70" s="126"/>
      <c r="AX70" s="126"/>
      <c r="AY70" s="126"/>
      <c r="AZ70" s="115"/>
    </row>
    <row r="71" spans="1:52" x14ac:dyDescent="0.25">
      <c r="A71" s="94">
        <v>2016</v>
      </c>
      <c r="B71" s="139" cm="1">
        <f t="array" ref="B71">SUMPRODUCT((BXL!$AA$4:'BXL'!$AA$103=A71)*BXL!$AD$4:$AD$103)+SUMPRODUCT((BXL!$AB$4:'BXL'!$AB$103=A71)*BXL!$AD$4:$AD$103)+SUMPRODUCT((BXL!$AU$4:'BXL'!$AU$103=A71)*BXL!$AX$4:$AX$103)</f>
        <v>0</v>
      </c>
      <c r="C71" s="139" cm="1">
        <f t="array" ref="C71">SUMPRODUCT((BXL!$AA$4:'BXL'!$AA$103=A71)*BXL!$AE$4:$AE$103)+SUMPRODUCT((BXL!$AB$4:'BXL'!$AB$103=A71)*BXL!$AE$4:$AE$103)+SUMPRODUCT((BXL!$AU$4:'BXL'!$AU$103=A71)*BXL!$AY$4:$AY$103)</f>
        <v>0</v>
      </c>
      <c r="D71" s="136" cm="1">
        <f t="array" ref="D71">SUMPRODUCT((BXL!$AA$4:'BXL'!$AA$103=A71)*BXL!$AF$4:$AF$103)+SUMPRODUCT((BXL!$AB$4:'BXL'!$AB$103=A71)*BXL!$AF$4:$AF$103)+SUMPRODUCT((BXL!$AU$4:'BXL'!$AU$103=A71)*BXL!$AV$4:$AV$103)</f>
        <v>0</v>
      </c>
      <c r="E71" s="136" cm="1">
        <f t="array" ref="E71">SUMPRODUCT((BXL!$AA$4:'BXL'!$AA$103=A71)*BXL!$AG$4:$AG$103)+SUMPRODUCT((BXL!$AB$4:'BXL'!$AB$103=A71)*BXL!$AG$4:$AG$103)+SUMPRODUCT((BXL!$AU$4:'BXL'!$AU$103=A71)*BXL!$AW$4:$AW$103)</f>
        <v>0</v>
      </c>
      <c r="F71" s="136" cm="1">
        <f t="array" ref="F71">SUMPRODUCT((BXL!$AA$4:'BXL'!$AA$103=A71)*BXL!$AH$4:$AH$103)+SUMPRODUCT((BXL!$AB$4:'BXL'!$AB$103=A71)*BXL!$AH$4:$AH$103)+SUMPRODUCT((BXL!$AU$4:'BXL'!$AU$103=A71)*BXL!$AZ$4:$AZ$103)</f>
        <v>0</v>
      </c>
      <c r="G71" s="136" cm="1">
        <f t="array" ref="G71">SUMPRODUCT((BXL!$AA$4:'BXL'!$AA$103=A71)*BXL!$AI$4:$AI$103)+SUMPRODUCT((BXL!$AB$4:'BXL'!$AB$103=A71)*BXL!$AI$4:$AI$103)+SUMPRODUCT((BXL!$AU$4:'BXL'!$AU$103=A71)*BXL!$BA$4:$BA$103)</f>
        <v>0</v>
      </c>
      <c r="H71" s="115"/>
      <c r="I71" s="139">
        <f t="shared" ref="I71:I102" si="7">C71+I70</f>
        <v>1030.3507999999999</v>
      </c>
      <c r="J71" s="136">
        <f t="shared" ref="J71:M86" si="8">D71+J70</f>
        <v>185.06880000000001</v>
      </c>
      <c r="K71" s="136">
        <f t="shared" si="8"/>
        <v>845.28199999999993</v>
      </c>
      <c r="L71" s="136">
        <f t="shared" si="8"/>
        <v>37.247772631578954</v>
      </c>
      <c r="M71" s="136">
        <f t="shared" si="8"/>
        <v>15.63768</v>
      </c>
      <c r="N71" s="115"/>
      <c r="O71" s="131"/>
      <c r="P71" s="131"/>
      <c r="Q71" s="131"/>
      <c r="R71" s="115"/>
      <c r="S71" s="131"/>
      <c r="T71" s="131"/>
      <c r="U71" s="131"/>
      <c r="V71" s="115"/>
      <c r="W71" s="128"/>
      <c r="X71" s="128"/>
      <c r="Y71" s="128"/>
      <c r="Z71" s="126"/>
      <c r="AA71" s="126"/>
      <c r="AB71" s="126"/>
      <c r="AC71" s="115"/>
      <c r="AD71" s="128"/>
      <c r="AE71" s="128"/>
      <c r="AF71" s="128"/>
      <c r="AG71" s="126"/>
      <c r="AH71" s="126"/>
      <c r="AI71" s="126"/>
      <c r="AJ71" s="115"/>
      <c r="AK71" s="131"/>
      <c r="AL71" s="131"/>
      <c r="AM71" s="131"/>
      <c r="AN71" s="115"/>
      <c r="AO71" s="131"/>
      <c r="AP71" s="131"/>
      <c r="AQ71" s="131"/>
      <c r="AR71" s="115"/>
      <c r="AS71" s="126"/>
      <c r="AT71" s="126"/>
      <c r="AU71" s="126"/>
      <c r="AV71" s="115"/>
      <c r="AW71" s="126"/>
      <c r="AX71" s="126"/>
      <c r="AY71" s="126"/>
      <c r="AZ71" s="115"/>
    </row>
    <row r="72" spans="1:52" x14ac:dyDescent="0.25">
      <c r="A72" s="94">
        <v>2017</v>
      </c>
      <c r="B72" s="139" cm="1">
        <f t="array" ref="B72">SUMPRODUCT((BXL!$AA$4:'BXL'!$AA$103=A72)*BXL!$AD$4:$AD$103)+SUMPRODUCT((BXL!$AB$4:'BXL'!$AB$103=A72)*BXL!$AD$4:$AD$103)+SUMPRODUCT((BXL!$AU$4:'BXL'!$AU$103=A72)*BXL!$AX$4:$AX$103)</f>
        <v>8164.8</v>
      </c>
      <c r="C72" s="139" cm="1">
        <f t="array" ref="C72">SUMPRODUCT((BXL!$AA$4:'BXL'!$AA$103=A72)*BXL!$AE$4:$AE$103)+SUMPRODUCT((BXL!$AB$4:'BXL'!$AB$103=A72)*BXL!$AE$4:$AE$103)+SUMPRODUCT((BXL!$AU$4:'BXL'!$AU$103=A72)*BXL!$AY$4:$AY$103)</f>
        <v>197.74124999999998</v>
      </c>
      <c r="D72" s="136" cm="1">
        <f t="array" ref="D72">SUMPRODUCT((BXL!$AA$4:'BXL'!$AA$103=A72)*BXL!$AF$4:$AF$103)+SUMPRODUCT((BXL!$AB$4:'BXL'!$AB$103=A72)*BXL!$AF$4:$AF$103)+SUMPRODUCT((BXL!$AU$4:'BXL'!$AU$103=A72)*BXL!$AV$4:$AV$103)</f>
        <v>34.445250000000001</v>
      </c>
      <c r="E72" s="136" cm="1">
        <f t="array" ref="E72">SUMPRODUCT((BXL!$AA$4:'BXL'!$AA$103=A72)*BXL!$AG$4:$AG$103)+SUMPRODUCT((BXL!$AB$4:'BXL'!$AB$103=A72)*BXL!$AG$4:$AG$103)+SUMPRODUCT((BXL!$AU$4:'BXL'!$AU$103=A72)*BXL!$AW$4:$AW$103)</f>
        <v>163.29599999999999</v>
      </c>
      <c r="F72" s="136" cm="1">
        <f t="array" ref="F72">SUMPRODUCT((BXL!$AA$4:'BXL'!$AA$103=A72)*BXL!$AH$4:$AH$103)+SUMPRODUCT((BXL!$AB$4:'BXL'!$AB$103=A72)*BXL!$AH$4:$AH$103)+SUMPRODUCT((BXL!$AU$4:'BXL'!$AU$103=A72)*BXL!$AZ$4:$AZ$103)</f>
        <v>17.4636</v>
      </c>
      <c r="G72" s="136" cm="1">
        <f t="array" ref="G72">SUMPRODUCT((BXL!$AA$4:'BXL'!$AA$103=A72)*BXL!$AI$4:$AI$103)+SUMPRODUCT((BXL!$AB$4:'BXL'!$AB$103=A72)*BXL!$AI$4:$AI$103)+SUMPRODUCT((BXL!$AU$4:'BXL'!$AU$103=A72)*BXL!$BA$4:$BA$103)</f>
        <v>9.9791999999999987</v>
      </c>
      <c r="H72" s="115"/>
      <c r="I72" s="139">
        <f t="shared" si="7"/>
        <v>1228.09205</v>
      </c>
      <c r="J72" s="136">
        <f t="shared" si="8"/>
        <v>219.51405</v>
      </c>
      <c r="K72" s="136">
        <f t="shared" si="8"/>
        <v>1008.578</v>
      </c>
      <c r="L72" s="136">
        <f t="shared" si="8"/>
        <v>54.711372631578953</v>
      </c>
      <c r="M72" s="136">
        <f t="shared" si="8"/>
        <v>25.616879999999998</v>
      </c>
      <c r="N72" s="115"/>
      <c r="O72" s="131"/>
      <c r="P72" s="131"/>
      <c r="Q72" s="131"/>
      <c r="R72" s="115"/>
      <c r="S72" s="131"/>
      <c r="T72" s="131"/>
      <c r="U72" s="131"/>
      <c r="V72" s="115"/>
      <c r="W72" s="128"/>
      <c r="X72" s="128"/>
      <c r="Y72" s="128"/>
      <c r="Z72" s="126"/>
      <c r="AA72" s="126"/>
      <c r="AB72" s="126"/>
      <c r="AC72" s="115"/>
      <c r="AD72" s="128"/>
      <c r="AE72" s="128"/>
      <c r="AF72" s="128"/>
      <c r="AG72" s="126"/>
      <c r="AH72" s="126"/>
      <c r="AI72" s="126"/>
      <c r="AJ72" s="115"/>
      <c r="AK72" s="131"/>
      <c r="AL72" s="131"/>
      <c r="AM72" s="131"/>
      <c r="AN72" s="115"/>
      <c r="AO72" s="131"/>
      <c r="AP72" s="131"/>
      <c r="AQ72" s="131"/>
      <c r="AR72" s="115"/>
      <c r="AS72" s="126"/>
      <c r="AT72" s="126"/>
      <c r="AU72" s="126"/>
      <c r="AV72" s="115"/>
      <c r="AW72" s="126"/>
      <c r="AX72" s="126"/>
      <c r="AY72" s="126"/>
      <c r="AZ72" s="115"/>
    </row>
    <row r="73" spans="1:52" x14ac:dyDescent="0.25">
      <c r="A73" s="94">
        <v>2018</v>
      </c>
      <c r="B73" s="139" cm="1">
        <f t="array" ref="B73">SUMPRODUCT((BXL!$AA$4:'BXL'!$AA$103=A73)*BXL!$AD$4:$AD$103)+SUMPRODUCT((BXL!$AB$4:'BXL'!$AB$103=A73)*BXL!$AD$4:$AD$103)+SUMPRODUCT((BXL!$AU$4:'BXL'!$AU$103=A73)*BXL!$AX$4:$AX$103)</f>
        <v>0</v>
      </c>
      <c r="C73" s="139" cm="1">
        <f t="array" ref="C73">SUMPRODUCT((BXL!$AA$4:'BXL'!$AA$103=A73)*BXL!$AE$4:$AE$103)+SUMPRODUCT((BXL!$AB$4:'BXL'!$AB$103=A73)*BXL!$AE$4:$AE$103)+SUMPRODUCT((BXL!$AU$4:'BXL'!$AU$103=A73)*BXL!$AY$4:$AY$103)</f>
        <v>0</v>
      </c>
      <c r="D73" s="136" cm="1">
        <f t="array" ref="D73">SUMPRODUCT((BXL!$AA$4:'BXL'!$AA$103=A73)*BXL!$AF$4:$AF$103)+SUMPRODUCT((BXL!$AB$4:'BXL'!$AB$103=A73)*BXL!$AF$4:$AF$103)+SUMPRODUCT((BXL!$AU$4:'BXL'!$AU$103=A73)*BXL!$AV$4:$AV$103)</f>
        <v>0</v>
      </c>
      <c r="E73" s="136" cm="1">
        <f t="array" ref="E73">SUMPRODUCT((BXL!$AA$4:'BXL'!$AA$103=A73)*BXL!$AG$4:$AG$103)+SUMPRODUCT((BXL!$AB$4:'BXL'!$AB$103=A73)*BXL!$AG$4:$AG$103)+SUMPRODUCT((BXL!$AU$4:'BXL'!$AU$103=A73)*BXL!$AW$4:$AW$103)</f>
        <v>0</v>
      </c>
      <c r="F73" s="136" cm="1">
        <f t="array" ref="F73">SUMPRODUCT((BXL!$AA$4:'BXL'!$AA$103=A73)*BXL!$AH$4:$AH$103)+SUMPRODUCT((BXL!$AB$4:'BXL'!$AB$103=A73)*BXL!$AH$4:$AH$103)+SUMPRODUCT((BXL!$AU$4:'BXL'!$AU$103=A73)*BXL!$AZ$4:$AZ$103)</f>
        <v>0</v>
      </c>
      <c r="G73" s="136" cm="1">
        <f t="array" ref="G73">SUMPRODUCT((BXL!$AA$4:'BXL'!$AA$103=A73)*BXL!$AI$4:$AI$103)+SUMPRODUCT((BXL!$AB$4:'BXL'!$AB$103=A73)*BXL!$AI$4:$AI$103)+SUMPRODUCT((BXL!$AU$4:'BXL'!$AU$103=A73)*BXL!$BA$4:$BA$103)</f>
        <v>0</v>
      </c>
      <c r="H73" s="115"/>
      <c r="I73" s="139">
        <f t="shared" si="7"/>
        <v>1228.09205</v>
      </c>
      <c r="J73" s="136">
        <f t="shared" si="8"/>
        <v>219.51405</v>
      </c>
      <c r="K73" s="136">
        <f t="shared" si="8"/>
        <v>1008.578</v>
      </c>
      <c r="L73" s="136">
        <f t="shared" si="8"/>
        <v>54.711372631578953</v>
      </c>
      <c r="M73" s="136">
        <f t="shared" si="8"/>
        <v>25.616879999999998</v>
      </c>
      <c r="N73" s="115"/>
      <c r="O73" s="131"/>
      <c r="P73" s="131"/>
      <c r="Q73" s="131"/>
      <c r="R73" s="115"/>
      <c r="S73" s="131"/>
      <c r="T73" s="131"/>
      <c r="U73" s="131"/>
      <c r="V73" s="115"/>
      <c r="W73" s="128"/>
      <c r="X73" s="128"/>
      <c r="Y73" s="128"/>
      <c r="Z73" s="126"/>
      <c r="AA73" s="126"/>
      <c r="AB73" s="126"/>
      <c r="AC73" s="115"/>
      <c r="AD73" s="128"/>
      <c r="AE73" s="128"/>
      <c r="AF73" s="128"/>
      <c r="AG73" s="126"/>
      <c r="AH73" s="126"/>
      <c r="AI73" s="126"/>
      <c r="AJ73" s="115"/>
      <c r="AK73" s="131"/>
      <c r="AL73" s="131"/>
      <c r="AM73" s="131"/>
      <c r="AN73" s="115"/>
      <c r="AO73" s="131"/>
      <c r="AP73" s="131"/>
      <c r="AQ73" s="131"/>
      <c r="AR73" s="115"/>
      <c r="AS73" s="126"/>
      <c r="AT73" s="126"/>
      <c r="AU73" s="126"/>
      <c r="AV73" s="115"/>
      <c r="AW73" s="126"/>
      <c r="AX73" s="126"/>
      <c r="AY73" s="126"/>
      <c r="AZ73" s="115"/>
    </row>
    <row r="74" spans="1:52" x14ac:dyDescent="0.25">
      <c r="A74" s="94">
        <v>2019</v>
      </c>
      <c r="B74" s="139" cm="1">
        <f t="array" ref="B74">SUMPRODUCT((BXL!$AA$4:'BXL'!$AA$103=A74)*BXL!$AD$4:$AD$103)+SUMPRODUCT((BXL!$AB$4:'BXL'!$AB$103=A74)*BXL!$AD$4:$AD$103)+SUMPRODUCT((BXL!$AU$4:'BXL'!$AU$103=A74)*BXL!$AX$4:$AX$103)</f>
        <v>0</v>
      </c>
      <c r="C74" s="139" cm="1">
        <f t="array" ref="C74">SUMPRODUCT((BXL!$AA$4:'BXL'!$AA$103=A74)*BXL!$AE$4:$AE$103)+SUMPRODUCT((BXL!$AB$4:'BXL'!$AB$103=A74)*BXL!$AE$4:$AE$103)+SUMPRODUCT((BXL!$AU$4:'BXL'!$AU$103=A74)*BXL!$AY$4:$AY$103)</f>
        <v>0</v>
      </c>
      <c r="D74" s="136" cm="1">
        <f t="array" ref="D74">SUMPRODUCT((BXL!$AA$4:'BXL'!$AA$103=A74)*BXL!$AF$4:$AF$103)+SUMPRODUCT((BXL!$AB$4:'BXL'!$AB$103=A74)*BXL!$AF$4:$AF$103)+SUMPRODUCT((BXL!$AU$4:'BXL'!$AU$103=A74)*BXL!$AV$4:$AV$103)</f>
        <v>0</v>
      </c>
      <c r="E74" s="136" cm="1">
        <f t="array" ref="E74">SUMPRODUCT((BXL!$AA$4:'BXL'!$AA$103=A74)*BXL!$AG$4:$AG$103)+SUMPRODUCT((BXL!$AB$4:'BXL'!$AB$103=A74)*BXL!$AG$4:$AG$103)+SUMPRODUCT((BXL!$AU$4:'BXL'!$AU$103=A74)*BXL!$AW$4:$AW$103)</f>
        <v>0</v>
      </c>
      <c r="F74" s="136" cm="1">
        <f t="array" ref="F74">SUMPRODUCT((BXL!$AA$4:'BXL'!$AA$103=A74)*BXL!$AH$4:$AH$103)+SUMPRODUCT((BXL!$AB$4:'BXL'!$AB$103=A74)*BXL!$AH$4:$AH$103)+SUMPRODUCT((BXL!$AU$4:'BXL'!$AU$103=A74)*BXL!$AZ$4:$AZ$103)</f>
        <v>0</v>
      </c>
      <c r="G74" s="136" cm="1">
        <f t="array" ref="G74">SUMPRODUCT((BXL!$AA$4:'BXL'!$AA$103=A74)*BXL!$AI$4:$AI$103)+SUMPRODUCT((BXL!$AB$4:'BXL'!$AB$103=A74)*BXL!$AI$4:$AI$103)+SUMPRODUCT((BXL!$AU$4:'BXL'!$AU$103=A74)*BXL!$BA$4:$BA$103)</f>
        <v>0</v>
      </c>
      <c r="H74" s="115"/>
      <c r="I74" s="139">
        <f t="shared" si="7"/>
        <v>1228.09205</v>
      </c>
      <c r="J74" s="136">
        <f t="shared" si="8"/>
        <v>219.51405</v>
      </c>
      <c r="K74" s="136">
        <f t="shared" si="8"/>
        <v>1008.578</v>
      </c>
      <c r="L74" s="136">
        <f t="shared" si="8"/>
        <v>54.711372631578953</v>
      </c>
      <c r="M74" s="136">
        <f t="shared" si="8"/>
        <v>25.616879999999998</v>
      </c>
      <c r="N74" s="115"/>
      <c r="O74" s="131"/>
      <c r="P74" s="131"/>
      <c r="Q74" s="131"/>
      <c r="R74" s="115"/>
      <c r="S74" s="131"/>
      <c r="T74" s="131"/>
      <c r="U74" s="131"/>
      <c r="V74" s="115"/>
      <c r="W74" s="128"/>
      <c r="X74" s="128"/>
      <c r="Y74" s="128"/>
      <c r="Z74" s="126"/>
      <c r="AA74" s="126"/>
      <c r="AB74" s="126"/>
      <c r="AC74" s="115"/>
      <c r="AD74" s="128"/>
      <c r="AE74" s="128"/>
      <c r="AF74" s="128"/>
      <c r="AG74" s="126"/>
      <c r="AH74" s="126"/>
      <c r="AI74" s="126"/>
      <c r="AJ74" s="115"/>
      <c r="AK74" s="131"/>
      <c r="AL74" s="131"/>
      <c r="AM74" s="131"/>
      <c r="AN74" s="115"/>
      <c r="AO74" s="131"/>
      <c r="AP74" s="131"/>
      <c r="AQ74" s="131"/>
      <c r="AR74" s="115"/>
      <c r="AS74" s="126"/>
      <c r="AT74" s="126"/>
      <c r="AU74" s="126"/>
      <c r="AV74" s="115"/>
      <c r="AW74" s="126"/>
      <c r="AX74" s="126"/>
      <c r="AY74" s="126"/>
      <c r="AZ74" s="115"/>
    </row>
    <row r="75" spans="1:52" x14ac:dyDescent="0.25">
      <c r="A75" s="94">
        <v>2020</v>
      </c>
      <c r="B75" s="139" cm="1">
        <f t="array" ref="B75">SUMPRODUCT((BXL!$AA$4:'BXL'!$AA$103=A75)*BXL!$AD$4:$AD$103)+SUMPRODUCT((BXL!$AB$4:'BXL'!$AB$103=A75)*BXL!$AD$4:$AD$103)+SUMPRODUCT((BXL!$AU$4:'BXL'!$AU$103=A75)*BXL!$AX$4:$AX$103)</f>
        <v>38136.15</v>
      </c>
      <c r="C75" s="139" cm="1">
        <f t="array" ref="C75">SUMPRODUCT((BXL!$AA$4:'BXL'!$AA$103=A75)*BXL!$AE$4:$AE$103)+SUMPRODUCT((BXL!$AB$4:'BXL'!$AB$103=A75)*BXL!$AE$4:$AE$103)+SUMPRODUCT((BXL!$AU$4:'BXL'!$AU$103=A75)*BXL!$AY$4:$AY$103)</f>
        <v>837.13499999999999</v>
      </c>
      <c r="D75" s="136" cm="1">
        <f t="array" ref="D75">SUMPRODUCT((BXL!$AA$4:'BXL'!$AA$103=A75)*BXL!$AF$4:$AF$103)+SUMPRODUCT((BXL!$AB$4:'BXL'!$AB$103=A75)*BXL!$AF$4:$AF$103)+SUMPRODUCT((BXL!$AU$4:'BXL'!$AU$103=A75)*BXL!$AV$4:$AV$103)</f>
        <v>167.42700000000002</v>
      </c>
      <c r="E75" s="136" cm="1">
        <f t="array" ref="E75">SUMPRODUCT((BXL!$AA$4:'BXL'!$AA$103=A75)*BXL!$AG$4:$AG$103)+SUMPRODUCT((BXL!$AB$4:'BXL'!$AB$103=A75)*BXL!$AG$4:$AG$103)+SUMPRODUCT((BXL!$AU$4:'BXL'!$AU$103=A75)*BXL!$AW$4:$AW$103)</f>
        <v>669.70799999999997</v>
      </c>
      <c r="F75" s="136" cm="1">
        <f t="array" ref="F75">SUMPRODUCT((BXL!$AA$4:'BXL'!$AA$103=A75)*BXL!$AH$4:$AH$103)+SUMPRODUCT((BXL!$AB$4:'BXL'!$AB$103=A75)*BXL!$AH$4:$AH$103)+SUMPRODUCT((BXL!$AU$4:'BXL'!$AU$103=A75)*BXL!$AZ$4:$AZ$103)</f>
        <v>63.663600000000002</v>
      </c>
      <c r="G75" s="136" cm="1">
        <f t="array" ref="G75">SUMPRODUCT((BXL!$AA$4:'BXL'!$AA$103=A75)*BXL!$AI$4:$AI$103)+SUMPRODUCT((BXL!$AB$4:'BXL'!$AB$103=A75)*BXL!$AI$4:$AI$103)+SUMPRODUCT((BXL!$AU$4:'BXL'!$AU$103=A75)*BXL!$BA$4:$BA$103)</f>
        <v>36.379199999999997</v>
      </c>
      <c r="H75" s="115"/>
      <c r="I75" s="139">
        <f t="shared" si="7"/>
        <v>2065.22705</v>
      </c>
      <c r="J75" s="136">
        <f t="shared" si="8"/>
        <v>386.94105000000002</v>
      </c>
      <c r="K75" s="136">
        <f t="shared" si="8"/>
        <v>1678.2860000000001</v>
      </c>
      <c r="L75" s="136">
        <f t="shared" si="8"/>
        <v>118.37497263157896</v>
      </c>
      <c r="M75" s="136">
        <f t="shared" si="8"/>
        <v>61.996079999999992</v>
      </c>
      <c r="N75" s="115"/>
      <c r="O75" s="131"/>
      <c r="P75" s="131"/>
      <c r="Q75" s="131"/>
      <c r="R75" s="115"/>
      <c r="S75" s="131"/>
      <c r="T75" s="131"/>
      <c r="U75" s="131"/>
      <c r="V75" s="115"/>
      <c r="W75" s="128"/>
      <c r="X75" s="128"/>
      <c r="Y75" s="128"/>
      <c r="Z75" s="126"/>
      <c r="AA75" s="126"/>
      <c r="AB75" s="126"/>
      <c r="AC75" s="115"/>
      <c r="AD75" s="128"/>
      <c r="AE75" s="128"/>
      <c r="AF75" s="128"/>
      <c r="AG75" s="126"/>
      <c r="AH75" s="126"/>
      <c r="AI75" s="126"/>
      <c r="AJ75" s="115"/>
      <c r="AK75" s="131"/>
      <c r="AL75" s="131"/>
      <c r="AM75" s="131"/>
      <c r="AN75" s="115"/>
      <c r="AO75" s="131"/>
      <c r="AP75" s="131"/>
      <c r="AQ75" s="131"/>
      <c r="AR75" s="115"/>
      <c r="AS75" s="126"/>
      <c r="AT75" s="126"/>
      <c r="AU75" s="126"/>
      <c r="AV75" s="115"/>
      <c r="AW75" s="126"/>
      <c r="AX75" s="126"/>
      <c r="AY75" s="126"/>
      <c r="AZ75" s="115"/>
    </row>
    <row r="76" spans="1:52" x14ac:dyDescent="0.25">
      <c r="A76" s="94">
        <v>2021</v>
      </c>
      <c r="B76" s="139" cm="1">
        <f t="array" ref="B76">SUMPRODUCT((BXL!$AA$4:'BXL'!$AA$103=A76)*BXL!$AD$4:$AD$103)+SUMPRODUCT((BXL!$AB$4:'BXL'!$AB$103=A76)*BXL!$AD$4:$AD$103)+SUMPRODUCT((BXL!$AU$4:'BXL'!$AU$103=A76)*BXL!$AX$4:$AX$103)</f>
        <v>0</v>
      </c>
      <c r="C76" s="139" cm="1">
        <f t="array" ref="C76">SUMPRODUCT((BXL!$AA$4:'BXL'!$AA$103=A76)*BXL!$AE$4:$AE$103)+SUMPRODUCT((BXL!$AB$4:'BXL'!$AB$103=A76)*BXL!$AE$4:$AE$103)+SUMPRODUCT((BXL!$AU$4:'BXL'!$AU$103=A76)*BXL!$AY$4:$AY$103)</f>
        <v>0</v>
      </c>
      <c r="D76" s="136" cm="1">
        <f t="array" ref="D76">SUMPRODUCT((BXL!$AA$4:'BXL'!$AA$103=A76)*BXL!$AF$4:$AF$103)+SUMPRODUCT((BXL!$AB$4:'BXL'!$AB$103=A76)*BXL!$AF$4:$AF$103)+SUMPRODUCT((BXL!$AU$4:'BXL'!$AU$103=A76)*BXL!$AV$4:$AV$103)</f>
        <v>0</v>
      </c>
      <c r="E76" s="136" cm="1">
        <f t="array" ref="E76">SUMPRODUCT((BXL!$AA$4:'BXL'!$AA$103=A76)*BXL!$AG$4:$AG$103)+SUMPRODUCT((BXL!$AB$4:'BXL'!$AB$103=A76)*BXL!$AG$4:$AG$103)+SUMPRODUCT((BXL!$AU$4:'BXL'!$AU$103=A76)*BXL!$AW$4:$AW$103)</f>
        <v>0</v>
      </c>
      <c r="F76" s="136" cm="1">
        <f t="array" ref="F76">SUMPRODUCT((BXL!$AA$4:'BXL'!$AA$103=A76)*BXL!$AH$4:$AH$103)+SUMPRODUCT((BXL!$AB$4:'BXL'!$AB$103=A76)*BXL!$AH$4:$AH$103)+SUMPRODUCT((BXL!$AU$4:'BXL'!$AU$103=A76)*BXL!$AZ$4:$AZ$103)</f>
        <v>0</v>
      </c>
      <c r="G76" s="136" cm="1">
        <f t="array" ref="G76">SUMPRODUCT((BXL!$AA$4:'BXL'!$AA$103=A76)*BXL!$AI$4:$AI$103)+SUMPRODUCT((BXL!$AB$4:'BXL'!$AB$103=A76)*BXL!$AI$4:$AI$103)+SUMPRODUCT((BXL!$AU$4:'BXL'!$AU$103=A76)*BXL!$BA$4:$BA$103)</f>
        <v>0</v>
      </c>
      <c r="H76" s="115"/>
      <c r="I76" s="139">
        <f t="shared" si="7"/>
        <v>2065.22705</v>
      </c>
      <c r="J76" s="136">
        <f t="shared" si="8"/>
        <v>386.94105000000002</v>
      </c>
      <c r="K76" s="136">
        <f t="shared" si="8"/>
        <v>1678.2860000000001</v>
      </c>
      <c r="L76" s="136">
        <f t="shared" si="8"/>
        <v>118.37497263157896</v>
      </c>
      <c r="M76" s="136">
        <f t="shared" si="8"/>
        <v>61.996079999999992</v>
      </c>
      <c r="N76" s="115"/>
      <c r="O76" s="131"/>
      <c r="P76" s="131"/>
      <c r="Q76" s="131"/>
      <c r="R76" s="115"/>
      <c r="S76" s="131"/>
      <c r="T76" s="131"/>
      <c r="U76" s="131"/>
      <c r="V76" s="115"/>
      <c r="W76" s="128"/>
      <c r="X76" s="128"/>
      <c r="Y76" s="128"/>
      <c r="Z76" s="126"/>
      <c r="AA76" s="126"/>
      <c r="AB76" s="126"/>
      <c r="AC76" s="115"/>
      <c r="AD76" s="128"/>
      <c r="AE76" s="128"/>
      <c r="AF76" s="128"/>
      <c r="AG76" s="126"/>
      <c r="AH76" s="126"/>
      <c r="AI76" s="126"/>
      <c r="AJ76" s="115"/>
      <c r="AK76" s="131"/>
      <c r="AL76" s="131"/>
      <c r="AM76" s="131"/>
      <c r="AN76" s="115"/>
      <c r="AO76" s="131"/>
      <c r="AP76" s="131"/>
      <c r="AQ76" s="131"/>
      <c r="AR76" s="115"/>
      <c r="AS76" s="126"/>
      <c r="AT76" s="126"/>
      <c r="AU76" s="126"/>
      <c r="AV76" s="115"/>
      <c r="AW76" s="126"/>
      <c r="AX76" s="126"/>
      <c r="AY76" s="126"/>
      <c r="AZ76" s="115"/>
    </row>
    <row r="77" spans="1:52" x14ac:dyDescent="0.25">
      <c r="A77" s="94">
        <v>2022</v>
      </c>
      <c r="B77" s="139" cm="1">
        <f t="array" ref="B77">SUMPRODUCT((BXL!$AA$4:'BXL'!$AA$103=A77)*BXL!$AD$4:$AD$103)+SUMPRODUCT((BXL!$AB$4:'BXL'!$AB$103=A77)*BXL!$AD$4:$AD$103)+SUMPRODUCT((BXL!$AU$4:'BXL'!$AU$103=A77)*BXL!$AX$4:$AX$103)</f>
        <v>26565</v>
      </c>
      <c r="C77" s="139" cm="1">
        <f t="array" ref="C77">SUMPRODUCT((BXL!$AA$4:'BXL'!$AA$103=A77)*BXL!$AE$4:$AE$103)+SUMPRODUCT((BXL!$AB$4:'BXL'!$AB$103=A77)*BXL!$AE$4:$AE$103)+SUMPRODUCT((BXL!$AU$4:'BXL'!$AU$103=A77)*BXL!$AY$4:$AY$103)</f>
        <v>531.30000000000007</v>
      </c>
      <c r="D77" s="136" cm="1">
        <f t="array" ref="D77">SUMPRODUCT((BXL!$AA$4:'BXL'!$AA$103=A77)*BXL!$AF$4:$AF$103)+SUMPRODUCT((BXL!$AB$4:'BXL'!$AB$103=A77)*BXL!$AF$4:$AF$103)+SUMPRODUCT((BXL!$AU$4:'BXL'!$AU$103=A77)*BXL!$AV$4:$AV$103)</f>
        <v>0</v>
      </c>
      <c r="E77" s="136" cm="1">
        <f t="array" ref="E77">SUMPRODUCT((BXL!$AA$4:'BXL'!$AA$103=A77)*BXL!$AG$4:$AG$103)+SUMPRODUCT((BXL!$AB$4:'BXL'!$AB$103=A77)*BXL!$AG$4:$AG$103)+SUMPRODUCT((BXL!$AU$4:'BXL'!$AU$103=A77)*BXL!$AW$4:$AW$103)</f>
        <v>531.30000000000007</v>
      </c>
      <c r="F77" s="136" cm="1">
        <f t="array" ref="F77">SUMPRODUCT((BXL!$AA$4:'BXL'!$AA$103=A77)*BXL!$AH$4:$AH$103)+SUMPRODUCT((BXL!$AB$4:'BXL'!$AB$103=A77)*BXL!$AH$4:$AH$103)+SUMPRODUCT((BXL!$AU$4:'BXL'!$AU$103=A77)*BXL!$AZ$4:$AZ$103)</f>
        <v>36.225000000000001</v>
      </c>
      <c r="G77" s="136" cm="1">
        <f t="array" ref="G77">SUMPRODUCT((BXL!$AA$4:'BXL'!$AA$103=A77)*BXL!$AI$4:$AI$103)+SUMPRODUCT((BXL!$AB$4:'BXL'!$AB$103=A77)*BXL!$AI$4:$AI$103)+SUMPRODUCT((BXL!$AU$4:'BXL'!$AU$103=A77)*BXL!$BA$4:$BA$103)</f>
        <v>36.225000000000001</v>
      </c>
      <c r="H77" s="115"/>
      <c r="I77" s="139">
        <f t="shared" si="7"/>
        <v>2596.5270500000001</v>
      </c>
      <c r="J77" s="136">
        <f t="shared" si="8"/>
        <v>386.94105000000002</v>
      </c>
      <c r="K77" s="136">
        <f t="shared" si="8"/>
        <v>2209.5860000000002</v>
      </c>
      <c r="L77" s="136">
        <f t="shared" si="8"/>
        <v>154.59997263157896</v>
      </c>
      <c r="M77" s="136">
        <f t="shared" si="8"/>
        <v>98.221080000000001</v>
      </c>
      <c r="N77" s="115"/>
      <c r="O77" s="131"/>
      <c r="P77" s="131"/>
      <c r="Q77" s="131"/>
      <c r="R77" s="115"/>
      <c r="S77" s="131"/>
      <c r="T77" s="131"/>
      <c r="U77" s="131"/>
      <c r="V77" s="115"/>
      <c r="W77" s="128"/>
      <c r="X77" s="128"/>
      <c r="Y77" s="128"/>
      <c r="Z77" s="126"/>
      <c r="AA77" s="126"/>
      <c r="AB77" s="126"/>
      <c r="AC77" s="115"/>
      <c r="AD77" s="128"/>
      <c r="AE77" s="128"/>
      <c r="AF77" s="128"/>
      <c r="AG77" s="126"/>
      <c r="AH77" s="126"/>
      <c r="AI77" s="126"/>
      <c r="AJ77" s="115"/>
      <c r="AK77" s="131"/>
      <c r="AL77" s="131"/>
      <c r="AM77" s="131"/>
      <c r="AN77" s="115"/>
      <c r="AO77" s="131"/>
      <c r="AP77" s="131"/>
      <c r="AQ77" s="131"/>
      <c r="AR77" s="115"/>
      <c r="AS77" s="126"/>
      <c r="AT77" s="126"/>
      <c r="AU77" s="126"/>
      <c r="AV77" s="115"/>
      <c r="AW77" s="126"/>
      <c r="AX77" s="126"/>
      <c r="AY77" s="126"/>
      <c r="AZ77" s="115"/>
    </row>
    <row r="78" spans="1:52" x14ac:dyDescent="0.25">
      <c r="A78" s="94">
        <v>2023</v>
      </c>
      <c r="B78" s="139" cm="1">
        <f t="array" ref="B78">SUMPRODUCT((BXL!$AA$4:'BXL'!$AA$103=A78)*BXL!$AD$4:$AD$103)+SUMPRODUCT((BXL!$AB$4:'BXL'!$AB$103=A78)*BXL!$AD$4:$AD$103)+SUMPRODUCT((BXL!$AU$4:'BXL'!$AU$103=A78)*BXL!$AX$4:$AX$103)</f>
        <v>19068.075000000001</v>
      </c>
      <c r="C78" s="139" cm="1">
        <f t="array" ref="C78">SUMPRODUCT((BXL!$AA$4:'BXL'!$AA$103=A78)*BXL!$AE$4:$AE$103)+SUMPRODUCT((BXL!$AB$4:'BXL'!$AB$103=A78)*BXL!$AE$4:$AE$103)+SUMPRODUCT((BXL!$AU$4:'BXL'!$AU$103=A78)*BXL!$AY$4:$AY$103)</f>
        <v>418.5675</v>
      </c>
      <c r="D78" s="136" cm="1">
        <f t="array" ref="D78">SUMPRODUCT((BXL!$AA$4:'BXL'!$AA$103=A78)*BXL!$AF$4:$AF$103)+SUMPRODUCT((BXL!$AB$4:'BXL'!$AB$103=A78)*BXL!$AF$4:$AF$103)+SUMPRODUCT((BXL!$AU$4:'BXL'!$AU$103=A78)*BXL!$AV$4:$AV$103)</f>
        <v>83.71350000000001</v>
      </c>
      <c r="E78" s="136" cm="1">
        <f t="array" ref="E78">SUMPRODUCT((BXL!$AA$4:'BXL'!$AA$103=A78)*BXL!$AG$4:$AG$103)+SUMPRODUCT((BXL!$AB$4:'BXL'!$AB$103=A78)*BXL!$AG$4:$AG$103)+SUMPRODUCT((BXL!$AU$4:'BXL'!$AU$103=A78)*BXL!$AW$4:$AW$103)</f>
        <v>334.85399999999998</v>
      </c>
      <c r="F78" s="136" cm="1">
        <f t="array" ref="F78">SUMPRODUCT((BXL!$AA$4:'BXL'!$AA$103=A78)*BXL!$AH$4:$AH$103)+SUMPRODUCT((BXL!$AB$4:'BXL'!$AB$103=A78)*BXL!$AH$4:$AH$103)+SUMPRODUCT((BXL!$AU$4:'BXL'!$AU$103=A78)*BXL!$AZ$4:$AZ$103)</f>
        <v>31.831800000000001</v>
      </c>
      <c r="G78" s="136" cm="1">
        <f t="array" ref="G78">SUMPRODUCT((BXL!$AA$4:'BXL'!$AA$103=A78)*BXL!$AI$4:$AI$103)+SUMPRODUCT((BXL!$AB$4:'BXL'!$AB$103=A78)*BXL!$AI$4:$AI$103)+SUMPRODUCT((BXL!$AU$4:'BXL'!$AU$103=A78)*BXL!$BA$4:$BA$103)</f>
        <v>18.189599999999999</v>
      </c>
      <c r="H78" s="115"/>
      <c r="I78" s="139">
        <f t="shared" si="7"/>
        <v>3015.0945500000003</v>
      </c>
      <c r="J78" s="136">
        <f t="shared" si="8"/>
        <v>470.65455000000003</v>
      </c>
      <c r="K78" s="136">
        <f t="shared" si="8"/>
        <v>2544.44</v>
      </c>
      <c r="L78" s="136">
        <f t="shared" si="8"/>
        <v>186.43177263157895</v>
      </c>
      <c r="M78" s="136">
        <f t="shared" si="8"/>
        <v>116.41068</v>
      </c>
      <c r="N78" s="115"/>
      <c r="O78" s="131"/>
      <c r="P78" s="131"/>
      <c r="Q78" s="131"/>
      <c r="R78" s="115"/>
      <c r="S78" s="131"/>
      <c r="T78" s="131"/>
      <c r="U78" s="131"/>
      <c r="V78" s="115"/>
      <c r="W78" s="128"/>
      <c r="X78" s="128"/>
      <c r="Y78" s="128"/>
      <c r="Z78" s="126"/>
      <c r="AA78" s="126"/>
      <c r="AB78" s="126"/>
      <c r="AC78" s="115"/>
      <c r="AD78" s="128"/>
      <c r="AE78" s="128"/>
      <c r="AF78" s="128"/>
      <c r="AG78" s="126"/>
      <c r="AH78" s="126"/>
      <c r="AI78" s="126"/>
      <c r="AJ78" s="115"/>
      <c r="AK78" s="131"/>
      <c r="AL78" s="131"/>
      <c r="AM78" s="131"/>
      <c r="AN78" s="115"/>
      <c r="AO78" s="131"/>
      <c r="AP78" s="131"/>
      <c r="AQ78" s="131"/>
      <c r="AR78" s="115"/>
      <c r="AS78" s="126"/>
      <c r="AT78" s="126"/>
      <c r="AU78" s="126"/>
      <c r="AV78" s="115"/>
      <c r="AW78" s="126"/>
      <c r="AX78" s="126"/>
      <c r="AY78" s="126"/>
      <c r="AZ78" s="115"/>
    </row>
    <row r="79" spans="1:52" x14ac:dyDescent="0.25">
      <c r="A79" s="94">
        <v>2024</v>
      </c>
      <c r="B79" s="139" cm="1">
        <f t="array" ref="B79">SUMPRODUCT((BXL!$AA$4:'BXL'!$AA$103=A79)*BXL!$AD$4:$AD$103)+SUMPRODUCT((BXL!$AB$4:'BXL'!$AB$103=A79)*BXL!$AD$4:$AD$103)+SUMPRODUCT((BXL!$AU$4:'BXL'!$AU$103=A79)*BXL!$AX$4:$AX$103)</f>
        <v>0</v>
      </c>
      <c r="C79" s="139" cm="1">
        <f t="array" ref="C79">SUMPRODUCT((BXL!$AA$4:'BXL'!$AA$103=A79)*BXL!$AE$4:$AE$103)+SUMPRODUCT((BXL!$AB$4:'BXL'!$AB$103=A79)*BXL!$AE$4:$AE$103)+SUMPRODUCT((BXL!$AU$4:'BXL'!$AU$103=A79)*BXL!$AY$4:$AY$103)</f>
        <v>0</v>
      </c>
      <c r="D79" s="136" cm="1">
        <f t="array" ref="D79">SUMPRODUCT((BXL!$AA$4:'BXL'!$AA$103=A79)*BXL!$AF$4:$AF$103)+SUMPRODUCT((BXL!$AB$4:'BXL'!$AB$103=A79)*BXL!$AF$4:$AF$103)+SUMPRODUCT((BXL!$AU$4:'BXL'!$AU$103=A79)*BXL!$AV$4:$AV$103)</f>
        <v>0</v>
      </c>
      <c r="E79" s="136" cm="1">
        <f t="array" ref="E79">SUMPRODUCT((BXL!$AA$4:'BXL'!$AA$103=A79)*BXL!$AG$4:$AG$103)+SUMPRODUCT((BXL!$AB$4:'BXL'!$AB$103=A79)*BXL!$AG$4:$AG$103)+SUMPRODUCT((BXL!$AU$4:'BXL'!$AU$103=A79)*BXL!$AW$4:$AW$103)</f>
        <v>0</v>
      </c>
      <c r="F79" s="136" cm="1">
        <f t="array" ref="F79">SUMPRODUCT((BXL!$AA$4:'BXL'!$AA$103=A79)*BXL!$AH$4:$AH$103)+SUMPRODUCT((BXL!$AB$4:'BXL'!$AB$103=A79)*BXL!$AH$4:$AH$103)+SUMPRODUCT((BXL!$AU$4:'BXL'!$AU$103=A79)*BXL!$AZ$4:$AZ$103)</f>
        <v>0</v>
      </c>
      <c r="G79" s="136" cm="1">
        <f t="array" ref="G79">SUMPRODUCT((BXL!$AA$4:'BXL'!$AA$103=A79)*BXL!$AI$4:$AI$103)+SUMPRODUCT((BXL!$AB$4:'BXL'!$AB$103=A79)*BXL!$AI$4:$AI$103)+SUMPRODUCT((BXL!$AU$4:'BXL'!$AU$103=A79)*BXL!$BA$4:$BA$103)</f>
        <v>0</v>
      </c>
      <c r="H79" s="115"/>
      <c r="I79" s="139">
        <f t="shared" si="7"/>
        <v>3015.0945500000003</v>
      </c>
      <c r="J79" s="136">
        <f t="shared" si="8"/>
        <v>470.65455000000003</v>
      </c>
      <c r="K79" s="136">
        <f t="shared" si="8"/>
        <v>2544.44</v>
      </c>
      <c r="L79" s="136">
        <f t="shared" si="8"/>
        <v>186.43177263157895</v>
      </c>
      <c r="M79" s="136">
        <f t="shared" si="8"/>
        <v>116.41068</v>
      </c>
      <c r="N79" s="115"/>
      <c r="O79" s="131"/>
      <c r="P79" s="131"/>
      <c r="Q79" s="131"/>
      <c r="R79" s="115"/>
      <c r="S79" s="131"/>
      <c r="T79" s="131"/>
      <c r="U79" s="131"/>
      <c r="V79" s="115"/>
      <c r="W79" s="128"/>
      <c r="X79" s="128"/>
      <c r="Y79" s="128"/>
      <c r="Z79" s="126"/>
      <c r="AA79" s="126"/>
      <c r="AB79" s="126"/>
      <c r="AC79" s="115"/>
      <c r="AD79" s="128"/>
      <c r="AE79" s="128"/>
      <c r="AF79" s="128"/>
      <c r="AG79" s="126"/>
      <c r="AH79" s="126"/>
      <c r="AI79" s="126"/>
      <c r="AJ79" s="115"/>
      <c r="AK79" s="131"/>
      <c r="AL79" s="131"/>
      <c r="AM79" s="131"/>
      <c r="AN79" s="115"/>
      <c r="AO79" s="131"/>
      <c r="AP79" s="131"/>
      <c r="AQ79" s="131"/>
      <c r="AR79" s="115"/>
      <c r="AS79" s="126"/>
      <c r="AT79" s="126"/>
      <c r="AU79" s="126"/>
      <c r="AV79" s="115"/>
      <c r="AW79" s="126"/>
      <c r="AX79" s="126"/>
      <c r="AY79" s="126"/>
      <c r="AZ79" s="115"/>
    </row>
    <row r="80" spans="1:52" x14ac:dyDescent="0.25">
      <c r="A80" s="94">
        <v>2025</v>
      </c>
      <c r="B80" s="139" cm="1">
        <f t="array" ref="B80">SUMPRODUCT((BXL!$AA$4:'BXL'!$AA$103=A80)*BXL!$AD$4:$AD$103)+SUMPRODUCT((BXL!$AB$4:'BXL'!$AB$103=A80)*BXL!$AD$4:$AD$103)+SUMPRODUCT((BXL!$AU$4:'BXL'!$AU$103=A80)*BXL!$AX$4:$AX$103)</f>
        <v>18366</v>
      </c>
      <c r="C80" s="139" cm="1">
        <f t="array" ref="C80">SUMPRODUCT((BXL!$AA$4:'BXL'!$AA$103=A80)*BXL!$AE$4:$AE$103)+SUMPRODUCT((BXL!$AB$4:'BXL'!$AB$103=A80)*BXL!$AE$4:$AE$103)+SUMPRODUCT((BXL!$AU$4:'BXL'!$AU$103=A80)*BXL!$AY$4:$AY$103)</f>
        <v>413.23499999999996</v>
      </c>
      <c r="D80" s="136" cm="1">
        <f t="array" ref="D80">SUMPRODUCT((BXL!$AA$4:'BXL'!$AA$103=A80)*BXL!$AF$4:$AF$103)+SUMPRODUCT((BXL!$AB$4:'BXL'!$AB$103=A80)*BXL!$AF$4:$AF$103)+SUMPRODUCT((BXL!$AU$4:'BXL'!$AU$103=A80)*BXL!$AV$4:$AV$103)</f>
        <v>0</v>
      </c>
      <c r="E80" s="136" cm="1">
        <f t="array" ref="E80">SUMPRODUCT((BXL!$AA$4:'BXL'!$AA$103=A80)*BXL!$AG$4:$AG$103)+SUMPRODUCT((BXL!$AB$4:'BXL'!$AB$103=A80)*BXL!$AG$4:$AG$103)+SUMPRODUCT((BXL!$AU$4:'BXL'!$AU$103=A80)*BXL!$AW$4:$AW$103)</f>
        <v>413.23499999999996</v>
      </c>
      <c r="F80" s="136" cm="1">
        <f t="array" ref="F80">SUMPRODUCT((BXL!$AA$4:'BXL'!$AA$103=A80)*BXL!$AH$4:$AH$103)+SUMPRODUCT((BXL!$AB$4:'BXL'!$AB$103=A80)*BXL!$AH$4:$AH$103)+SUMPRODUCT((BXL!$AU$4:'BXL'!$AU$103=A80)*BXL!$AZ$4:$AZ$103)</f>
        <v>20.187200000000001</v>
      </c>
      <c r="G80" s="136" cm="1">
        <f t="array" ref="G80">SUMPRODUCT((BXL!$AA$4:'BXL'!$AA$103=A80)*BXL!$AI$4:$AI$103)+SUMPRODUCT((BXL!$AB$4:'BXL'!$AB$103=A80)*BXL!$AI$4:$AI$103)+SUMPRODUCT((BXL!$AU$4:'BXL'!$AU$103=A80)*BXL!$BA$4:$BA$103)</f>
        <v>20.187200000000001</v>
      </c>
      <c r="H80" s="115"/>
      <c r="I80" s="139">
        <f t="shared" si="7"/>
        <v>3428.3295500000004</v>
      </c>
      <c r="J80" s="136">
        <f t="shared" si="8"/>
        <v>470.65455000000003</v>
      </c>
      <c r="K80" s="136">
        <f t="shared" si="8"/>
        <v>2957.6750000000002</v>
      </c>
      <c r="L80" s="136">
        <f t="shared" si="8"/>
        <v>206.61897263157894</v>
      </c>
      <c r="M80" s="136">
        <f t="shared" si="8"/>
        <v>136.59788</v>
      </c>
      <c r="N80" s="115"/>
      <c r="O80" s="131"/>
      <c r="P80" s="131"/>
      <c r="Q80" s="131"/>
      <c r="R80" s="115"/>
      <c r="S80" s="131"/>
      <c r="T80" s="131"/>
      <c r="U80" s="131"/>
      <c r="V80" s="115"/>
      <c r="W80" s="128"/>
      <c r="X80" s="128"/>
      <c r="Y80" s="128"/>
      <c r="Z80" s="126"/>
      <c r="AA80" s="126"/>
      <c r="AB80" s="126"/>
      <c r="AC80" s="115"/>
      <c r="AD80" s="128"/>
      <c r="AE80" s="128"/>
      <c r="AF80" s="128"/>
      <c r="AG80" s="126"/>
      <c r="AH80" s="126"/>
      <c r="AI80" s="126"/>
      <c r="AJ80" s="115"/>
      <c r="AK80" s="131"/>
      <c r="AL80" s="131"/>
      <c r="AM80" s="131"/>
      <c r="AN80" s="115"/>
      <c r="AO80" s="131"/>
      <c r="AP80" s="131"/>
      <c r="AQ80" s="131"/>
      <c r="AR80" s="115"/>
      <c r="AS80" s="126"/>
      <c r="AT80" s="126"/>
      <c r="AU80" s="126"/>
      <c r="AV80" s="115"/>
      <c r="AW80" s="126"/>
      <c r="AX80" s="126"/>
      <c r="AY80" s="126"/>
      <c r="AZ80" s="115"/>
    </row>
    <row r="81" spans="1:52" x14ac:dyDescent="0.25">
      <c r="A81" s="94">
        <v>2026</v>
      </c>
      <c r="B81" s="139" cm="1">
        <f t="array" ref="B81">SUMPRODUCT((BXL!$AA$4:'BXL'!$AA$103=A81)*BXL!$AD$4:$AD$103)+SUMPRODUCT((BXL!$AB$4:'BXL'!$AB$103=A81)*BXL!$AD$4:$AD$103)+SUMPRODUCT((BXL!$AU$4:'BXL'!$AU$103=A81)*BXL!$AX$4:$AX$103)</f>
        <v>0</v>
      </c>
      <c r="C81" s="139" cm="1">
        <f t="array" ref="C81">SUMPRODUCT((BXL!$AA$4:'BXL'!$AA$103=A81)*BXL!$AE$4:$AE$103)+SUMPRODUCT((BXL!$AB$4:'BXL'!$AB$103=A81)*BXL!$AE$4:$AE$103)+SUMPRODUCT((BXL!$AU$4:'BXL'!$AU$103=A81)*BXL!$AY$4:$AY$103)</f>
        <v>0</v>
      </c>
      <c r="D81" s="136" cm="1">
        <f t="array" ref="D81">SUMPRODUCT((BXL!$AA$4:'BXL'!$AA$103=A81)*BXL!$AF$4:$AF$103)+SUMPRODUCT((BXL!$AB$4:'BXL'!$AB$103=A81)*BXL!$AF$4:$AF$103)+SUMPRODUCT((BXL!$AU$4:'BXL'!$AU$103=A81)*BXL!$AV$4:$AV$103)</f>
        <v>0</v>
      </c>
      <c r="E81" s="136" cm="1">
        <f t="array" ref="E81">SUMPRODUCT((BXL!$AA$4:'BXL'!$AA$103=A81)*BXL!$AG$4:$AG$103)+SUMPRODUCT((BXL!$AB$4:'BXL'!$AB$103=A81)*BXL!$AG$4:$AG$103)+SUMPRODUCT((BXL!$AU$4:'BXL'!$AU$103=A81)*BXL!$AW$4:$AW$103)</f>
        <v>0</v>
      </c>
      <c r="F81" s="136" cm="1">
        <f t="array" ref="F81">SUMPRODUCT((BXL!$AA$4:'BXL'!$AA$103=A81)*BXL!$AH$4:$AH$103)+SUMPRODUCT((BXL!$AB$4:'BXL'!$AB$103=A81)*BXL!$AH$4:$AH$103)+SUMPRODUCT((BXL!$AU$4:'BXL'!$AU$103=A81)*BXL!$AZ$4:$AZ$103)</f>
        <v>0</v>
      </c>
      <c r="G81" s="136" cm="1">
        <f t="array" ref="G81">SUMPRODUCT((BXL!$AA$4:'BXL'!$AA$103=A81)*BXL!$AI$4:$AI$103)+SUMPRODUCT((BXL!$AB$4:'BXL'!$AB$103=A81)*BXL!$AI$4:$AI$103)+SUMPRODUCT((BXL!$AU$4:'BXL'!$AU$103=A81)*BXL!$BA$4:$BA$103)</f>
        <v>0</v>
      </c>
      <c r="H81" s="115"/>
      <c r="I81" s="139">
        <f t="shared" si="7"/>
        <v>3428.3295500000004</v>
      </c>
      <c r="J81" s="136">
        <f t="shared" si="8"/>
        <v>470.65455000000003</v>
      </c>
      <c r="K81" s="136">
        <f t="shared" si="8"/>
        <v>2957.6750000000002</v>
      </c>
      <c r="L81" s="136">
        <f t="shared" si="8"/>
        <v>206.61897263157894</v>
      </c>
      <c r="M81" s="136">
        <f t="shared" si="8"/>
        <v>136.59788</v>
      </c>
      <c r="N81" s="115"/>
      <c r="O81" s="131">
        <f>C81*(Hypotheses!H45*Hypotheses!$D$19+Hypotheses!$D$14*(1-Hypotheses!H45))</f>
        <v>0</v>
      </c>
      <c r="P81" s="131">
        <f>C81*(Hypotheses!I45*Hypotheses!$D$19+Hypotheses!$D$14*(1-Hypotheses!I45))</f>
        <v>0</v>
      </c>
      <c r="Q81" s="131">
        <f>C81*(Hypotheses!J45*Hypotheses!$D$19+Hypotheses!$D$14*(1-Hypotheses!J45))</f>
        <v>0</v>
      </c>
      <c r="R81" s="115"/>
      <c r="S81" s="131">
        <f>C81*(Hypotheses!H45*Hypotheses!$D$21+Hypotheses!$D$14*(1-Hypotheses!H45))</f>
        <v>0</v>
      </c>
      <c r="T81" s="131">
        <f>C81*(Hypotheses!I45*Hypotheses!$D$21+Hypotheses!$D$14*(1-Hypotheses!I45))</f>
        <v>0</v>
      </c>
      <c r="U81" s="131">
        <f>C81*(Hypotheses!J45*Hypotheses!$D$21+Hypotheses!$D$14*(1-Hypotheses!J45))</f>
        <v>0</v>
      </c>
      <c r="V81" s="115"/>
      <c r="W81" s="128">
        <f>-C81*Hypotheses!$D$31*Hypotheses!H45</f>
        <v>0</v>
      </c>
      <c r="X81" s="128">
        <f>-C81*Hypotheses!$D$31*Hypotheses!I45</f>
        <v>0</v>
      </c>
      <c r="Y81" s="128">
        <f>-C81*Hypotheses!$D$31*Hypotheses!J45</f>
        <v>0</v>
      </c>
      <c r="Z81" s="126">
        <f>-C81*Hypotheses!$D$30*Hypotheses!H45</f>
        <v>0</v>
      </c>
      <c r="AA81" s="126">
        <f>-C81*Hypotheses!$D$30*Hypotheses!I45</f>
        <v>0</v>
      </c>
      <c r="AB81" s="126">
        <f>-C81*Hypotheses!$D$30*Hypotheses!J45</f>
        <v>0</v>
      </c>
      <c r="AC81" s="115"/>
      <c r="AD81" s="128">
        <f t="shared" ref="AD81:AI123" si="9">W81+AD80</f>
        <v>0</v>
      </c>
      <c r="AE81" s="128">
        <f t="shared" si="9"/>
        <v>0</v>
      </c>
      <c r="AF81" s="128">
        <f t="shared" si="9"/>
        <v>0</v>
      </c>
      <c r="AG81" s="126">
        <f t="shared" si="9"/>
        <v>0</v>
      </c>
      <c r="AH81" s="126">
        <f t="shared" si="9"/>
        <v>0</v>
      </c>
      <c r="AI81" s="126">
        <f t="shared" si="9"/>
        <v>0</v>
      </c>
      <c r="AJ81" s="115"/>
      <c r="AK81" s="131">
        <f t="shared" ref="AK81:AM125" si="10">AK80+O81</f>
        <v>0</v>
      </c>
      <c r="AL81" s="131">
        <f t="shared" si="10"/>
        <v>0</v>
      </c>
      <c r="AM81" s="131">
        <f t="shared" si="10"/>
        <v>0</v>
      </c>
      <c r="AN81" s="115"/>
      <c r="AO81" s="131">
        <f t="shared" ref="AO81:AQ125" si="11">AO80+S81</f>
        <v>0</v>
      </c>
      <c r="AP81" s="131">
        <f t="shared" si="11"/>
        <v>0</v>
      </c>
      <c r="AQ81" s="131">
        <f t="shared" si="11"/>
        <v>0</v>
      </c>
      <c r="AR81" s="115"/>
      <c r="AS81" s="126">
        <f t="shared" ref="AS81:AU125" si="12">IF(AK81=0,0,AG81+AK81)</f>
        <v>0</v>
      </c>
      <c r="AT81" s="126">
        <f t="shared" si="12"/>
        <v>0</v>
      </c>
      <c r="AU81" s="126">
        <f t="shared" si="12"/>
        <v>0</v>
      </c>
      <c r="AV81" s="115"/>
      <c r="AW81" s="126">
        <f t="shared" ref="AW81:AY125" si="13">IF(AO81=0,0,AG81+AO81)</f>
        <v>0</v>
      </c>
      <c r="AX81" s="126">
        <f t="shared" si="13"/>
        <v>0</v>
      </c>
      <c r="AY81" s="126">
        <f t="shared" si="13"/>
        <v>0</v>
      </c>
      <c r="AZ81" s="115"/>
    </row>
    <row r="82" spans="1:52" x14ac:dyDescent="0.25">
      <c r="A82" s="94">
        <v>2027</v>
      </c>
      <c r="B82" s="139" cm="1">
        <f t="array" ref="B82">SUMPRODUCT((BXL!$AA$4:'BXL'!$AA$103=A82)*BXL!$AD$4:$AD$103)+SUMPRODUCT((BXL!$AB$4:'BXL'!$AB$103=A82)*BXL!$AD$4:$AD$103)+SUMPRODUCT((BXL!$AU$4:'BXL'!$AU$103=A82)*BXL!$AX$4:$AX$103)</f>
        <v>0</v>
      </c>
      <c r="C82" s="139" cm="1">
        <f t="array" ref="C82">SUMPRODUCT((BXL!$AA$4:'BXL'!$AA$103=A82)*BXL!$AE$4:$AE$103)+SUMPRODUCT((BXL!$AB$4:'BXL'!$AB$103=A82)*BXL!$AE$4:$AE$103)+SUMPRODUCT((BXL!$AU$4:'BXL'!$AU$103=A82)*BXL!$AY$4:$AY$103)</f>
        <v>0</v>
      </c>
      <c r="D82" s="136" cm="1">
        <f t="array" ref="D82">SUMPRODUCT((BXL!$AA$4:'BXL'!$AA$103=A82)*BXL!$AF$4:$AF$103)+SUMPRODUCT((BXL!$AB$4:'BXL'!$AB$103=A82)*BXL!$AF$4:$AF$103)+SUMPRODUCT((BXL!$AU$4:'BXL'!$AU$103=A82)*BXL!$AV$4:$AV$103)</f>
        <v>0</v>
      </c>
      <c r="E82" s="136" cm="1">
        <f t="array" ref="E82">SUMPRODUCT((BXL!$AA$4:'BXL'!$AA$103=A82)*BXL!$AG$4:$AG$103)+SUMPRODUCT((BXL!$AB$4:'BXL'!$AB$103=A82)*BXL!$AG$4:$AG$103)+SUMPRODUCT((BXL!$AU$4:'BXL'!$AU$103=A82)*BXL!$AW$4:$AW$103)</f>
        <v>0</v>
      </c>
      <c r="F82" s="136" cm="1">
        <f t="array" ref="F82">SUMPRODUCT((BXL!$AA$4:'BXL'!$AA$103=A82)*BXL!$AH$4:$AH$103)+SUMPRODUCT((BXL!$AB$4:'BXL'!$AB$103=A82)*BXL!$AH$4:$AH$103)+SUMPRODUCT((BXL!$AU$4:'BXL'!$AU$103=A82)*BXL!$AZ$4:$AZ$103)</f>
        <v>0</v>
      </c>
      <c r="G82" s="136" cm="1">
        <f t="array" ref="G82">SUMPRODUCT((BXL!$AA$4:'BXL'!$AA$103=A82)*BXL!$AI$4:$AI$103)+SUMPRODUCT((BXL!$AB$4:'BXL'!$AB$103=A82)*BXL!$AI$4:$AI$103)+SUMPRODUCT((BXL!$AU$4:'BXL'!$AU$103=A82)*BXL!$BA$4:$BA$103)</f>
        <v>0</v>
      </c>
      <c r="H82" s="115"/>
      <c r="I82" s="139">
        <f t="shared" si="7"/>
        <v>3428.3295500000004</v>
      </c>
      <c r="J82" s="136">
        <f t="shared" si="8"/>
        <v>470.65455000000003</v>
      </c>
      <c r="K82" s="136">
        <f t="shared" si="8"/>
        <v>2957.6750000000002</v>
      </c>
      <c r="L82" s="136">
        <f t="shared" si="8"/>
        <v>206.61897263157894</v>
      </c>
      <c r="M82" s="136">
        <f t="shared" si="8"/>
        <v>136.59788</v>
      </c>
      <c r="N82" s="115"/>
      <c r="O82" s="131">
        <f>C82*(Hypotheses!H46*Hypotheses!$D$19+Hypotheses!$D$14*(1-Hypotheses!H46))</f>
        <v>0</v>
      </c>
      <c r="P82" s="131">
        <f>C82*(Hypotheses!I46*Hypotheses!$D$19+Hypotheses!$D$14*(1-Hypotheses!I46))</f>
        <v>0</v>
      </c>
      <c r="Q82" s="131">
        <f>C82*(Hypotheses!J46*Hypotheses!$D$19+Hypotheses!$D$14*(1-Hypotheses!J46))</f>
        <v>0</v>
      </c>
      <c r="R82" s="115"/>
      <c r="S82" s="131">
        <f>C82*(Hypotheses!H46*Hypotheses!$D$21+Hypotheses!$D$14*(1-Hypotheses!H46))</f>
        <v>0</v>
      </c>
      <c r="T82" s="131">
        <f>C82*(Hypotheses!I46*Hypotheses!$D$21+Hypotheses!$D$14*(1-Hypotheses!I46))</f>
        <v>0</v>
      </c>
      <c r="U82" s="131">
        <f>C82*(Hypotheses!J46*Hypotheses!$D$21+Hypotheses!$D$14*(1-Hypotheses!J46))</f>
        <v>0</v>
      </c>
      <c r="V82" s="115"/>
      <c r="W82" s="128">
        <f>-C82*Hypotheses!$D$31*Hypotheses!H46</f>
        <v>0</v>
      </c>
      <c r="X82" s="128">
        <f>-C82*Hypotheses!$D$31*Hypotheses!I46</f>
        <v>0</v>
      </c>
      <c r="Y82" s="128">
        <f>-C82*Hypotheses!$D$31*Hypotheses!J46</f>
        <v>0</v>
      </c>
      <c r="Z82" s="126">
        <f>-C82*Hypotheses!$D$30*Hypotheses!H46</f>
        <v>0</v>
      </c>
      <c r="AA82" s="126">
        <f>-C82*Hypotheses!$D$30*Hypotheses!I46</f>
        <v>0</v>
      </c>
      <c r="AB82" s="126">
        <f>-C82*Hypotheses!$D$30*Hypotheses!J46</f>
        <v>0</v>
      </c>
      <c r="AC82" s="115"/>
      <c r="AD82" s="128">
        <f t="shared" si="9"/>
        <v>0</v>
      </c>
      <c r="AE82" s="128">
        <f t="shared" si="9"/>
        <v>0</v>
      </c>
      <c r="AF82" s="128">
        <f t="shared" si="9"/>
        <v>0</v>
      </c>
      <c r="AG82" s="126">
        <f t="shared" si="9"/>
        <v>0</v>
      </c>
      <c r="AH82" s="126">
        <f t="shared" si="9"/>
        <v>0</v>
      </c>
      <c r="AI82" s="126">
        <f t="shared" si="9"/>
        <v>0</v>
      </c>
      <c r="AJ82" s="115"/>
      <c r="AK82" s="131">
        <f t="shared" si="10"/>
        <v>0</v>
      </c>
      <c r="AL82" s="131">
        <f t="shared" si="10"/>
        <v>0</v>
      </c>
      <c r="AM82" s="131">
        <f t="shared" si="10"/>
        <v>0</v>
      </c>
      <c r="AN82" s="115"/>
      <c r="AO82" s="131">
        <f t="shared" si="11"/>
        <v>0</v>
      </c>
      <c r="AP82" s="131">
        <f t="shared" si="11"/>
        <v>0</v>
      </c>
      <c r="AQ82" s="131">
        <f t="shared" si="11"/>
        <v>0</v>
      </c>
      <c r="AR82" s="115"/>
      <c r="AS82" s="126">
        <f t="shared" si="12"/>
        <v>0</v>
      </c>
      <c r="AT82" s="126">
        <f t="shared" si="12"/>
        <v>0</v>
      </c>
      <c r="AU82" s="126">
        <f t="shared" si="12"/>
        <v>0</v>
      </c>
      <c r="AV82" s="115"/>
      <c r="AW82" s="126">
        <f t="shared" si="13"/>
        <v>0</v>
      </c>
      <c r="AX82" s="126">
        <f t="shared" si="13"/>
        <v>0</v>
      </c>
      <c r="AY82" s="126">
        <f t="shared" si="13"/>
        <v>0</v>
      </c>
      <c r="AZ82" s="115"/>
    </row>
    <row r="83" spans="1:52" x14ac:dyDescent="0.25">
      <c r="A83" s="94">
        <v>2028</v>
      </c>
      <c r="B83" s="139" cm="1">
        <f t="array" ref="B83">SUMPRODUCT((BXL!$AA$4:'BXL'!$AA$103=A83)*BXL!$AD$4:$AD$103)+SUMPRODUCT((BXL!$AB$4:'BXL'!$AB$103=A83)*BXL!$AD$4:$AD$103)+SUMPRODUCT((BXL!$AU$4:'BXL'!$AU$103=A83)*BXL!$AX$4:$AX$103)</f>
        <v>0</v>
      </c>
      <c r="C83" s="139" cm="1">
        <f t="array" ref="C83">SUMPRODUCT((BXL!$AA$4:'BXL'!$AA$103=A83)*BXL!$AE$4:$AE$103)+SUMPRODUCT((BXL!$AB$4:'BXL'!$AB$103=A83)*BXL!$AE$4:$AE$103)+SUMPRODUCT((BXL!$AU$4:'BXL'!$AU$103=A83)*BXL!$AY$4:$AY$103)</f>
        <v>0</v>
      </c>
      <c r="D83" s="136" cm="1">
        <f t="array" ref="D83">SUMPRODUCT((BXL!$AA$4:'BXL'!$AA$103=A83)*BXL!$AF$4:$AF$103)+SUMPRODUCT((BXL!$AB$4:'BXL'!$AB$103=A83)*BXL!$AF$4:$AF$103)+SUMPRODUCT((BXL!$AU$4:'BXL'!$AU$103=A83)*BXL!$AV$4:$AV$103)</f>
        <v>0</v>
      </c>
      <c r="E83" s="136" cm="1">
        <f t="array" ref="E83">SUMPRODUCT((BXL!$AA$4:'BXL'!$AA$103=A83)*BXL!$AG$4:$AG$103)+SUMPRODUCT((BXL!$AB$4:'BXL'!$AB$103=A83)*BXL!$AG$4:$AG$103)+SUMPRODUCT((BXL!$AU$4:'BXL'!$AU$103=A83)*BXL!$AW$4:$AW$103)</f>
        <v>0</v>
      </c>
      <c r="F83" s="136" cm="1">
        <f t="array" ref="F83">SUMPRODUCT((BXL!$AA$4:'BXL'!$AA$103=A83)*BXL!$AH$4:$AH$103)+SUMPRODUCT((BXL!$AB$4:'BXL'!$AB$103=A83)*BXL!$AH$4:$AH$103)+SUMPRODUCT((BXL!$AU$4:'BXL'!$AU$103=A83)*BXL!$AZ$4:$AZ$103)</f>
        <v>0</v>
      </c>
      <c r="G83" s="136" cm="1">
        <f t="array" ref="G83">SUMPRODUCT((BXL!$AA$4:'BXL'!$AA$103=A83)*BXL!$AI$4:$AI$103)+SUMPRODUCT((BXL!$AB$4:'BXL'!$AB$103=A83)*BXL!$AI$4:$AI$103)+SUMPRODUCT((BXL!$AU$4:'BXL'!$AU$103=A83)*BXL!$BA$4:$BA$103)</f>
        <v>0</v>
      </c>
      <c r="H83" s="115"/>
      <c r="I83" s="139">
        <f t="shared" si="7"/>
        <v>3428.3295500000004</v>
      </c>
      <c r="J83" s="136">
        <f t="shared" si="8"/>
        <v>470.65455000000003</v>
      </c>
      <c r="K83" s="136">
        <f t="shared" si="8"/>
        <v>2957.6750000000002</v>
      </c>
      <c r="L83" s="136">
        <f t="shared" si="8"/>
        <v>206.61897263157894</v>
      </c>
      <c r="M83" s="136">
        <f t="shared" si="8"/>
        <v>136.59788</v>
      </c>
      <c r="N83" s="115"/>
      <c r="O83" s="131">
        <f>C83*(Hypotheses!H47*Hypotheses!$D$19+Hypotheses!$D$14*(1-Hypotheses!H47))</f>
        <v>0</v>
      </c>
      <c r="P83" s="131">
        <f>C83*(Hypotheses!I47*Hypotheses!$D$19+Hypotheses!$D$14*(1-Hypotheses!I47))</f>
        <v>0</v>
      </c>
      <c r="Q83" s="131">
        <f>C83*(Hypotheses!J47*Hypotheses!$D$19+Hypotheses!$D$14*(1-Hypotheses!J47))</f>
        <v>0</v>
      </c>
      <c r="R83" s="115"/>
      <c r="S83" s="131">
        <f>C83*(Hypotheses!H47*Hypotheses!$D$21+Hypotheses!$D$14*(1-Hypotheses!H47))</f>
        <v>0</v>
      </c>
      <c r="T83" s="131">
        <f>C83*(Hypotheses!I47*Hypotheses!$D$21+Hypotheses!$D$14*(1-Hypotheses!I47))</f>
        <v>0</v>
      </c>
      <c r="U83" s="131">
        <f>C83*(Hypotheses!J47*Hypotheses!$D$21+Hypotheses!$D$14*(1-Hypotheses!J47))</f>
        <v>0</v>
      </c>
      <c r="V83" s="115"/>
      <c r="W83" s="128">
        <f>-C83*Hypotheses!$D$31*Hypotheses!H47</f>
        <v>0</v>
      </c>
      <c r="X83" s="128">
        <f>-C83*Hypotheses!$D$31*Hypotheses!I47</f>
        <v>0</v>
      </c>
      <c r="Y83" s="128">
        <f>-C83*Hypotheses!$D$31*Hypotheses!J47</f>
        <v>0</v>
      </c>
      <c r="Z83" s="126">
        <f>-C83*Hypotheses!$D$30*Hypotheses!H47</f>
        <v>0</v>
      </c>
      <c r="AA83" s="126">
        <f>-C83*Hypotheses!$D$30*Hypotheses!I47</f>
        <v>0</v>
      </c>
      <c r="AB83" s="126">
        <f>-C83*Hypotheses!$D$30*Hypotheses!J47</f>
        <v>0</v>
      </c>
      <c r="AC83" s="115"/>
      <c r="AD83" s="128">
        <f t="shared" si="9"/>
        <v>0</v>
      </c>
      <c r="AE83" s="128">
        <f t="shared" si="9"/>
        <v>0</v>
      </c>
      <c r="AF83" s="128">
        <f t="shared" si="9"/>
        <v>0</v>
      </c>
      <c r="AG83" s="126">
        <f t="shared" si="9"/>
        <v>0</v>
      </c>
      <c r="AH83" s="126">
        <f t="shared" si="9"/>
        <v>0</v>
      </c>
      <c r="AI83" s="126">
        <f t="shared" si="9"/>
        <v>0</v>
      </c>
      <c r="AJ83" s="115"/>
      <c r="AK83" s="131">
        <f t="shared" si="10"/>
        <v>0</v>
      </c>
      <c r="AL83" s="131">
        <f t="shared" si="10"/>
        <v>0</v>
      </c>
      <c r="AM83" s="131">
        <f t="shared" si="10"/>
        <v>0</v>
      </c>
      <c r="AN83" s="115"/>
      <c r="AO83" s="131">
        <f t="shared" si="11"/>
        <v>0</v>
      </c>
      <c r="AP83" s="131">
        <f t="shared" si="11"/>
        <v>0</v>
      </c>
      <c r="AQ83" s="131">
        <f t="shared" si="11"/>
        <v>0</v>
      </c>
      <c r="AR83" s="115"/>
      <c r="AS83" s="126">
        <f t="shared" si="12"/>
        <v>0</v>
      </c>
      <c r="AT83" s="126">
        <f t="shared" si="12"/>
        <v>0</v>
      </c>
      <c r="AU83" s="126">
        <f t="shared" si="12"/>
        <v>0</v>
      </c>
      <c r="AV83" s="115"/>
      <c r="AW83" s="126">
        <f t="shared" si="13"/>
        <v>0</v>
      </c>
      <c r="AX83" s="126">
        <f t="shared" si="13"/>
        <v>0</v>
      </c>
      <c r="AY83" s="126">
        <f t="shared" si="13"/>
        <v>0</v>
      </c>
      <c r="AZ83" s="115"/>
    </row>
    <row r="84" spans="1:52" x14ac:dyDescent="0.25">
      <c r="A84" s="94">
        <v>2029</v>
      </c>
      <c r="B84" s="139" cm="1">
        <f t="array" ref="B84">SUMPRODUCT((BXL!$AA$4:'BXL'!$AA$103=A84)*BXL!$AD$4:$AD$103)+SUMPRODUCT((BXL!$AB$4:'BXL'!$AB$103=A84)*BXL!$AD$4:$AD$103)+SUMPRODUCT((BXL!$AU$4:'BXL'!$AU$103=A84)*BXL!$AX$4:$AX$103)</f>
        <v>0</v>
      </c>
      <c r="C84" s="139" cm="1">
        <f t="array" ref="C84">SUMPRODUCT((BXL!$AA$4:'BXL'!$AA$103=A84)*BXL!$AE$4:$AE$103)+SUMPRODUCT((BXL!$AB$4:'BXL'!$AB$103=A84)*BXL!$AE$4:$AE$103)+SUMPRODUCT((BXL!$AU$4:'BXL'!$AU$103=A84)*BXL!$AY$4:$AY$103)</f>
        <v>0</v>
      </c>
      <c r="D84" s="136" cm="1">
        <f t="array" ref="D84">SUMPRODUCT((BXL!$AA$4:'BXL'!$AA$103=A84)*BXL!$AF$4:$AF$103)+SUMPRODUCT((BXL!$AB$4:'BXL'!$AB$103=A84)*BXL!$AF$4:$AF$103)+SUMPRODUCT((BXL!$AU$4:'BXL'!$AU$103=A84)*BXL!$AV$4:$AV$103)</f>
        <v>0</v>
      </c>
      <c r="E84" s="136" cm="1">
        <f t="array" ref="E84">SUMPRODUCT((BXL!$AA$4:'BXL'!$AA$103=A84)*BXL!$AG$4:$AG$103)+SUMPRODUCT((BXL!$AB$4:'BXL'!$AB$103=A84)*BXL!$AG$4:$AG$103)+SUMPRODUCT((BXL!$AU$4:'BXL'!$AU$103=A84)*BXL!$AW$4:$AW$103)</f>
        <v>0</v>
      </c>
      <c r="F84" s="136" cm="1">
        <f t="array" ref="F84">SUMPRODUCT((BXL!$AA$4:'BXL'!$AA$103=A84)*BXL!$AH$4:$AH$103)+SUMPRODUCT((BXL!$AB$4:'BXL'!$AB$103=A84)*BXL!$AH$4:$AH$103)+SUMPRODUCT((BXL!$AU$4:'BXL'!$AU$103=A84)*BXL!$AZ$4:$AZ$103)</f>
        <v>0</v>
      </c>
      <c r="G84" s="136" cm="1">
        <f t="array" ref="G84">SUMPRODUCT((BXL!$AA$4:'BXL'!$AA$103=A84)*BXL!$AI$4:$AI$103)+SUMPRODUCT((BXL!$AB$4:'BXL'!$AB$103=A84)*BXL!$AI$4:$AI$103)+SUMPRODUCT((BXL!$AU$4:'BXL'!$AU$103=A84)*BXL!$BA$4:$BA$103)</f>
        <v>0</v>
      </c>
      <c r="H84" s="115"/>
      <c r="I84" s="139">
        <f t="shared" si="7"/>
        <v>3428.3295500000004</v>
      </c>
      <c r="J84" s="136">
        <f t="shared" si="8"/>
        <v>470.65455000000003</v>
      </c>
      <c r="K84" s="136">
        <f t="shared" si="8"/>
        <v>2957.6750000000002</v>
      </c>
      <c r="L84" s="136">
        <f t="shared" si="8"/>
        <v>206.61897263157894</v>
      </c>
      <c r="M84" s="136">
        <f t="shared" si="8"/>
        <v>136.59788</v>
      </c>
      <c r="N84" s="115"/>
      <c r="O84" s="131">
        <f>C84*(Hypotheses!H48*Hypotheses!$D$19+Hypotheses!$D$14*(1-Hypotheses!H48))</f>
        <v>0</v>
      </c>
      <c r="P84" s="131">
        <f>C84*(Hypotheses!I48*Hypotheses!$D$19+Hypotheses!$D$14*(1-Hypotheses!I48))</f>
        <v>0</v>
      </c>
      <c r="Q84" s="131">
        <f>C84*(Hypotheses!J48*Hypotheses!$D$19+Hypotheses!$D$14*(1-Hypotheses!J48))</f>
        <v>0</v>
      </c>
      <c r="R84" s="115"/>
      <c r="S84" s="131">
        <f>C84*(Hypotheses!H48*Hypotheses!$D$21+Hypotheses!$D$14*(1-Hypotheses!H48))</f>
        <v>0</v>
      </c>
      <c r="T84" s="131">
        <f>C84*(Hypotheses!I48*Hypotheses!$D$21+Hypotheses!$D$14*(1-Hypotheses!I48))</f>
        <v>0</v>
      </c>
      <c r="U84" s="131">
        <f>C84*(Hypotheses!J48*Hypotheses!$D$21+Hypotheses!$D$14*(1-Hypotheses!J48))</f>
        <v>0</v>
      </c>
      <c r="V84" s="115"/>
      <c r="W84" s="128">
        <f>-C84*Hypotheses!$D$31*Hypotheses!H48</f>
        <v>0</v>
      </c>
      <c r="X84" s="128">
        <f>-C84*Hypotheses!$D$31*Hypotheses!I48</f>
        <v>0</v>
      </c>
      <c r="Y84" s="128">
        <f>-C84*Hypotheses!$D$31*Hypotheses!J48</f>
        <v>0</v>
      </c>
      <c r="Z84" s="126">
        <f>-C84*Hypotheses!$D$30*Hypotheses!H48</f>
        <v>0</v>
      </c>
      <c r="AA84" s="126">
        <f>-C84*Hypotheses!$D$30*Hypotheses!I48</f>
        <v>0</v>
      </c>
      <c r="AB84" s="126">
        <f>-C84*Hypotheses!$D$30*Hypotheses!J48</f>
        <v>0</v>
      </c>
      <c r="AC84" s="115"/>
      <c r="AD84" s="128">
        <f t="shared" si="9"/>
        <v>0</v>
      </c>
      <c r="AE84" s="128">
        <f t="shared" si="9"/>
        <v>0</v>
      </c>
      <c r="AF84" s="128">
        <f t="shared" si="9"/>
        <v>0</v>
      </c>
      <c r="AG84" s="126">
        <f t="shared" si="9"/>
        <v>0</v>
      </c>
      <c r="AH84" s="126">
        <f t="shared" si="9"/>
        <v>0</v>
      </c>
      <c r="AI84" s="126">
        <f t="shared" si="9"/>
        <v>0</v>
      </c>
      <c r="AJ84" s="115"/>
      <c r="AK84" s="131">
        <f t="shared" si="10"/>
        <v>0</v>
      </c>
      <c r="AL84" s="131">
        <f t="shared" si="10"/>
        <v>0</v>
      </c>
      <c r="AM84" s="131">
        <f t="shared" si="10"/>
        <v>0</v>
      </c>
      <c r="AN84" s="115"/>
      <c r="AO84" s="131">
        <f t="shared" si="11"/>
        <v>0</v>
      </c>
      <c r="AP84" s="131">
        <f t="shared" si="11"/>
        <v>0</v>
      </c>
      <c r="AQ84" s="131">
        <f t="shared" si="11"/>
        <v>0</v>
      </c>
      <c r="AR84" s="115"/>
      <c r="AS84" s="126">
        <f t="shared" si="12"/>
        <v>0</v>
      </c>
      <c r="AT84" s="126">
        <f t="shared" si="12"/>
        <v>0</v>
      </c>
      <c r="AU84" s="126">
        <f t="shared" si="12"/>
        <v>0</v>
      </c>
      <c r="AV84" s="115"/>
      <c r="AW84" s="126">
        <f t="shared" si="13"/>
        <v>0</v>
      </c>
      <c r="AX84" s="126">
        <f t="shared" si="13"/>
        <v>0</v>
      </c>
      <c r="AY84" s="126">
        <f t="shared" si="13"/>
        <v>0</v>
      </c>
      <c r="AZ84" s="115"/>
    </row>
    <row r="85" spans="1:52" x14ac:dyDescent="0.25">
      <c r="A85" s="94">
        <v>2030</v>
      </c>
      <c r="B85" s="139" cm="1">
        <f t="array" ref="B85">SUMPRODUCT((BXL!$AA$4:'BXL'!$AA$103=A85)*BXL!$AD$4:$AD$103)+SUMPRODUCT((BXL!$AB$4:'BXL'!$AB$103=A85)*BXL!$AD$4:$AD$103)+SUMPRODUCT((BXL!$AU$4:'BXL'!$AU$103=A85)*BXL!$AX$4:$AX$103)</f>
        <v>0</v>
      </c>
      <c r="C85" s="139" cm="1">
        <f t="array" ref="C85">SUMPRODUCT((BXL!$AA$4:'BXL'!$AA$103=A85)*BXL!$AE$4:$AE$103)+SUMPRODUCT((BXL!$AB$4:'BXL'!$AB$103=A85)*BXL!$AE$4:$AE$103)+SUMPRODUCT((BXL!$AU$4:'BXL'!$AU$103=A85)*BXL!$AY$4:$AY$103)</f>
        <v>0</v>
      </c>
      <c r="D85" s="136" cm="1">
        <f t="array" ref="D85">SUMPRODUCT((BXL!$AA$4:'BXL'!$AA$103=A85)*BXL!$AF$4:$AF$103)+SUMPRODUCT((BXL!$AB$4:'BXL'!$AB$103=A85)*BXL!$AF$4:$AF$103)+SUMPRODUCT((BXL!$AU$4:'BXL'!$AU$103=A85)*BXL!$AV$4:$AV$103)</f>
        <v>0</v>
      </c>
      <c r="E85" s="136" cm="1">
        <f t="array" ref="E85">SUMPRODUCT((BXL!$AA$4:'BXL'!$AA$103=A85)*BXL!$AG$4:$AG$103)+SUMPRODUCT((BXL!$AB$4:'BXL'!$AB$103=A85)*BXL!$AG$4:$AG$103)+SUMPRODUCT((BXL!$AU$4:'BXL'!$AU$103=A85)*BXL!$AW$4:$AW$103)</f>
        <v>0</v>
      </c>
      <c r="F85" s="136" cm="1">
        <f t="array" ref="F85">SUMPRODUCT((BXL!$AA$4:'BXL'!$AA$103=A85)*BXL!$AH$4:$AH$103)+SUMPRODUCT((BXL!$AB$4:'BXL'!$AB$103=A85)*BXL!$AH$4:$AH$103)+SUMPRODUCT((BXL!$AU$4:'BXL'!$AU$103=A85)*BXL!$AZ$4:$AZ$103)</f>
        <v>0</v>
      </c>
      <c r="G85" s="136" cm="1">
        <f t="array" ref="G85">SUMPRODUCT((BXL!$AA$4:'BXL'!$AA$103=A85)*BXL!$AI$4:$AI$103)+SUMPRODUCT((BXL!$AB$4:'BXL'!$AB$103=A85)*BXL!$AI$4:$AI$103)+SUMPRODUCT((BXL!$AU$4:'BXL'!$AU$103=A85)*BXL!$BA$4:$BA$103)</f>
        <v>0</v>
      </c>
      <c r="H85" s="115"/>
      <c r="I85" s="139">
        <f t="shared" si="7"/>
        <v>3428.3295500000004</v>
      </c>
      <c r="J85" s="136">
        <f t="shared" si="8"/>
        <v>470.65455000000003</v>
      </c>
      <c r="K85" s="136">
        <f t="shared" si="8"/>
        <v>2957.6750000000002</v>
      </c>
      <c r="L85" s="136">
        <f t="shared" si="8"/>
        <v>206.61897263157894</v>
      </c>
      <c r="M85" s="136">
        <f t="shared" si="8"/>
        <v>136.59788</v>
      </c>
      <c r="N85" s="115"/>
      <c r="O85" s="131">
        <f>C85*(Hypotheses!H49*Hypotheses!$D$19+Hypotheses!$D$14*(1-Hypotheses!H49))</f>
        <v>0</v>
      </c>
      <c r="P85" s="131">
        <f>C85*(Hypotheses!I49*Hypotheses!$D$19+Hypotheses!$D$14*(1-Hypotheses!I49))</f>
        <v>0</v>
      </c>
      <c r="Q85" s="131">
        <f>C85*(Hypotheses!J49*Hypotheses!$D$19+Hypotheses!$D$14*(1-Hypotheses!J49))</f>
        <v>0</v>
      </c>
      <c r="R85" s="115"/>
      <c r="S85" s="131">
        <f>C85*(Hypotheses!H49*Hypotheses!$D$21+Hypotheses!$D$14*(1-Hypotheses!H49))</f>
        <v>0</v>
      </c>
      <c r="T85" s="131">
        <f>C85*(Hypotheses!I49*Hypotheses!$D$21+Hypotheses!$D$14*(1-Hypotheses!I49))</f>
        <v>0</v>
      </c>
      <c r="U85" s="131">
        <f>C85*(Hypotheses!J49*Hypotheses!$D$21+Hypotheses!$D$14*(1-Hypotheses!J49))</f>
        <v>0</v>
      </c>
      <c r="V85" s="115"/>
      <c r="W85" s="128">
        <f>-C85*Hypotheses!$D$31*Hypotheses!H49</f>
        <v>0</v>
      </c>
      <c r="X85" s="128">
        <f>-C85*Hypotheses!$D$31*Hypotheses!I49</f>
        <v>0</v>
      </c>
      <c r="Y85" s="128">
        <f>-C85*Hypotheses!$D$31*Hypotheses!J49</f>
        <v>0</v>
      </c>
      <c r="Z85" s="126">
        <f>-C85*Hypotheses!$D$30*Hypotheses!H49</f>
        <v>0</v>
      </c>
      <c r="AA85" s="126">
        <f>-C85*Hypotheses!$D$30*Hypotheses!I49</f>
        <v>0</v>
      </c>
      <c r="AB85" s="126">
        <f>-C85*Hypotheses!$D$30*Hypotheses!J49</f>
        <v>0</v>
      </c>
      <c r="AC85" s="115"/>
      <c r="AD85" s="128">
        <f t="shared" si="9"/>
        <v>0</v>
      </c>
      <c r="AE85" s="128">
        <f t="shared" si="9"/>
        <v>0</v>
      </c>
      <c r="AF85" s="128">
        <f t="shared" si="9"/>
        <v>0</v>
      </c>
      <c r="AG85" s="126">
        <f t="shared" si="9"/>
        <v>0</v>
      </c>
      <c r="AH85" s="126">
        <f t="shared" si="9"/>
        <v>0</v>
      </c>
      <c r="AI85" s="126">
        <f t="shared" si="9"/>
        <v>0</v>
      </c>
      <c r="AJ85" s="115"/>
      <c r="AK85" s="131">
        <f t="shared" si="10"/>
        <v>0</v>
      </c>
      <c r="AL85" s="131">
        <f t="shared" si="10"/>
        <v>0</v>
      </c>
      <c r="AM85" s="131">
        <f t="shared" si="10"/>
        <v>0</v>
      </c>
      <c r="AN85" s="115"/>
      <c r="AO85" s="131">
        <f t="shared" si="11"/>
        <v>0</v>
      </c>
      <c r="AP85" s="131">
        <f t="shared" si="11"/>
        <v>0</v>
      </c>
      <c r="AQ85" s="131">
        <f t="shared" si="11"/>
        <v>0</v>
      </c>
      <c r="AR85" s="115"/>
      <c r="AS85" s="126">
        <f t="shared" si="12"/>
        <v>0</v>
      </c>
      <c r="AT85" s="126">
        <f t="shared" si="12"/>
        <v>0</v>
      </c>
      <c r="AU85" s="126">
        <f t="shared" si="12"/>
        <v>0</v>
      </c>
      <c r="AV85" s="115"/>
      <c r="AW85" s="126">
        <f t="shared" si="13"/>
        <v>0</v>
      </c>
      <c r="AX85" s="126">
        <f t="shared" si="13"/>
        <v>0</v>
      </c>
      <c r="AY85" s="126">
        <f t="shared" si="13"/>
        <v>0</v>
      </c>
      <c r="AZ85" s="115"/>
    </row>
    <row r="86" spans="1:52" x14ac:dyDescent="0.25">
      <c r="A86" s="94">
        <v>2031</v>
      </c>
      <c r="B86" s="139" cm="1">
        <f t="array" ref="B86">SUMPRODUCT((BXL!$AA$4:'BXL'!$AA$103=A86)*BXL!$AD$4:$AD$103)+SUMPRODUCT((BXL!$AB$4:'BXL'!$AB$103=A86)*BXL!$AD$4:$AD$103)+SUMPRODUCT((BXL!$AU$4:'BXL'!$AU$103=A86)*BXL!$AX$4:$AX$103)</f>
        <v>0</v>
      </c>
      <c r="C86" s="139" cm="1">
        <f t="array" ref="C86">SUMPRODUCT((BXL!$AA$4:'BXL'!$AA$103=A86)*BXL!$AE$4:$AE$103)+SUMPRODUCT((BXL!$AB$4:'BXL'!$AB$103=A86)*BXL!$AE$4:$AE$103)+SUMPRODUCT((BXL!$AU$4:'BXL'!$AU$103=A86)*BXL!$AY$4:$AY$103)</f>
        <v>0</v>
      </c>
      <c r="D86" s="136" cm="1">
        <f t="array" ref="D86">SUMPRODUCT((BXL!$AA$4:'BXL'!$AA$103=A86)*BXL!$AF$4:$AF$103)+SUMPRODUCT((BXL!$AB$4:'BXL'!$AB$103=A86)*BXL!$AF$4:$AF$103)+SUMPRODUCT((BXL!$AU$4:'BXL'!$AU$103=A86)*BXL!$AV$4:$AV$103)</f>
        <v>0</v>
      </c>
      <c r="E86" s="136" cm="1">
        <f t="array" ref="E86">SUMPRODUCT((BXL!$AA$4:'BXL'!$AA$103=A86)*BXL!$AG$4:$AG$103)+SUMPRODUCT((BXL!$AB$4:'BXL'!$AB$103=A86)*BXL!$AG$4:$AG$103)+SUMPRODUCT((BXL!$AU$4:'BXL'!$AU$103=A86)*BXL!$AW$4:$AW$103)</f>
        <v>0</v>
      </c>
      <c r="F86" s="136" cm="1">
        <f t="array" ref="F86">SUMPRODUCT((BXL!$AA$4:'BXL'!$AA$103=A86)*BXL!$AH$4:$AH$103)+SUMPRODUCT((BXL!$AB$4:'BXL'!$AB$103=A86)*BXL!$AH$4:$AH$103)+SUMPRODUCT((BXL!$AU$4:'BXL'!$AU$103=A86)*BXL!$AZ$4:$AZ$103)</f>
        <v>0</v>
      </c>
      <c r="G86" s="136" cm="1">
        <f t="array" ref="G86">SUMPRODUCT((BXL!$AA$4:'BXL'!$AA$103=A86)*BXL!$AI$4:$AI$103)+SUMPRODUCT((BXL!$AB$4:'BXL'!$AB$103=A86)*BXL!$AI$4:$AI$103)+SUMPRODUCT((BXL!$AU$4:'BXL'!$AU$103=A86)*BXL!$BA$4:$BA$103)</f>
        <v>0</v>
      </c>
      <c r="H86" s="115"/>
      <c r="I86" s="139">
        <f t="shared" si="7"/>
        <v>3428.3295500000004</v>
      </c>
      <c r="J86" s="136">
        <f t="shared" si="8"/>
        <v>470.65455000000003</v>
      </c>
      <c r="K86" s="136">
        <f t="shared" si="8"/>
        <v>2957.6750000000002</v>
      </c>
      <c r="L86" s="136">
        <f t="shared" si="8"/>
        <v>206.61897263157894</v>
      </c>
      <c r="M86" s="136">
        <f t="shared" si="8"/>
        <v>136.59788</v>
      </c>
      <c r="N86" s="115"/>
      <c r="O86" s="131">
        <f>C86*(Hypotheses!H50*Hypotheses!$D$19+Hypotheses!$D$14*(1-Hypotheses!H50))</f>
        <v>0</v>
      </c>
      <c r="P86" s="131">
        <f>C86*(Hypotheses!I50*Hypotheses!$D$19+Hypotheses!$D$14*(1-Hypotheses!I50))</f>
        <v>0</v>
      </c>
      <c r="Q86" s="131">
        <f>C86*(Hypotheses!J50*Hypotheses!$D$19+Hypotheses!$D$14*(1-Hypotheses!J50))</f>
        <v>0</v>
      </c>
      <c r="R86" s="115"/>
      <c r="S86" s="131">
        <f>C86*(Hypotheses!H50*Hypotheses!$D$21+Hypotheses!$D$14*(1-Hypotheses!H50))</f>
        <v>0</v>
      </c>
      <c r="T86" s="131">
        <f>C86*(Hypotheses!I50*Hypotheses!$D$21+Hypotheses!$D$14*(1-Hypotheses!I50))</f>
        <v>0</v>
      </c>
      <c r="U86" s="131">
        <f>C86*(Hypotheses!J50*Hypotheses!$D$21+Hypotheses!$D$14*(1-Hypotheses!J50))</f>
        <v>0</v>
      </c>
      <c r="V86" s="115"/>
      <c r="W86" s="128">
        <f>-C86*Hypotheses!$D$31*Hypotheses!H50</f>
        <v>0</v>
      </c>
      <c r="X86" s="128">
        <f>-C86*Hypotheses!$D$31*Hypotheses!I50</f>
        <v>0</v>
      </c>
      <c r="Y86" s="128">
        <f>-C86*Hypotheses!$D$31*Hypotheses!J50</f>
        <v>0</v>
      </c>
      <c r="Z86" s="126">
        <f>-C86*Hypotheses!$D$30*Hypotheses!H50</f>
        <v>0</v>
      </c>
      <c r="AA86" s="126">
        <f>-C86*Hypotheses!$D$30*Hypotheses!I50</f>
        <v>0</v>
      </c>
      <c r="AB86" s="126">
        <f>-C86*Hypotheses!$D$30*Hypotheses!J50</f>
        <v>0</v>
      </c>
      <c r="AC86" s="115"/>
      <c r="AD86" s="128">
        <f t="shared" si="9"/>
        <v>0</v>
      </c>
      <c r="AE86" s="128">
        <f t="shared" si="9"/>
        <v>0</v>
      </c>
      <c r="AF86" s="128">
        <f t="shared" si="9"/>
        <v>0</v>
      </c>
      <c r="AG86" s="126">
        <f t="shared" si="9"/>
        <v>0</v>
      </c>
      <c r="AH86" s="126">
        <f t="shared" si="9"/>
        <v>0</v>
      </c>
      <c r="AI86" s="126">
        <f t="shared" si="9"/>
        <v>0</v>
      </c>
      <c r="AJ86" s="115"/>
      <c r="AK86" s="131">
        <f t="shared" si="10"/>
        <v>0</v>
      </c>
      <c r="AL86" s="131">
        <f t="shared" si="10"/>
        <v>0</v>
      </c>
      <c r="AM86" s="131">
        <f t="shared" si="10"/>
        <v>0</v>
      </c>
      <c r="AN86" s="115"/>
      <c r="AO86" s="131">
        <f t="shared" si="11"/>
        <v>0</v>
      </c>
      <c r="AP86" s="131">
        <f t="shared" si="11"/>
        <v>0</v>
      </c>
      <c r="AQ86" s="131">
        <f t="shared" si="11"/>
        <v>0</v>
      </c>
      <c r="AR86" s="115"/>
      <c r="AS86" s="126">
        <f t="shared" si="12"/>
        <v>0</v>
      </c>
      <c r="AT86" s="126">
        <f t="shared" si="12"/>
        <v>0</v>
      </c>
      <c r="AU86" s="126">
        <f t="shared" si="12"/>
        <v>0</v>
      </c>
      <c r="AV86" s="115"/>
      <c r="AW86" s="126">
        <f t="shared" si="13"/>
        <v>0</v>
      </c>
      <c r="AX86" s="126">
        <f t="shared" si="13"/>
        <v>0</v>
      </c>
      <c r="AY86" s="126">
        <f t="shared" si="13"/>
        <v>0</v>
      </c>
      <c r="AZ86" s="115"/>
    </row>
    <row r="87" spans="1:52" x14ac:dyDescent="0.25">
      <c r="A87" s="94">
        <v>2032</v>
      </c>
      <c r="B87" s="139" cm="1">
        <f t="array" ref="B87">SUMPRODUCT((BXL!$AA$4:'BXL'!$AA$103=A87)*BXL!$AD$4:$AD$103)+SUMPRODUCT((BXL!$AB$4:'BXL'!$AB$103=A87)*BXL!$AD$4:$AD$103)+SUMPRODUCT((BXL!$AU$4:'BXL'!$AU$103=A87)*BXL!$AX$4:$AX$103)</f>
        <v>0</v>
      </c>
      <c r="C87" s="139" cm="1">
        <f t="array" ref="C87">SUMPRODUCT((BXL!$AA$4:'BXL'!$AA$103=A87)*BXL!$AE$4:$AE$103)+SUMPRODUCT((BXL!$AB$4:'BXL'!$AB$103=A87)*BXL!$AE$4:$AE$103)+SUMPRODUCT((BXL!$AU$4:'BXL'!$AU$103=A87)*BXL!$AY$4:$AY$103)</f>
        <v>0</v>
      </c>
      <c r="D87" s="136" cm="1">
        <f t="array" ref="D87">SUMPRODUCT((BXL!$AA$4:'BXL'!$AA$103=A87)*BXL!$AF$4:$AF$103)+SUMPRODUCT((BXL!$AB$4:'BXL'!$AB$103=A87)*BXL!$AF$4:$AF$103)+SUMPRODUCT((BXL!$AU$4:'BXL'!$AU$103=A87)*BXL!$AV$4:$AV$103)</f>
        <v>0</v>
      </c>
      <c r="E87" s="136" cm="1">
        <f t="array" ref="E87">SUMPRODUCT((BXL!$AA$4:'BXL'!$AA$103=A87)*BXL!$AG$4:$AG$103)+SUMPRODUCT((BXL!$AB$4:'BXL'!$AB$103=A87)*BXL!$AG$4:$AG$103)+SUMPRODUCT((BXL!$AU$4:'BXL'!$AU$103=A87)*BXL!$AW$4:$AW$103)</f>
        <v>0</v>
      </c>
      <c r="F87" s="136" cm="1">
        <f t="array" ref="F87">SUMPRODUCT((BXL!$AA$4:'BXL'!$AA$103=A87)*BXL!$AH$4:$AH$103)+SUMPRODUCT((BXL!$AB$4:'BXL'!$AB$103=A87)*BXL!$AH$4:$AH$103)+SUMPRODUCT((BXL!$AU$4:'BXL'!$AU$103=A87)*BXL!$AZ$4:$AZ$103)</f>
        <v>0</v>
      </c>
      <c r="G87" s="136" cm="1">
        <f t="array" ref="G87">SUMPRODUCT((BXL!$AA$4:'BXL'!$AA$103=A87)*BXL!$AI$4:$AI$103)+SUMPRODUCT((BXL!$AB$4:'BXL'!$AB$103=A87)*BXL!$AI$4:$AI$103)+SUMPRODUCT((BXL!$AU$4:'BXL'!$AU$103=A87)*BXL!$BA$4:$BA$103)</f>
        <v>0</v>
      </c>
      <c r="H87" s="115"/>
      <c r="I87" s="139">
        <f t="shared" si="7"/>
        <v>3428.3295500000004</v>
      </c>
      <c r="J87" s="136">
        <f t="shared" ref="J87:M102" si="14">D87+J86</f>
        <v>470.65455000000003</v>
      </c>
      <c r="K87" s="136">
        <f t="shared" si="14"/>
        <v>2957.6750000000002</v>
      </c>
      <c r="L87" s="136">
        <f t="shared" si="14"/>
        <v>206.61897263157894</v>
      </c>
      <c r="M87" s="136">
        <f t="shared" si="14"/>
        <v>136.59788</v>
      </c>
      <c r="N87" s="115"/>
      <c r="O87" s="131">
        <f>C87*(Hypotheses!H51*Hypotheses!$D$19+Hypotheses!$D$14*(1-Hypotheses!H51))</f>
        <v>0</v>
      </c>
      <c r="P87" s="131">
        <f>C87*(Hypotheses!I51*Hypotheses!$D$19+Hypotheses!$D$14*(1-Hypotheses!I51))</f>
        <v>0</v>
      </c>
      <c r="Q87" s="131">
        <f>C87*(Hypotheses!J51*Hypotheses!$D$19+Hypotheses!$D$14*(1-Hypotheses!J51))</f>
        <v>0</v>
      </c>
      <c r="R87" s="115"/>
      <c r="S87" s="131">
        <f>C87*(Hypotheses!H51*Hypotheses!$D$21+Hypotheses!$D$14*(1-Hypotheses!H51))</f>
        <v>0</v>
      </c>
      <c r="T87" s="131">
        <f>C87*(Hypotheses!I51*Hypotheses!$D$21+Hypotheses!$D$14*(1-Hypotheses!I51))</f>
        <v>0</v>
      </c>
      <c r="U87" s="131">
        <f>C87*(Hypotheses!J51*Hypotheses!$D$21+Hypotheses!$D$14*(1-Hypotheses!J51))</f>
        <v>0</v>
      </c>
      <c r="V87" s="115"/>
      <c r="W87" s="128">
        <f>-C87*Hypotheses!$D$31*Hypotheses!H51</f>
        <v>0</v>
      </c>
      <c r="X87" s="128">
        <f>-C87*Hypotheses!$D$31*Hypotheses!I51</f>
        <v>0</v>
      </c>
      <c r="Y87" s="128">
        <f>-C87*Hypotheses!$D$31*Hypotheses!J51</f>
        <v>0</v>
      </c>
      <c r="Z87" s="126">
        <f>-C87*Hypotheses!$D$30*Hypotheses!H51</f>
        <v>0</v>
      </c>
      <c r="AA87" s="126">
        <f>-C87*Hypotheses!$D$30*Hypotheses!I51</f>
        <v>0</v>
      </c>
      <c r="AB87" s="126">
        <f>-C87*Hypotheses!$D$30*Hypotheses!J51</f>
        <v>0</v>
      </c>
      <c r="AC87" s="115"/>
      <c r="AD87" s="128">
        <f t="shared" si="9"/>
        <v>0</v>
      </c>
      <c r="AE87" s="128">
        <f t="shared" si="9"/>
        <v>0</v>
      </c>
      <c r="AF87" s="128">
        <f t="shared" si="9"/>
        <v>0</v>
      </c>
      <c r="AG87" s="126">
        <f t="shared" si="9"/>
        <v>0</v>
      </c>
      <c r="AH87" s="126">
        <f t="shared" si="9"/>
        <v>0</v>
      </c>
      <c r="AI87" s="126">
        <f t="shared" si="9"/>
        <v>0</v>
      </c>
      <c r="AJ87" s="115"/>
      <c r="AK87" s="131">
        <f t="shared" si="10"/>
        <v>0</v>
      </c>
      <c r="AL87" s="131">
        <f t="shared" si="10"/>
        <v>0</v>
      </c>
      <c r="AM87" s="131">
        <f t="shared" si="10"/>
        <v>0</v>
      </c>
      <c r="AN87" s="115"/>
      <c r="AO87" s="131">
        <f t="shared" si="11"/>
        <v>0</v>
      </c>
      <c r="AP87" s="131">
        <f t="shared" si="11"/>
        <v>0</v>
      </c>
      <c r="AQ87" s="131">
        <f t="shared" si="11"/>
        <v>0</v>
      </c>
      <c r="AR87" s="115"/>
      <c r="AS87" s="126">
        <f t="shared" si="12"/>
        <v>0</v>
      </c>
      <c r="AT87" s="126">
        <f t="shared" si="12"/>
        <v>0</v>
      </c>
      <c r="AU87" s="126">
        <f t="shared" si="12"/>
        <v>0</v>
      </c>
      <c r="AV87" s="115"/>
      <c r="AW87" s="126">
        <f t="shared" si="13"/>
        <v>0</v>
      </c>
      <c r="AX87" s="126">
        <f t="shared" si="13"/>
        <v>0</v>
      </c>
      <c r="AY87" s="126">
        <f t="shared" si="13"/>
        <v>0</v>
      </c>
      <c r="AZ87" s="115"/>
    </row>
    <row r="88" spans="1:52" x14ac:dyDescent="0.25">
      <c r="A88" s="94">
        <v>2033</v>
      </c>
      <c r="B88" s="139" cm="1">
        <f t="array" ref="B88">SUMPRODUCT((BXL!$AA$4:'BXL'!$AA$103=A88)*BXL!$AD$4:$AD$103)+SUMPRODUCT((BXL!$AB$4:'BXL'!$AB$103=A88)*BXL!$AD$4:$AD$103)+SUMPRODUCT((BXL!$AU$4:'BXL'!$AU$103=A88)*BXL!$AX$4:$AX$103)</f>
        <v>0</v>
      </c>
      <c r="C88" s="139" cm="1">
        <f t="array" ref="C88">SUMPRODUCT((BXL!$AA$4:'BXL'!$AA$103=A88)*BXL!$AE$4:$AE$103)+SUMPRODUCT((BXL!$AB$4:'BXL'!$AB$103=A88)*BXL!$AE$4:$AE$103)+SUMPRODUCT((BXL!$AU$4:'BXL'!$AU$103=A88)*BXL!$AY$4:$AY$103)</f>
        <v>0</v>
      </c>
      <c r="D88" s="136" cm="1">
        <f t="array" ref="D88">SUMPRODUCT((BXL!$AA$4:'BXL'!$AA$103=A88)*BXL!$AF$4:$AF$103)+SUMPRODUCT((BXL!$AB$4:'BXL'!$AB$103=A88)*BXL!$AF$4:$AF$103)+SUMPRODUCT((BXL!$AU$4:'BXL'!$AU$103=A88)*BXL!$AV$4:$AV$103)</f>
        <v>0</v>
      </c>
      <c r="E88" s="136" cm="1">
        <f t="array" ref="E88">SUMPRODUCT((BXL!$AA$4:'BXL'!$AA$103=A88)*BXL!$AG$4:$AG$103)+SUMPRODUCT((BXL!$AB$4:'BXL'!$AB$103=A88)*BXL!$AG$4:$AG$103)+SUMPRODUCT((BXL!$AU$4:'BXL'!$AU$103=A88)*BXL!$AW$4:$AW$103)</f>
        <v>0</v>
      </c>
      <c r="F88" s="136" cm="1">
        <f t="array" ref="F88">SUMPRODUCT((BXL!$AA$4:'BXL'!$AA$103=A88)*BXL!$AH$4:$AH$103)+SUMPRODUCT((BXL!$AB$4:'BXL'!$AB$103=A88)*BXL!$AH$4:$AH$103)+SUMPRODUCT((BXL!$AU$4:'BXL'!$AU$103=A88)*BXL!$AZ$4:$AZ$103)</f>
        <v>0</v>
      </c>
      <c r="G88" s="136" cm="1">
        <f t="array" ref="G88">SUMPRODUCT((BXL!$AA$4:'BXL'!$AA$103=A88)*BXL!$AI$4:$AI$103)+SUMPRODUCT((BXL!$AB$4:'BXL'!$AB$103=A88)*BXL!$AI$4:$AI$103)+SUMPRODUCT((BXL!$AU$4:'BXL'!$AU$103=A88)*BXL!$BA$4:$BA$103)</f>
        <v>0</v>
      </c>
      <c r="H88" s="115"/>
      <c r="I88" s="139">
        <f t="shared" si="7"/>
        <v>3428.3295500000004</v>
      </c>
      <c r="J88" s="136">
        <f t="shared" si="14"/>
        <v>470.65455000000003</v>
      </c>
      <c r="K88" s="136">
        <f t="shared" si="14"/>
        <v>2957.6750000000002</v>
      </c>
      <c r="L88" s="136">
        <f t="shared" si="14"/>
        <v>206.61897263157894</v>
      </c>
      <c r="M88" s="136">
        <f t="shared" si="14"/>
        <v>136.59788</v>
      </c>
      <c r="N88" s="115"/>
      <c r="O88" s="131">
        <f>C88*(Hypotheses!H52*Hypotheses!$D$19+Hypotheses!$D$14*(1-Hypotheses!H52))</f>
        <v>0</v>
      </c>
      <c r="P88" s="131">
        <f>C88*(Hypotheses!I52*Hypotheses!$D$19+Hypotheses!$D$14*(1-Hypotheses!I52))</f>
        <v>0</v>
      </c>
      <c r="Q88" s="131">
        <f>C88*(Hypotheses!J52*Hypotheses!$D$19+Hypotheses!$D$14*(1-Hypotheses!J52))</f>
        <v>0</v>
      </c>
      <c r="R88" s="115"/>
      <c r="S88" s="131">
        <f>C88*(Hypotheses!H52*Hypotheses!$D$21+Hypotheses!$D$14*(1-Hypotheses!H52))</f>
        <v>0</v>
      </c>
      <c r="T88" s="131">
        <f>C88*(Hypotheses!I52*Hypotheses!$D$21+Hypotheses!$D$14*(1-Hypotheses!I52))</f>
        <v>0</v>
      </c>
      <c r="U88" s="131">
        <f>C88*(Hypotheses!J52*Hypotheses!$D$21+Hypotheses!$D$14*(1-Hypotheses!J52))</f>
        <v>0</v>
      </c>
      <c r="V88" s="115"/>
      <c r="W88" s="128">
        <f>-C88*Hypotheses!$D$31*Hypotheses!H52</f>
        <v>0</v>
      </c>
      <c r="X88" s="128">
        <f>-C88*Hypotheses!$D$31*Hypotheses!I52</f>
        <v>0</v>
      </c>
      <c r="Y88" s="128">
        <f>-C88*Hypotheses!$D$31*Hypotheses!J52</f>
        <v>0</v>
      </c>
      <c r="Z88" s="126">
        <f>-C88*Hypotheses!$D$30*Hypotheses!H52</f>
        <v>0</v>
      </c>
      <c r="AA88" s="126">
        <f>-C88*Hypotheses!$D$30*Hypotheses!I52</f>
        <v>0</v>
      </c>
      <c r="AB88" s="126">
        <f>-C88*Hypotheses!$D$30*Hypotheses!J52</f>
        <v>0</v>
      </c>
      <c r="AC88" s="115"/>
      <c r="AD88" s="128">
        <f t="shared" si="9"/>
        <v>0</v>
      </c>
      <c r="AE88" s="128">
        <f t="shared" si="9"/>
        <v>0</v>
      </c>
      <c r="AF88" s="128">
        <f t="shared" si="9"/>
        <v>0</v>
      </c>
      <c r="AG88" s="126">
        <f t="shared" si="9"/>
        <v>0</v>
      </c>
      <c r="AH88" s="126">
        <f t="shared" si="9"/>
        <v>0</v>
      </c>
      <c r="AI88" s="126">
        <f t="shared" si="9"/>
        <v>0</v>
      </c>
      <c r="AJ88" s="115"/>
      <c r="AK88" s="131">
        <f t="shared" si="10"/>
        <v>0</v>
      </c>
      <c r="AL88" s="131">
        <f t="shared" si="10"/>
        <v>0</v>
      </c>
      <c r="AM88" s="131">
        <f t="shared" si="10"/>
        <v>0</v>
      </c>
      <c r="AN88" s="115"/>
      <c r="AO88" s="131">
        <f t="shared" si="11"/>
        <v>0</v>
      </c>
      <c r="AP88" s="131">
        <f t="shared" si="11"/>
        <v>0</v>
      </c>
      <c r="AQ88" s="131">
        <f t="shared" si="11"/>
        <v>0</v>
      </c>
      <c r="AR88" s="115"/>
      <c r="AS88" s="126">
        <f t="shared" si="12"/>
        <v>0</v>
      </c>
      <c r="AT88" s="126">
        <f t="shared" si="12"/>
        <v>0</v>
      </c>
      <c r="AU88" s="126">
        <f t="shared" si="12"/>
        <v>0</v>
      </c>
      <c r="AV88" s="115"/>
      <c r="AW88" s="126">
        <f t="shared" si="13"/>
        <v>0</v>
      </c>
      <c r="AX88" s="126">
        <f t="shared" si="13"/>
        <v>0</v>
      </c>
      <c r="AY88" s="126">
        <f t="shared" si="13"/>
        <v>0</v>
      </c>
      <c r="AZ88" s="115"/>
    </row>
    <row r="89" spans="1:52" x14ac:dyDescent="0.25">
      <c r="A89" s="94">
        <v>2034</v>
      </c>
      <c r="B89" s="139" cm="1">
        <f t="array" ref="B89">SUMPRODUCT((BXL!$AA$4:'BXL'!$AA$103=A89)*BXL!$AD$4:$AD$103)+SUMPRODUCT((BXL!$AB$4:'BXL'!$AB$103=A89)*BXL!$AD$4:$AD$103)+SUMPRODUCT((BXL!$AU$4:'BXL'!$AU$103=A89)*BXL!$AX$4:$AX$103)</f>
        <v>22564.799999999999</v>
      </c>
      <c r="C89" s="139" cm="1">
        <f t="array" ref="C89">SUMPRODUCT((BXL!$AA$4:'BXL'!$AA$103=A89)*BXL!$AE$4:$AE$103)+SUMPRODUCT((BXL!$AB$4:'BXL'!$AB$103=A89)*BXL!$AE$4:$AE$103)+SUMPRODUCT((BXL!$AU$4:'BXL'!$AU$103=A89)*BXL!$AY$4:$AY$103)</f>
        <v>451.29599999999994</v>
      </c>
      <c r="D89" s="136" cm="1">
        <f t="array" ref="D89">SUMPRODUCT((BXL!$AA$4:'BXL'!$AA$103=A89)*BXL!$AF$4:$AF$103)+SUMPRODUCT((BXL!$AB$4:'BXL'!$AB$103=A89)*BXL!$AF$4:$AF$103)+SUMPRODUCT((BXL!$AU$4:'BXL'!$AU$103=A89)*BXL!$AV$4:$AV$103)</f>
        <v>0</v>
      </c>
      <c r="E89" s="136" cm="1">
        <f t="array" ref="E89">SUMPRODUCT((BXL!$AA$4:'BXL'!$AA$103=A89)*BXL!$AG$4:$AG$103)+SUMPRODUCT((BXL!$AB$4:'BXL'!$AB$103=A89)*BXL!$AG$4:$AG$103)+SUMPRODUCT((BXL!$AU$4:'BXL'!$AU$103=A89)*BXL!$AW$4:$AW$103)</f>
        <v>451.29599999999994</v>
      </c>
      <c r="F89" s="136" cm="1">
        <f t="array" ref="F89">SUMPRODUCT((BXL!$AA$4:'BXL'!$AA$103=A89)*BXL!$AH$4:$AH$103)+SUMPRODUCT((BXL!$AB$4:'BXL'!$AB$103=A89)*BXL!$AH$4:$AH$103)+SUMPRODUCT((BXL!$AU$4:'BXL'!$AU$103=A89)*BXL!$AZ$4:$AZ$103)</f>
        <v>26.325600000000001</v>
      </c>
      <c r="G89" s="136" cm="1">
        <f t="array" ref="G89">SUMPRODUCT((BXL!$AA$4:'BXL'!$AA$103=A89)*BXL!$AI$4:$AI$103)+SUMPRODUCT((BXL!$AB$4:'BXL'!$AB$103=A89)*BXL!$AI$4:$AI$103)+SUMPRODUCT((BXL!$AU$4:'BXL'!$AU$103=A89)*BXL!$BA$4:$BA$103)</f>
        <v>26.325600000000001</v>
      </c>
      <c r="H89" s="115"/>
      <c r="I89" s="139">
        <f t="shared" si="7"/>
        <v>3879.6255500000002</v>
      </c>
      <c r="J89" s="136">
        <f t="shared" si="14"/>
        <v>470.65455000000003</v>
      </c>
      <c r="K89" s="136">
        <f t="shared" si="14"/>
        <v>3408.971</v>
      </c>
      <c r="L89" s="136">
        <f t="shared" si="14"/>
        <v>232.94457263157895</v>
      </c>
      <c r="M89" s="136">
        <f t="shared" si="14"/>
        <v>162.92348000000001</v>
      </c>
      <c r="N89" s="115"/>
      <c r="O89" s="131">
        <f>C89*(Hypotheses!H53*Hypotheses!$D$19+Hypotheses!$D$14*(1-Hypotheses!H53))</f>
        <v>5.2801631999999996</v>
      </c>
      <c r="P89" s="131">
        <f>C89*(Hypotheses!I53*Hypotheses!$D$19+Hypotheses!$D$14*(1-Hypotheses!I53))</f>
        <v>5.0757040876008857</v>
      </c>
      <c r="Q89" s="131">
        <f>C89*(Hypotheses!J53*Hypotheses!$D$19+Hypotheses!$D$14*(1-Hypotheses!J53))</f>
        <v>4.8201301971019941</v>
      </c>
      <c r="R89" s="115"/>
      <c r="S89" s="131">
        <f>C89*(Hypotheses!H53*Hypotheses!$D$21+Hypotheses!$D$14*(1-Hypotheses!H53))</f>
        <v>5.6863295999999997</v>
      </c>
      <c r="T89" s="131">
        <f>C89*(Hypotheses!I53*Hypotheses!$D$21+Hypotheses!$D$14*(1-Hypotheses!I53))</f>
        <v>6.0952478247982258</v>
      </c>
      <c r="U89" s="131">
        <f>C89*(Hypotheses!J53*Hypotheses!$D$21+Hypotheses!$D$14*(1-Hypotheses!J53))</f>
        <v>6.6063956057960089</v>
      </c>
      <c r="V89" s="115"/>
      <c r="W89" s="128">
        <f>-C89*Hypotheses!$D$31*Hypotheses!H53</f>
        <v>-27.077759999999998</v>
      </c>
      <c r="X89" s="128">
        <f>-C89*Hypotheses!$D$31*Hypotheses!I53</f>
        <v>-67.969582479822677</v>
      </c>
      <c r="Y89" s="128">
        <f>-C89*Hypotheses!$D$31*Hypotheses!J53</f>
        <v>-119.084360579601</v>
      </c>
      <c r="Z89" s="126">
        <f>-C89*Hypotheses!$D$30*Hypotheses!H53</f>
        <v>-6.7694399999999995</v>
      </c>
      <c r="AA89" s="126">
        <f>-C89*Hypotheses!$D$30*Hypotheses!I53</f>
        <v>-16.992395619955669</v>
      </c>
      <c r="AB89" s="126">
        <f>-C89*Hypotheses!$D$30*Hypotheses!J53</f>
        <v>-29.771090144900249</v>
      </c>
      <c r="AC89" s="115"/>
      <c r="AD89" s="128">
        <f t="shared" si="9"/>
        <v>-27.077759999999998</v>
      </c>
      <c r="AE89" s="128">
        <f t="shared" si="9"/>
        <v>-67.969582479822677</v>
      </c>
      <c r="AF89" s="128">
        <f t="shared" si="9"/>
        <v>-119.084360579601</v>
      </c>
      <c r="AG89" s="126">
        <f t="shared" si="9"/>
        <v>-6.7694399999999995</v>
      </c>
      <c r="AH89" s="126">
        <f t="shared" si="9"/>
        <v>-16.992395619955669</v>
      </c>
      <c r="AI89" s="126">
        <f t="shared" si="9"/>
        <v>-29.771090144900249</v>
      </c>
      <c r="AJ89" s="115"/>
      <c r="AK89" s="131">
        <f t="shared" si="10"/>
        <v>5.2801631999999996</v>
      </c>
      <c r="AL89" s="131">
        <f t="shared" si="10"/>
        <v>5.0757040876008857</v>
      </c>
      <c r="AM89" s="131">
        <f t="shared" si="10"/>
        <v>4.8201301971019941</v>
      </c>
      <c r="AN89" s="115"/>
      <c r="AO89" s="131">
        <f t="shared" si="11"/>
        <v>5.6863295999999997</v>
      </c>
      <c r="AP89" s="131">
        <f t="shared" si="11"/>
        <v>6.0952478247982258</v>
      </c>
      <c r="AQ89" s="131">
        <f t="shared" si="11"/>
        <v>6.6063956057960089</v>
      </c>
      <c r="AR89" s="115"/>
      <c r="AS89" s="126">
        <f t="shared" si="12"/>
        <v>-1.4892767999999998</v>
      </c>
      <c r="AT89" s="126">
        <f t="shared" si="12"/>
        <v>-11.916691532354783</v>
      </c>
      <c r="AU89" s="126">
        <f t="shared" si="12"/>
        <v>-24.950959947798253</v>
      </c>
      <c r="AV89" s="115"/>
      <c r="AW89" s="126">
        <f t="shared" si="13"/>
        <v>-1.0831103999999998</v>
      </c>
      <c r="AX89" s="126">
        <f t="shared" si="13"/>
        <v>-10.897147795157444</v>
      </c>
      <c r="AY89" s="126">
        <f t="shared" si="13"/>
        <v>-23.164694539104239</v>
      </c>
      <c r="AZ89" s="115"/>
    </row>
    <row r="90" spans="1:52" x14ac:dyDescent="0.25">
      <c r="A90" s="94">
        <v>2035</v>
      </c>
      <c r="B90" s="139" cm="1">
        <f t="array" ref="B90">SUMPRODUCT((BXL!$AA$4:'BXL'!$AA$103=A90)*BXL!$AD$4:$AD$103)+SUMPRODUCT((BXL!$AB$4:'BXL'!$AB$103=A90)*BXL!$AD$4:$AD$103)+SUMPRODUCT((BXL!$AU$4:'BXL'!$AU$103=A90)*BXL!$AX$4:$AX$103)</f>
        <v>0</v>
      </c>
      <c r="C90" s="139" cm="1">
        <f t="array" ref="C90">SUMPRODUCT((BXL!$AA$4:'BXL'!$AA$103=A90)*BXL!$AE$4:$AE$103)+SUMPRODUCT((BXL!$AB$4:'BXL'!$AB$103=A90)*BXL!$AE$4:$AE$103)+SUMPRODUCT((BXL!$AU$4:'BXL'!$AU$103=A90)*BXL!$AY$4:$AY$103)</f>
        <v>0</v>
      </c>
      <c r="D90" s="136" cm="1">
        <f t="array" ref="D90">SUMPRODUCT((BXL!$AA$4:'BXL'!$AA$103=A90)*BXL!$AF$4:$AF$103)+SUMPRODUCT((BXL!$AB$4:'BXL'!$AB$103=A90)*BXL!$AF$4:$AF$103)+SUMPRODUCT((BXL!$AU$4:'BXL'!$AU$103=A90)*BXL!$AV$4:$AV$103)</f>
        <v>0</v>
      </c>
      <c r="E90" s="136" cm="1">
        <f t="array" ref="E90">SUMPRODUCT((BXL!$AA$4:'BXL'!$AA$103=A90)*BXL!$AG$4:$AG$103)+SUMPRODUCT((BXL!$AB$4:'BXL'!$AB$103=A90)*BXL!$AG$4:$AG$103)+SUMPRODUCT((BXL!$AU$4:'BXL'!$AU$103=A90)*BXL!$AW$4:$AW$103)</f>
        <v>0</v>
      </c>
      <c r="F90" s="136" cm="1">
        <f t="array" ref="F90">SUMPRODUCT((BXL!$AA$4:'BXL'!$AA$103=A90)*BXL!$AH$4:$AH$103)+SUMPRODUCT((BXL!$AB$4:'BXL'!$AB$103=A90)*BXL!$AH$4:$AH$103)+SUMPRODUCT((BXL!$AU$4:'BXL'!$AU$103=A90)*BXL!$AZ$4:$AZ$103)</f>
        <v>0</v>
      </c>
      <c r="G90" s="136" cm="1">
        <f t="array" ref="G90">SUMPRODUCT((BXL!$AA$4:'BXL'!$AA$103=A90)*BXL!$AI$4:$AI$103)+SUMPRODUCT((BXL!$AB$4:'BXL'!$AB$103=A90)*BXL!$AI$4:$AI$103)+SUMPRODUCT((BXL!$AU$4:'BXL'!$AU$103=A90)*BXL!$BA$4:$BA$103)</f>
        <v>0</v>
      </c>
      <c r="H90" s="115"/>
      <c r="I90" s="139">
        <f t="shared" si="7"/>
        <v>3879.6255500000002</v>
      </c>
      <c r="J90" s="136">
        <f t="shared" si="14"/>
        <v>470.65455000000003</v>
      </c>
      <c r="K90" s="136">
        <f t="shared" si="14"/>
        <v>3408.971</v>
      </c>
      <c r="L90" s="136">
        <f t="shared" si="14"/>
        <v>232.94457263157895</v>
      </c>
      <c r="M90" s="136">
        <f t="shared" si="14"/>
        <v>162.92348000000001</v>
      </c>
      <c r="N90" s="115"/>
      <c r="O90" s="131">
        <f>C90*(Hypotheses!H54*Hypotheses!$D$19+Hypotheses!$D$14*(1-Hypotheses!H54))</f>
        <v>0</v>
      </c>
      <c r="P90" s="131">
        <f>C90*(Hypotheses!I54*Hypotheses!$D$19+Hypotheses!$D$14*(1-Hypotheses!I54))</f>
        <v>0</v>
      </c>
      <c r="Q90" s="131">
        <f>C90*(Hypotheses!J54*Hypotheses!$D$19+Hypotheses!$D$14*(1-Hypotheses!J54))</f>
        <v>0</v>
      </c>
      <c r="R90" s="115"/>
      <c r="S90" s="131">
        <f>C90*(Hypotheses!H54*Hypotheses!$D$21+Hypotheses!$D$14*(1-Hypotheses!H54))</f>
        <v>0</v>
      </c>
      <c r="T90" s="131">
        <f>C90*(Hypotheses!I54*Hypotheses!$D$21+Hypotheses!$D$14*(1-Hypotheses!I54))</f>
        <v>0</v>
      </c>
      <c r="U90" s="131">
        <f>C90*(Hypotheses!J54*Hypotheses!$D$21+Hypotheses!$D$14*(1-Hypotheses!J54))</f>
        <v>0</v>
      </c>
      <c r="V90" s="115"/>
      <c r="W90" s="128">
        <f>-C90*Hypotheses!$D$31*Hypotheses!H54</f>
        <v>0</v>
      </c>
      <c r="X90" s="128">
        <f>-C90*Hypotheses!$D$31*Hypotheses!I54</f>
        <v>0</v>
      </c>
      <c r="Y90" s="128">
        <f>-C90*Hypotheses!$D$31*Hypotheses!J54</f>
        <v>0</v>
      </c>
      <c r="Z90" s="126">
        <f>-C90*Hypotheses!$D$30*Hypotheses!H54</f>
        <v>0</v>
      </c>
      <c r="AA90" s="126">
        <f>-C90*Hypotheses!$D$30*Hypotheses!I54</f>
        <v>0</v>
      </c>
      <c r="AB90" s="126">
        <f>-C90*Hypotheses!$D$30*Hypotheses!J54</f>
        <v>0</v>
      </c>
      <c r="AC90" s="115"/>
      <c r="AD90" s="128">
        <f t="shared" si="9"/>
        <v>-27.077759999999998</v>
      </c>
      <c r="AE90" s="128">
        <f t="shared" si="9"/>
        <v>-67.969582479822677</v>
      </c>
      <c r="AF90" s="128">
        <f t="shared" si="9"/>
        <v>-119.084360579601</v>
      </c>
      <c r="AG90" s="126">
        <f t="shared" si="9"/>
        <v>-6.7694399999999995</v>
      </c>
      <c r="AH90" s="126">
        <f t="shared" si="9"/>
        <v>-16.992395619955669</v>
      </c>
      <c r="AI90" s="126">
        <f t="shared" si="9"/>
        <v>-29.771090144900249</v>
      </c>
      <c r="AJ90" s="115"/>
      <c r="AK90" s="131">
        <f t="shared" si="10"/>
        <v>5.2801631999999996</v>
      </c>
      <c r="AL90" s="131">
        <f t="shared" si="10"/>
        <v>5.0757040876008857</v>
      </c>
      <c r="AM90" s="131">
        <f t="shared" si="10"/>
        <v>4.8201301971019941</v>
      </c>
      <c r="AN90" s="115"/>
      <c r="AO90" s="131">
        <f t="shared" si="11"/>
        <v>5.6863295999999997</v>
      </c>
      <c r="AP90" s="131">
        <f t="shared" si="11"/>
        <v>6.0952478247982258</v>
      </c>
      <c r="AQ90" s="131">
        <f t="shared" si="11"/>
        <v>6.6063956057960089</v>
      </c>
      <c r="AR90" s="115"/>
      <c r="AS90" s="126">
        <f t="shared" si="12"/>
        <v>-1.4892767999999998</v>
      </c>
      <c r="AT90" s="126">
        <f t="shared" si="12"/>
        <v>-11.916691532354783</v>
      </c>
      <c r="AU90" s="126">
        <f t="shared" si="12"/>
        <v>-24.950959947798253</v>
      </c>
      <c r="AV90" s="115"/>
      <c r="AW90" s="126">
        <f t="shared" si="13"/>
        <v>-1.0831103999999998</v>
      </c>
      <c r="AX90" s="126">
        <f t="shared" si="13"/>
        <v>-10.897147795157444</v>
      </c>
      <c r="AY90" s="126">
        <f t="shared" si="13"/>
        <v>-23.164694539104239</v>
      </c>
      <c r="AZ90" s="115"/>
    </row>
    <row r="91" spans="1:52" x14ac:dyDescent="0.25">
      <c r="A91" s="94">
        <v>2036</v>
      </c>
      <c r="B91" s="139" cm="1">
        <f t="array" ref="B91">SUMPRODUCT((BXL!$AA$4:'BXL'!$AA$103=A91)*BXL!$AD$4:$AD$103)+SUMPRODUCT((BXL!$AB$4:'BXL'!$AB$103=A91)*BXL!$AD$4:$AD$103)+SUMPRODUCT((BXL!$AU$4:'BXL'!$AU$103=A91)*BXL!$AX$4:$AX$103)</f>
        <v>80134.272000000012</v>
      </c>
      <c r="C91" s="139" cm="1">
        <f t="array" ref="C91">SUMPRODUCT((BXL!$AA$4:'BXL'!$AA$103=A91)*BXL!$AE$4:$AE$103)+SUMPRODUCT((BXL!$AB$4:'BXL'!$AB$103=A91)*BXL!$AE$4:$AE$103)+SUMPRODUCT((BXL!$AU$4:'BXL'!$AU$103=A91)*BXL!$AY$4:$AY$103)</f>
        <v>1803.0211200000003</v>
      </c>
      <c r="D91" s="136" cm="1">
        <f t="array" ref="D91">SUMPRODUCT((BXL!$AA$4:'BXL'!$AA$103=A91)*BXL!$AF$4:$AF$103)+SUMPRODUCT((BXL!$AB$4:'BXL'!$AB$103=A91)*BXL!$AF$4:$AF$103)+SUMPRODUCT((BXL!$AU$4:'BXL'!$AU$103=A91)*BXL!$AV$4:$AV$103)</f>
        <v>0</v>
      </c>
      <c r="E91" s="136" cm="1">
        <f t="array" ref="E91">SUMPRODUCT((BXL!$AA$4:'BXL'!$AA$103=A91)*BXL!$AG$4:$AG$103)+SUMPRODUCT((BXL!$AB$4:'BXL'!$AB$103=A91)*BXL!$AG$4:$AG$103)+SUMPRODUCT((BXL!$AU$4:'BXL'!$AU$103=A91)*BXL!$AW$4:$AW$103)</f>
        <v>1803.0211200000003</v>
      </c>
      <c r="F91" s="136" cm="1">
        <f t="array" ref="F91">SUMPRODUCT((BXL!$AA$4:'BXL'!$AA$103=A91)*BXL!$AH$4:$AH$103)+SUMPRODUCT((BXL!$AB$4:'BXL'!$AB$103=A91)*BXL!$AH$4:$AH$103)+SUMPRODUCT((BXL!$AU$4:'BXL'!$AU$103=A91)*BXL!$AZ$4:$AZ$103)</f>
        <v>106.845696</v>
      </c>
      <c r="G91" s="136" cm="1">
        <f t="array" ref="G91">SUMPRODUCT((BXL!$AA$4:'BXL'!$AA$103=A91)*BXL!$AI$4:$AI$103)+SUMPRODUCT((BXL!$AB$4:'BXL'!$AB$103=A91)*BXL!$AI$4:$AI$103)+SUMPRODUCT((BXL!$AU$4:'BXL'!$AU$103=A91)*BXL!$BA$4:$BA$103)</f>
        <v>106.845696</v>
      </c>
      <c r="H91" s="115"/>
      <c r="I91" s="139">
        <f t="shared" si="7"/>
        <v>5682.6466700000001</v>
      </c>
      <c r="J91" s="136">
        <f t="shared" si="14"/>
        <v>470.65455000000003</v>
      </c>
      <c r="K91" s="136">
        <f t="shared" si="14"/>
        <v>5211.9921200000008</v>
      </c>
      <c r="L91" s="136">
        <f t="shared" si="14"/>
        <v>339.79026863157895</v>
      </c>
      <c r="M91" s="136">
        <f t="shared" si="14"/>
        <v>269.76917600000002</v>
      </c>
      <c r="N91" s="115"/>
      <c r="O91" s="131">
        <f>C91*(Hypotheses!H55*Hypotheses!$D$19+Hypotheses!$D$14*(1-Hypotheses!H55))</f>
        <v>21.095347104000005</v>
      </c>
      <c r="P91" s="131">
        <f>C91*(Hypotheses!I55*Hypotheses!$D$19+Hypotheses!$D$14*(1-Hypotheses!I55))</f>
        <v>19.74857831940238</v>
      </c>
      <c r="Q91" s="131">
        <f>C91*(Hypotheses!J55*Hypotheses!$D$19+Hypotheses!$D$14*(1-Hypotheses!J55))</f>
        <v>18.065117338655352</v>
      </c>
      <c r="R91" s="115"/>
      <c r="S91" s="131">
        <f>C91*(Hypotheses!H55*Hypotheses!$D$21+Hypotheses!$D$14*(1-Hypotheses!H55))</f>
        <v>22.718066112000006</v>
      </c>
      <c r="T91" s="131">
        <f>C91*(Hypotheses!I55*Hypotheses!$D$21+Hypotheses!$D$14*(1-Hypotheses!I55))</f>
        <v>25.411603681195253</v>
      </c>
      <c r="U91" s="131">
        <f>C91*(Hypotheses!J55*Hypotheses!$D$21+Hypotheses!$D$14*(1-Hypotheses!J55))</f>
        <v>28.778525642689303</v>
      </c>
      <c r="V91" s="115"/>
      <c r="W91" s="128">
        <f>-C91*Hypotheses!$D$31*Hypotheses!H55</f>
        <v>-108.18126720000004</v>
      </c>
      <c r="X91" s="128">
        <f>-C91*Hypotheses!$D$31*Hypotheses!I55</f>
        <v>-377.53502411952468</v>
      </c>
      <c r="Y91" s="128">
        <f>-C91*Hypotheses!$D$31*Hypotheses!J55</f>
        <v>-714.2272202689303</v>
      </c>
      <c r="Z91" s="126">
        <f>-C91*Hypotheses!$D$30*Hypotheses!H55</f>
        <v>-27.045316800000009</v>
      </c>
      <c r="AA91" s="126">
        <f>-C91*Hypotheses!$D$30*Hypotheses!I55</f>
        <v>-94.38375602988117</v>
      </c>
      <c r="AB91" s="126">
        <f>-C91*Hypotheses!$D$30*Hypotheses!J55</f>
        <v>-178.55680506723257</v>
      </c>
      <c r="AC91" s="115"/>
      <c r="AD91" s="128">
        <f t="shared" si="9"/>
        <v>-135.25902720000005</v>
      </c>
      <c r="AE91" s="128">
        <f t="shared" si="9"/>
        <v>-445.50460659934737</v>
      </c>
      <c r="AF91" s="128">
        <f t="shared" si="9"/>
        <v>-833.31158084853132</v>
      </c>
      <c r="AG91" s="126">
        <f t="shared" si="9"/>
        <v>-33.814756800000012</v>
      </c>
      <c r="AH91" s="126">
        <f t="shared" si="9"/>
        <v>-111.37615164983684</v>
      </c>
      <c r="AI91" s="126">
        <f t="shared" si="9"/>
        <v>-208.32789521213283</v>
      </c>
      <c r="AJ91" s="115"/>
      <c r="AK91" s="131">
        <f t="shared" si="10"/>
        <v>26.375510304000006</v>
      </c>
      <c r="AL91" s="131">
        <f t="shared" si="10"/>
        <v>24.824282407003267</v>
      </c>
      <c r="AM91" s="131">
        <f t="shared" si="10"/>
        <v>22.885247535757344</v>
      </c>
      <c r="AN91" s="115"/>
      <c r="AO91" s="131">
        <f t="shared" si="11"/>
        <v>28.404395712000007</v>
      </c>
      <c r="AP91" s="131">
        <f t="shared" si="11"/>
        <v>31.506851505993478</v>
      </c>
      <c r="AQ91" s="131">
        <f t="shared" si="11"/>
        <v>35.384921248485313</v>
      </c>
      <c r="AR91" s="115"/>
      <c r="AS91" s="126">
        <f t="shared" si="12"/>
        <v>-7.4392464960000062</v>
      </c>
      <c r="AT91" s="126">
        <f t="shared" si="12"/>
        <v>-86.551869242833575</v>
      </c>
      <c r="AU91" s="126">
        <f t="shared" si="12"/>
        <v>-185.44264767637549</v>
      </c>
      <c r="AV91" s="115"/>
      <c r="AW91" s="126">
        <f t="shared" si="13"/>
        <v>-5.4103610880000055</v>
      </c>
      <c r="AX91" s="126">
        <f t="shared" si="13"/>
        <v>-79.869300143843361</v>
      </c>
      <c r="AY91" s="126">
        <f t="shared" si="13"/>
        <v>-172.94297396364752</v>
      </c>
      <c r="AZ91" s="115"/>
    </row>
    <row r="92" spans="1:52" x14ac:dyDescent="0.25">
      <c r="A92" s="94">
        <v>2037</v>
      </c>
      <c r="B92" s="139" cm="1">
        <f t="array" ref="B92">SUMPRODUCT((BXL!$AA$4:'BXL'!$AA$103=A92)*BXL!$AD$4:$AD$103)+SUMPRODUCT((BXL!$AB$4:'BXL'!$AB$103=A92)*BXL!$AD$4:$AD$103)+SUMPRODUCT((BXL!$AU$4:'BXL'!$AU$103=A92)*BXL!$AX$4:$AX$103)</f>
        <v>19785.599999999999</v>
      </c>
      <c r="C92" s="139" cm="1">
        <f t="array" ref="C92">SUMPRODUCT((BXL!$AA$4:'BXL'!$AA$103=A92)*BXL!$AE$4:$AE$103)+SUMPRODUCT((BXL!$AB$4:'BXL'!$AB$103=A92)*BXL!$AE$4:$AE$103)+SUMPRODUCT((BXL!$AU$4:'BXL'!$AU$103=A92)*BXL!$AY$4:$AY$103)</f>
        <v>395.71199999999999</v>
      </c>
      <c r="D92" s="136" cm="1">
        <f t="array" ref="D92">SUMPRODUCT((BXL!$AA$4:'BXL'!$AA$103=A92)*BXL!$AF$4:$AF$103)+SUMPRODUCT((BXL!$AB$4:'BXL'!$AB$103=A92)*BXL!$AF$4:$AF$103)+SUMPRODUCT((BXL!$AU$4:'BXL'!$AU$103=A92)*BXL!$AV$4:$AV$103)</f>
        <v>0</v>
      </c>
      <c r="E92" s="136" cm="1">
        <f t="array" ref="E92">SUMPRODUCT((BXL!$AA$4:'BXL'!$AA$103=A92)*BXL!$AG$4:$AG$103)+SUMPRODUCT((BXL!$AB$4:'BXL'!$AB$103=A92)*BXL!$AG$4:$AG$103)+SUMPRODUCT((BXL!$AU$4:'BXL'!$AU$103=A92)*BXL!$AW$4:$AW$103)</f>
        <v>395.71199999999999</v>
      </c>
      <c r="F92" s="136" cm="1">
        <f t="array" ref="F92">SUMPRODUCT((BXL!$AA$4:'BXL'!$AA$103=A92)*BXL!$AH$4:$AH$103)+SUMPRODUCT((BXL!$AB$4:'BXL'!$AB$103=A92)*BXL!$AH$4:$AH$103)+SUMPRODUCT((BXL!$AU$4:'BXL'!$AU$103=A92)*BXL!$AZ$4:$AZ$103)</f>
        <v>26.380799999999997</v>
      </c>
      <c r="G92" s="136" cm="1">
        <f t="array" ref="G92">SUMPRODUCT((BXL!$AA$4:'BXL'!$AA$103=A92)*BXL!$AI$4:$AI$103)+SUMPRODUCT((BXL!$AB$4:'BXL'!$AB$103=A92)*BXL!$AI$4:$AI$103)+SUMPRODUCT((BXL!$AU$4:'BXL'!$AU$103=A92)*BXL!$BA$4:$BA$103)</f>
        <v>26.380799999999997</v>
      </c>
      <c r="H92" s="115"/>
      <c r="I92" s="139">
        <f t="shared" si="7"/>
        <v>6078.3586699999996</v>
      </c>
      <c r="J92" s="136">
        <f t="shared" si="14"/>
        <v>470.65455000000003</v>
      </c>
      <c r="K92" s="136">
        <f t="shared" si="14"/>
        <v>5607.7041200000003</v>
      </c>
      <c r="L92" s="136">
        <f t="shared" si="14"/>
        <v>366.17106863157898</v>
      </c>
      <c r="M92" s="136">
        <f t="shared" si="14"/>
        <v>296.14997600000004</v>
      </c>
      <c r="N92" s="115"/>
      <c r="O92" s="131">
        <f>C92*(Hypotheses!H56*Hypotheses!$D$19+Hypotheses!$D$14*(1-Hypotheses!H56))</f>
        <v>4.6298304000000003</v>
      </c>
      <c r="P92" s="131">
        <f>C92*(Hypotheses!I56*Hypotheses!$D$19+Hypotheses!$D$14*(1-Hypotheses!I56))</f>
        <v>4.282684017279796</v>
      </c>
      <c r="Q92" s="131">
        <f>C92*(Hypotheses!J56*Hypotheses!$D$19+Hypotheses!$D$14*(1-Hypotheses!J56))</f>
        <v>3.8487510388795414</v>
      </c>
      <c r="R92" s="115"/>
      <c r="S92" s="131">
        <f>C92*(Hypotheses!H56*Hypotheses!$D$21+Hypotheses!$D$14*(1-Hypotheses!H56))</f>
        <v>4.9859711999999998</v>
      </c>
      <c r="T92" s="131">
        <f>C92*(Hypotheses!I56*Hypotheses!$D$21+Hypotheses!$D$14*(1-Hypotheses!I56))</f>
        <v>5.6802639654404077</v>
      </c>
      <c r="U92" s="131">
        <f>C92*(Hypotheses!J56*Hypotheses!$D$21+Hypotheses!$D$14*(1-Hypotheses!J56))</f>
        <v>6.5481299222409168</v>
      </c>
      <c r="V92" s="115"/>
      <c r="W92" s="128">
        <f>-C92*Hypotheses!$D$31*Hypotheses!H56</f>
        <v>-23.742719999999998</v>
      </c>
      <c r="X92" s="128">
        <f>-C92*Hypotheses!$D$31*Hypotheses!I56</f>
        <v>-93.171996544040752</v>
      </c>
      <c r="Y92" s="128">
        <f>-C92*Hypotheses!$D$31*Hypotheses!J56</f>
        <v>-179.95859222409169</v>
      </c>
      <c r="Z92" s="126">
        <f>-C92*Hypotheses!$D$30*Hypotheses!H56</f>
        <v>-5.9356799999999996</v>
      </c>
      <c r="AA92" s="126">
        <f>-C92*Hypotheses!$D$30*Hypotheses!I56</f>
        <v>-23.292999136010188</v>
      </c>
      <c r="AB92" s="126">
        <f>-C92*Hypotheses!$D$30*Hypotheses!J56</f>
        <v>-44.989648056022922</v>
      </c>
      <c r="AC92" s="115"/>
      <c r="AD92" s="128">
        <f t="shared" si="9"/>
        <v>-159.00174720000004</v>
      </c>
      <c r="AE92" s="128">
        <f t="shared" si="9"/>
        <v>-538.67660314338809</v>
      </c>
      <c r="AF92" s="128">
        <f t="shared" si="9"/>
        <v>-1013.270173072623</v>
      </c>
      <c r="AG92" s="126">
        <f t="shared" si="9"/>
        <v>-39.75043680000001</v>
      </c>
      <c r="AH92" s="126">
        <f t="shared" si="9"/>
        <v>-134.66915078584702</v>
      </c>
      <c r="AI92" s="126">
        <f t="shared" si="9"/>
        <v>-253.31754326815576</v>
      </c>
      <c r="AJ92" s="115"/>
      <c r="AK92" s="131">
        <f t="shared" si="10"/>
        <v>31.005340704000005</v>
      </c>
      <c r="AL92" s="131">
        <f t="shared" si="10"/>
        <v>29.106966424283062</v>
      </c>
      <c r="AM92" s="131">
        <f t="shared" si="10"/>
        <v>26.733998574636885</v>
      </c>
      <c r="AN92" s="115"/>
      <c r="AO92" s="131">
        <f t="shared" si="11"/>
        <v>33.390366912000005</v>
      </c>
      <c r="AP92" s="131">
        <f t="shared" si="11"/>
        <v>37.187115471433884</v>
      </c>
      <c r="AQ92" s="131">
        <f t="shared" si="11"/>
        <v>41.93305117072623</v>
      </c>
      <c r="AR92" s="115"/>
      <c r="AS92" s="126">
        <f t="shared" si="12"/>
        <v>-8.7450960960000046</v>
      </c>
      <c r="AT92" s="126">
        <f t="shared" si="12"/>
        <v>-105.56218436156396</v>
      </c>
      <c r="AU92" s="126">
        <f t="shared" si="12"/>
        <v>-226.58354469351889</v>
      </c>
      <c r="AV92" s="115"/>
      <c r="AW92" s="126">
        <f t="shared" si="13"/>
        <v>-6.3600698880000053</v>
      </c>
      <c r="AX92" s="126">
        <f t="shared" si="13"/>
        <v>-97.482035314413139</v>
      </c>
      <c r="AY92" s="126">
        <f t="shared" si="13"/>
        <v>-211.38449209742953</v>
      </c>
      <c r="AZ92" s="115"/>
    </row>
    <row r="93" spans="1:52" x14ac:dyDescent="0.25">
      <c r="A93" s="94">
        <v>2038</v>
      </c>
      <c r="B93" s="139" cm="1">
        <f t="array" ref="B93">SUMPRODUCT((BXL!$AA$4:'BXL'!$AA$103=A93)*BXL!$AD$4:$AD$103)+SUMPRODUCT((BXL!$AB$4:'BXL'!$AB$103=A93)*BXL!$AD$4:$AD$103)+SUMPRODUCT((BXL!$AU$4:'BXL'!$AU$103=A93)*BXL!$AX$4:$AX$103)</f>
        <v>16027.199999999999</v>
      </c>
      <c r="C93" s="139" cm="1">
        <f t="array" ref="C93">SUMPRODUCT((BXL!$AA$4:'BXL'!$AA$103=A93)*BXL!$AE$4:$AE$103)+SUMPRODUCT((BXL!$AB$4:'BXL'!$AB$103=A93)*BXL!$AE$4:$AE$103)+SUMPRODUCT((BXL!$AU$4:'BXL'!$AU$103=A93)*BXL!$AY$4:$AY$103)</f>
        <v>320.54399999999998</v>
      </c>
      <c r="D93" s="136" cm="1">
        <f t="array" ref="D93">SUMPRODUCT((BXL!$AA$4:'BXL'!$AA$103=A93)*BXL!$AF$4:$AF$103)+SUMPRODUCT((BXL!$AB$4:'BXL'!$AB$103=A93)*BXL!$AF$4:$AF$103)+SUMPRODUCT((BXL!$AU$4:'BXL'!$AU$103=A93)*BXL!$AV$4:$AV$103)</f>
        <v>0</v>
      </c>
      <c r="E93" s="136" cm="1">
        <f t="array" ref="E93">SUMPRODUCT((BXL!$AA$4:'BXL'!$AA$103=A93)*BXL!$AG$4:$AG$103)+SUMPRODUCT((BXL!$AB$4:'BXL'!$AB$103=A93)*BXL!$AG$4:$AG$103)+SUMPRODUCT((BXL!$AU$4:'BXL'!$AU$103=A93)*BXL!$AW$4:$AW$103)</f>
        <v>320.54399999999998</v>
      </c>
      <c r="F93" s="136" cm="1">
        <f t="array" ref="F93">SUMPRODUCT((BXL!$AA$4:'BXL'!$AA$103=A93)*BXL!$AH$4:$AH$103)+SUMPRODUCT((BXL!$AB$4:'BXL'!$AB$103=A93)*BXL!$AH$4:$AH$103)+SUMPRODUCT((BXL!$AU$4:'BXL'!$AU$103=A93)*BXL!$AZ$4:$AZ$103)</f>
        <v>21.369599999999998</v>
      </c>
      <c r="G93" s="136" cm="1">
        <f t="array" ref="G93">SUMPRODUCT((BXL!$AA$4:'BXL'!$AA$103=A93)*BXL!$AI$4:$AI$103)+SUMPRODUCT((BXL!$AB$4:'BXL'!$AB$103=A93)*BXL!$AI$4:$AI$103)+SUMPRODUCT((BXL!$AU$4:'BXL'!$AU$103=A93)*BXL!$BA$4:$BA$103)</f>
        <v>21.369599999999998</v>
      </c>
      <c r="H93" s="115"/>
      <c r="I93" s="139">
        <f t="shared" si="7"/>
        <v>6398.9026699999995</v>
      </c>
      <c r="J93" s="136">
        <f t="shared" si="14"/>
        <v>470.65455000000003</v>
      </c>
      <c r="K93" s="136">
        <f t="shared" si="14"/>
        <v>5928.2481200000002</v>
      </c>
      <c r="L93" s="136">
        <f t="shared" si="14"/>
        <v>387.54066863157897</v>
      </c>
      <c r="M93" s="136">
        <f t="shared" si="14"/>
        <v>317.51957600000003</v>
      </c>
      <c r="N93" s="115"/>
      <c r="O93" s="131">
        <f>C93*(Hypotheses!H57*Hypotheses!$D$19+Hypotheses!$D$14*(1-Hypotheses!H57))</f>
        <v>3.7503647999999998</v>
      </c>
      <c r="P93" s="131">
        <f>C93*(Hypotheses!I57*Hypotheses!$D$19+Hypotheses!$D$14*(1-Hypotheses!I57))</f>
        <v>3.4358824885235819</v>
      </c>
      <c r="Q93" s="131">
        <f>C93*(Hypotheses!J57*Hypotheses!$D$19+Hypotheses!$D$14*(1-Hypotheses!J57))</f>
        <v>3.0427795991780582</v>
      </c>
      <c r="R93" s="115"/>
      <c r="S93" s="131">
        <f>C93*(Hypotheses!H57*Hypotheses!$D$21+Hypotheses!$D$14*(1-Hypotheses!H57))</f>
        <v>4.0388544</v>
      </c>
      <c r="T93" s="131">
        <f>C93*(Hypotheses!I57*Hypotheses!$D$21+Hypotheses!$D$14*(1-Hypotheses!I57))</f>
        <v>4.6678190229528376</v>
      </c>
      <c r="U93" s="131">
        <f>C93*(Hypotheses!J57*Hypotheses!$D$21+Hypotheses!$D$14*(1-Hypotheses!J57))</f>
        <v>5.4540248016438824</v>
      </c>
      <c r="V93" s="115"/>
      <c r="W93" s="128">
        <f>-C93*Hypotheses!$D$31*Hypotheses!H57</f>
        <v>-19.23264</v>
      </c>
      <c r="X93" s="128">
        <f>-C93*Hypotheses!$D$31*Hypotheses!I57</f>
        <v>-82.129102295283673</v>
      </c>
      <c r="Y93" s="128">
        <f>-C93*Hypotheses!$D$31*Hypotheses!J57</f>
        <v>-160.74968016438825</v>
      </c>
      <c r="Z93" s="126">
        <f>-C93*Hypotheses!$D$30*Hypotheses!H57</f>
        <v>-4.80816</v>
      </c>
      <c r="AA93" s="126">
        <f>-C93*Hypotheses!$D$30*Hypotheses!I57</f>
        <v>-20.532275573820918</v>
      </c>
      <c r="AB93" s="126">
        <f>-C93*Hypotheses!$D$30*Hypotheses!J57</f>
        <v>-40.187420041097063</v>
      </c>
      <c r="AC93" s="115"/>
      <c r="AD93" s="128">
        <f t="shared" si="9"/>
        <v>-178.23438720000004</v>
      </c>
      <c r="AE93" s="128">
        <f t="shared" si="9"/>
        <v>-620.80570543867179</v>
      </c>
      <c r="AF93" s="128">
        <f t="shared" si="9"/>
        <v>-1174.0198532370114</v>
      </c>
      <c r="AG93" s="126">
        <f t="shared" si="9"/>
        <v>-44.558596800000011</v>
      </c>
      <c r="AH93" s="126">
        <f t="shared" si="9"/>
        <v>-155.20142635966795</v>
      </c>
      <c r="AI93" s="126">
        <f t="shared" si="9"/>
        <v>-293.50496330925284</v>
      </c>
      <c r="AJ93" s="115"/>
      <c r="AK93" s="131">
        <f t="shared" si="10"/>
        <v>34.755705504000005</v>
      </c>
      <c r="AL93" s="131">
        <f t="shared" si="10"/>
        <v>32.542848912806647</v>
      </c>
      <c r="AM93" s="131">
        <f t="shared" si="10"/>
        <v>29.776778173814943</v>
      </c>
      <c r="AN93" s="115"/>
      <c r="AO93" s="131">
        <f t="shared" si="11"/>
        <v>37.429221312000003</v>
      </c>
      <c r="AP93" s="131">
        <f t="shared" si="11"/>
        <v>41.854934494386725</v>
      </c>
      <c r="AQ93" s="131">
        <f t="shared" si="11"/>
        <v>47.387075972370113</v>
      </c>
      <c r="AR93" s="115"/>
      <c r="AS93" s="126">
        <f t="shared" si="12"/>
        <v>-9.8028912960000056</v>
      </c>
      <c r="AT93" s="126">
        <f t="shared" si="12"/>
        <v>-122.6585774468613</v>
      </c>
      <c r="AU93" s="126">
        <f t="shared" si="12"/>
        <v>-263.72818513543791</v>
      </c>
      <c r="AV93" s="115"/>
      <c r="AW93" s="126">
        <f t="shared" si="13"/>
        <v>-7.129375488000008</v>
      </c>
      <c r="AX93" s="126">
        <f t="shared" si="13"/>
        <v>-113.34649186528122</v>
      </c>
      <c r="AY93" s="126">
        <f t="shared" si="13"/>
        <v>-246.11788733688275</v>
      </c>
      <c r="AZ93" s="115"/>
    </row>
    <row r="94" spans="1:52" x14ac:dyDescent="0.25">
      <c r="A94" s="94">
        <v>2039</v>
      </c>
      <c r="B94" s="139" cm="1">
        <f t="array" ref="B94">SUMPRODUCT((BXL!$AA$4:'BXL'!$AA$103=A94)*BXL!$AD$4:$AD$103)+SUMPRODUCT((BXL!$AB$4:'BXL'!$AB$103=A94)*BXL!$AD$4:$AD$103)+SUMPRODUCT((BXL!$AU$4:'BXL'!$AU$103=A94)*BXL!$AX$4:$AX$103)</f>
        <v>0</v>
      </c>
      <c r="C94" s="139" cm="1">
        <f t="array" ref="C94">SUMPRODUCT((BXL!$AA$4:'BXL'!$AA$103=A94)*BXL!$AE$4:$AE$103)+SUMPRODUCT((BXL!$AB$4:'BXL'!$AB$103=A94)*BXL!$AE$4:$AE$103)+SUMPRODUCT((BXL!$AU$4:'BXL'!$AU$103=A94)*BXL!$AY$4:$AY$103)</f>
        <v>0</v>
      </c>
      <c r="D94" s="136" cm="1">
        <f t="array" ref="D94">SUMPRODUCT((BXL!$AA$4:'BXL'!$AA$103=A94)*BXL!$AF$4:$AF$103)+SUMPRODUCT((BXL!$AB$4:'BXL'!$AB$103=A94)*BXL!$AF$4:$AF$103)+SUMPRODUCT((BXL!$AU$4:'BXL'!$AU$103=A94)*BXL!$AV$4:$AV$103)</f>
        <v>0</v>
      </c>
      <c r="E94" s="136" cm="1">
        <f t="array" ref="E94">SUMPRODUCT((BXL!$AA$4:'BXL'!$AA$103=A94)*BXL!$AG$4:$AG$103)+SUMPRODUCT((BXL!$AB$4:'BXL'!$AB$103=A94)*BXL!$AG$4:$AG$103)+SUMPRODUCT((BXL!$AU$4:'BXL'!$AU$103=A94)*BXL!$AW$4:$AW$103)</f>
        <v>0</v>
      </c>
      <c r="F94" s="136" cm="1">
        <f t="array" ref="F94">SUMPRODUCT((BXL!$AA$4:'BXL'!$AA$103=A94)*BXL!$AH$4:$AH$103)+SUMPRODUCT((BXL!$AB$4:'BXL'!$AB$103=A94)*BXL!$AH$4:$AH$103)+SUMPRODUCT((BXL!$AU$4:'BXL'!$AU$103=A94)*BXL!$AZ$4:$AZ$103)</f>
        <v>0</v>
      </c>
      <c r="G94" s="136" cm="1">
        <f t="array" ref="G94">SUMPRODUCT((BXL!$AA$4:'BXL'!$AA$103=A94)*BXL!$AI$4:$AI$103)+SUMPRODUCT((BXL!$AB$4:'BXL'!$AB$103=A94)*BXL!$AI$4:$AI$103)+SUMPRODUCT((BXL!$AU$4:'BXL'!$AU$103=A94)*BXL!$BA$4:$BA$103)</f>
        <v>0</v>
      </c>
      <c r="H94" s="115"/>
      <c r="I94" s="139">
        <f t="shared" si="7"/>
        <v>6398.9026699999995</v>
      </c>
      <c r="J94" s="136">
        <f t="shared" si="14"/>
        <v>470.65455000000003</v>
      </c>
      <c r="K94" s="136">
        <f t="shared" si="14"/>
        <v>5928.2481200000002</v>
      </c>
      <c r="L94" s="136">
        <f t="shared" si="14"/>
        <v>387.54066863157897</v>
      </c>
      <c r="M94" s="136">
        <f t="shared" si="14"/>
        <v>317.51957600000003</v>
      </c>
      <c r="N94" s="115"/>
      <c r="O94" s="131">
        <f>C94*(Hypotheses!H58*Hypotheses!$D$19+Hypotheses!$D$14*(1-Hypotheses!H58))</f>
        <v>0</v>
      </c>
      <c r="P94" s="131">
        <f>C94*(Hypotheses!I58*Hypotheses!$D$19+Hypotheses!$D$14*(1-Hypotheses!I58))</f>
        <v>0</v>
      </c>
      <c r="Q94" s="131">
        <f>C94*(Hypotheses!J58*Hypotheses!$D$19+Hypotheses!$D$14*(1-Hypotheses!J58))</f>
        <v>0</v>
      </c>
      <c r="R94" s="115"/>
      <c r="S94" s="131">
        <f>C94*(Hypotheses!H58*Hypotheses!$D$21+Hypotheses!$D$14*(1-Hypotheses!H58))</f>
        <v>0</v>
      </c>
      <c r="T94" s="131">
        <f>C94*(Hypotheses!I58*Hypotheses!$D$21+Hypotheses!$D$14*(1-Hypotheses!I58))</f>
        <v>0</v>
      </c>
      <c r="U94" s="131">
        <f>C94*(Hypotheses!J58*Hypotheses!$D$21+Hypotheses!$D$14*(1-Hypotheses!J58))</f>
        <v>0</v>
      </c>
      <c r="V94" s="115"/>
      <c r="W94" s="128">
        <f>-C94*Hypotheses!$D$31*Hypotheses!H58</f>
        <v>0</v>
      </c>
      <c r="X94" s="128">
        <f>-C94*Hypotheses!$D$31*Hypotheses!I58</f>
        <v>0</v>
      </c>
      <c r="Y94" s="128">
        <f>-C94*Hypotheses!$D$31*Hypotheses!J58</f>
        <v>0</v>
      </c>
      <c r="Z94" s="126">
        <f>-C94*Hypotheses!$D$30*Hypotheses!H58</f>
        <v>0</v>
      </c>
      <c r="AA94" s="126">
        <f>-C94*Hypotheses!$D$30*Hypotheses!I58</f>
        <v>0</v>
      </c>
      <c r="AB94" s="126">
        <f>-C94*Hypotheses!$D$30*Hypotheses!J58</f>
        <v>0</v>
      </c>
      <c r="AC94" s="115"/>
      <c r="AD94" s="128">
        <f t="shared" si="9"/>
        <v>-178.23438720000004</v>
      </c>
      <c r="AE94" s="128">
        <f t="shared" si="9"/>
        <v>-620.80570543867179</v>
      </c>
      <c r="AF94" s="128">
        <f t="shared" si="9"/>
        <v>-1174.0198532370114</v>
      </c>
      <c r="AG94" s="126">
        <f t="shared" si="9"/>
        <v>-44.558596800000011</v>
      </c>
      <c r="AH94" s="126">
        <f t="shared" si="9"/>
        <v>-155.20142635966795</v>
      </c>
      <c r="AI94" s="126">
        <f t="shared" si="9"/>
        <v>-293.50496330925284</v>
      </c>
      <c r="AJ94" s="115"/>
      <c r="AK94" s="131">
        <f t="shared" si="10"/>
        <v>34.755705504000005</v>
      </c>
      <c r="AL94" s="131">
        <f t="shared" si="10"/>
        <v>32.542848912806647</v>
      </c>
      <c r="AM94" s="131">
        <f t="shared" si="10"/>
        <v>29.776778173814943</v>
      </c>
      <c r="AN94" s="115"/>
      <c r="AO94" s="131">
        <f t="shared" si="11"/>
        <v>37.429221312000003</v>
      </c>
      <c r="AP94" s="131">
        <f t="shared" si="11"/>
        <v>41.854934494386725</v>
      </c>
      <c r="AQ94" s="131">
        <f t="shared" si="11"/>
        <v>47.387075972370113</v>
      </c>
      <c r="AR94" s="115"/>
      <c r="AS94" s="126">
        <f t="shared" si="12"/>
        <v>-9.8028912960000056</v>
      </c>
      <c r="AT94" s="126">
        <f t="shared" si="12"/>
        <v>-122.6585774468613</v>
      </c>
      <c r="AU94" s="126">
        <f t="shared" si="12"/>
        <v>-263.72818513543791</v>
      </c>
      <c r="AV94" s="115"/>
      <c r="AW94" s="126">
        <f t="shared" si="13"/>
        <v>-7.129375488000008</v>
      </c>
      <c r="AX94" s="126">
        <f t="shared" si="13"/>
        <v>-113.34649186528122</v>
      </c>
      <c r="AY94" s="126">
        <f t="shared" si="13"/>
        <v>-246.11788733688275</v>
      </c>
      <c r="AZ94" s="115"/>
    </row>
    <row r="95" spans="1:52" x14ac:dyDescent="0.25">
      <c r="A95" s="94">
        <v>2040</v>
      </c>
      <c r="B95" s="139" cm="1">
        <f t="array" ref="B95">SUMPRODUCT((BXL!$AA$4:'BXL'!$AA$103=A95)*BXL!$AD$4:$AD$103)+SUMPRODUCT((BXL!$AB$4:'BXL'!$AB$103=A95)*BXL!$AD$4:$AD$103)+SUMPRODUCT((BXL!$AU$4:'BXL'!$AU$103=A95)*BXL!$AX$4:$AX$103)</f>
        <v>20044.8</v>
      </c>
      <c r="C95" s="139" cm="1">
        <f t="array" ref="C95">SUMPRODUCT((BXL!$AA$4:'BXL'!$AA$103=A95)*BXL!$AE$4:$AE$103)+SUMPRODUCT((BXL!$AB$4:'BXL'!$AB$103=A95)*BXL!$AE$4:$AE$103)+SUMPRODUCT((BXL!$AU$4:'BXL'!$AU$103=A95)*BXL!$AY$4:$AY$103)</f>
        <v>400.89599999999996</v>
      </c>
      <c r="D95" s="136" cm="1">
        <f t="array" ref="D95">SUMPRODUCT((BXL!$AA$4:'BXL'!$AA$103=A95)*BXL!$AF$4:$AF$103)+SUMPRODUCT((BXL!$AB$4:'BXL'!$AB$103=A95)*BXL!$AF$4:$AF$103)+SUMPRODUCT((BXL!$AU$4:'BXL'!$AU$103=A95)*BXL!$AV$4:$AV$103)</f>
        <v>0</v>
      </c>
      <c r="E95" s="136" cm="1">
        <f t="array" ref="E95">SUMPRODUCT((BXL!$AA$4:'BXL'!$AA$103=A95)*BXL!$AG$4:$AG$103)+SUMPRODUCT((BXL!$AB$4:'BXL'!$AB$103=A95)*BXL!$AG$4:$AG$103)+SUMPRODUCT((BXL!$AU$4:'BXL'!$AU$103=A95)*BXL!$AW$4:$AW$103)</f>
        <v>400.89599999999996</v>
      </c>
      <c r="F95" s="136" cm="1">
        <f t="array" ref="F95">SUMPRODUCT((BXL!$AA$4:'BXL'!$AA$103=A95)*BXL!$AH$4:$AH$103)+SUMPRODUCT((BXL!$AB$4:'BXL'!$AB$103=A95)*BXL!$AH$4:$AH$103)+SUMPRODUCT((BXL!$AU$4:'BXL'!$AU$103=A95)*BXL!$AZ$4:$AZ$103)</f>
        <v>26.726399999999998</v>
      </c>
      <c r="G95" s="136" cm="1">
        <f t="array" ref="G95">SUMPRODUCT((BXL!$AA$4:'BXL'!$AA$103=A95)*BXL!$AI$4:$AI$103)+SUMPRODUCT((BXL!$AB$4:'BXL'!$AB$103=A95)*BXL!$AI$4:$AI$103)+SUMPRODUCT((BXL!$AU$4:'BXL'!$AU$103=A95)*BXL!$BA$4:$BA$103)</f>
        <v>26.726399999999998</v>
      </c>
      <c r="H95" s="115"/>
      <c r="I95" s="139">
        <f t="shared" si="7"/>
        <v>6799.7986699999992</v>
      </c>
      <c r="J95" s="136">
        <f t="shared" si="14"/>
        <v>470.65455000000003</v>
      </c>
      <c r="K95" s="136">
        <f t="shared" si="14"/>
        <v>6329.1441199999999</v>
      </c>
      <c r="L95" s="136">
        <f t="shared" si="14"/>
        <v>414.26706863157898</v>
      </c>
      <c r="M95" s="136">
        <f t="shared" si="14"/>
        <v>344.24597600000004</v>
      </c>
      <c r="N95" s="115"/>
      <c r="O95" s="131">
        <f>C95*(Hypotheses!H59*Hypotheses!$D$19+Hypotheses!$D$14*(1-Hypotheses!H59))</f>
        <v>4.6904832000000001</v>
      </c>
      <c r="P95" s="131">
        <f>C95*(Hypotheses!I59*Hypotheses!$D$19+Hypotheses!$D$14*(1-Hypotheses!I59))</f>
        <v>4.2459014891253553</v>
      </c>
      <c r="Q95" s="131">
        <f>C95*(Hypotheses!J59*Hypotheses!$D$19+Hypotheses!$D$14*(1-Hypotheses!J59))</f>
        <v>3.6901743505320495</v>
      </c>
      <c r="R95" s="115"/>
      <c r="S95" s="131">
        <f>C95*(Hypotheses!H59*Hypotheses!$D$21+Hypotheses!$D$14*(1-Hypotheses!H59))</f>
        <v>5.0512895999999996</v>
      </c>
      <c r="T95" s="131">
        <f>C95*(Hypotheses!I59*Hypotheses!$D$21+Hypotheses!$D$14*(1-Hypotheses!I59))</f>
        <v>5.9404530217492875</v>
      </c>
      <c r="U95" s="131">
        <f>C95*(Hypotheses!J59*Hypotheses!$D$21+Hypotheses!$D$14*(1-Hypotheses!J59))</f>
        <v>7.0519072989358982</v>
      </c>
      <c r="V95" s="115"/>
      <c r="W95" s="128">
        <f>-C95*Hypotheses!$D$31*Hypotheses!H59</f>
        <v>-24.053759999999997</v>
      </c>
      <c r="X95" s="128">
        <f>-C95*Hypotheses!$D$31*Hypotheses!I59</f>
        <v>-112.97010217492884</v>
      </c>
      <c r="Y95" s="128">
        <f>-C95*Hypotheses!$D$31*Hypotheses!J59</f>
        <v>-224.11552989358989</v>
      </c>
      <c r="Z95" s="126">
        <f>-C95*Hypotheses!$D$30*Hypotheses!H59</f>
        <v>-6.0134399999999992</v>
      </c>
      <c r="AA95" s="126">
        <f>-C95*Hypotheses!$D$30*Hypotheses!I59</f>
        <v>-28.24252554373221</v>
      </c>
      <c r="AB95" s="126">
        <f>-C95*Hypotheses!$D$30*Hypotheses!J59</f>
        <v>-56.028882473397474</v>
      </c>
      <c r="AC95" s="115"/>
      <c r="AD95" s="128">
        <f t="shared" si="9"/>
        <v>-202.28814720000003</v>
      </c>
      <c r="AE95" s="128">
        <f t="shared" si="9"/>
        <v>-733.77580761360059</v>
      </c>
      <c r="AF95" s="128">
        <f t="shared" si="9"/>
        <v>-1398.1353831306012</v>
      </c>
      <c r="AG95" s="126">
        <f t="shared" si="9"/>
        <v>-50.572036800000006</v>
      </c>
      <c r="AH95" s="126">
        <f t="shared" si="9"/>
        <v>-183.44395190340015</v>
      </c>
      <c r="AI95" s="126">
        <f t="shared" si="9"/>
        <v>-349.5338457826503</v>
      </c>
      <c r="AJ95" s="115"/>
      <c r="AK95" s="131">
        <f t="shared" si="10"/>
        <v>39.446188704000008</v>
      </c>
      <c r="AL95" s="131">
        <f t="shared" si="10"/>
        <v>36.788750401932006</v>
      </c>
      <c r="AM95" s="131">
        <f t="shared" si="10"/>
        <v>33.466952524346993</v>
      </c>
      <c r="AN95" s="115"/>
      <c r="AO95" s="131">
        <f t="shared" si="11"/>
        <v>42.480510912</v>
      </c>
      <c r="AP95" s="131">
        <f t="shared" si="11"/>
        <v>47.79538751613601</v>
      </c>
      <c r="AQ95" s="131">
        <f t="shared" si="11"/>
        <v>54.438983271306014</v>
      </c>
      <c r="AR95" s="115"/>
      <c r="AS95" s="126">
        <f t="shared" si="12"/>
        <v>-11.125848095999999</v>
      </c>
      <c r="AT95" s="126">
        <f t="shared" si="12"/>
        <v>-146.65520150146813</v>
      </c>
      <c r="AU95" s="126">
        <f t="shared" si="12"/>
        <v>-316.06689325830331</v>
      </c>
      <c r="AV95" s="115"/>
      <c r="AW95" s="126">
        <f t="shared" si="13"/>
        <v>-8.0915258880000067</v>
      </c>
      <c r="AX95" s="126">
        <f t="shared" si="13"/>
        <v>-135.64856438726414</v>
      </c>
      <c r="AY95" s="126">
        <f t="shared" si="13"/>
        <v>-295.09486251134427</v>
      </c>
      <c r="AZ95" s="115"/>
    </row>
    <row r="96" spans="1:52" x14ac:dyDescent="0.25">
      <c r="A96" s="94">
        <v>2041</v>
      </c>
      <c r="B96" s="139" cm="1">
        <f t="array" ref="B96">SUMPRODUCT((BXL!$AA$4:'BXL'!$AA$103=A96)*BXL!$AD$4:$AD$103)+SUMPRODUCT((BXL!$AB$4:'BXL'!$AB$103=A96)*BXL!$AD$4:$AD$103)+SUMPRODUCT((BXL!$AU$4:'BXL'!$AU$103=A96)*BXL!$AX$4:$AX$103)</f>
        <v>0</v>
      </c>
      <c r="C96" s="139" cm="1">
        <f t="array" ref="C96">SUMPRODUCT((BXL!$AA$4:'BXL'!$AA$103=A96)*BXL!$AE$4:$AE$103)+SUMPRODUCT((BXL!$AB$4:'BXL'!$AB$103=A96)*BXL!$AE$4:$AE$103)+SUMPRODUCT((BXL!$AU$4:'BXL'!$AU$103=A96)*BXL!$AY$4:$AY$103)</f>
        <v>0</v>
      </c>
      <c r="D96" s="136" cm="1">
        <f t="array" ref="D96">SUMPRODUCT((BXL!$AA$4:'BXL'!$AA$103=A96)*BXL!$AF$4:$AF$103)+SUMPRODUCT((BXL!$AB$4:'BXL'!$AB$103=A96)*BXL!$AF$4:$AF$103)+SUMPRODUCT((BXL!$AU$4:'BXL'!$AU$103=A96)*BXL!$AV$4:$AV$103)</f>
        <v>0</v>
      </c>
      <c r="E96" s="136" cm="1">
        <f t="array" ref="E96">SUMPRODUCT((BXL!$AA$4:'BXL'!$AA$103=A96)*BXL!$AG$4:$AG$103)+SUMPRODUCT((BXL!$AB$4:'BXL'!$AB$103=A96)*BXL!$AG$4:$AG$103)+SUMPRODUCT((BXL!$AU$4:'BXL'!$AU$103=A96)*BXL!$AW$4:$AW$103)</f>
        <v>0</v>
      </c>
      <c r="F96" s="136" cm="1">
        <f t="array" ref="F96">SUMPRODUCT((BXL!$AA$4:'BXL'!$AA$103=A96)*BXL!$AH$4:$AH$103)+SUMPRODUCT((BXL!$AB$4:'BXL'!$AB$103=A96)*BXL!$AH$4:$AH$103)+SUMPRODUCT((BXL!$AU$4:'BXL'!$AU$103=A96)*BXL!$AZ$4:$AZ$103)</f>
        <v>0</v>
      </c>
      <c r="G96" s="136" cm="1">
        <f t="array" ref="G96">SUMPRODUCT((BXL!$AA$4:'BXL'!$AA$103=A96)*BXL!$AI$4:$AI$103)+SUMPRODUCT((BXL!$AB$4:'BXL'!$AB$103=A96)*BXL!$AI$4:$AI$103)+SUMPRODUCT((BXL!$AU$4:'BXL'!$AU$103=A96)*BXL!$BA$4:$BA$103)</f>
        <v>0</v>
      </c>
      <c r="H96" s="115"/>
      <c r="I96" s="139">
        <f t="shared" si="7"/>
        <v>6799.7986699999992</v>
      </c>
      <c r="J96" s="136">
        <f t="shared" si="14"/>
        <v>470.65455000000003</v>
      </c>
      <c r="K96" s="136">
        <f t="shared" si="14"/>
        <v>6329.1441199999999</v>
      </c>
      <c r="L96" s="136">
        <f t="shared" si="14"/>
        <v>414.26706863157898</v>
      </c>
      <c r="M96" s="136">
        <f t="shared" si="14"/>
        <v>344.24597600000004</v>
      </c>
      <c r="N96" s="115"/>
      <c r="O96" s="131">
        <f>C96*(Hypotheses!H60*Hypotheses!$D$19+Hypotheses!$D$14*(1-Hypotheses!H60))</f>
        <v>0</v>
      </c>
      <c r="P96" s="131">
        <f>C96*(Hypotheses!I60*Hypotheses!$D$19+Hypotheses!$D$14*(1-Hypotheses!I60))</f>
        <v>0</v>
      </c>
      <c r="Q96" s="131">
        <f>C96*(Hypotheses!J60*Hypotheses!$D$19+Hypotheses!$D$14*(1-Hypotheses!J60))</f>
        <v>0</v>
      </c>
      <c r="R96" s="115"/>
      <c r="S96" s="131">
        <f>C96*(Hypotheses!H60*Hypotheses!$D$21+Hypotheses!$D$14*(1-Hypotheses!H60))</f>
        <v>0</v>
      </c>
      <c r="T96" s="131">
        <f>C96*(Hypotheses!I60*Hypotheses!$D$21+Hypotheses!$D$14*(1-Hypotheses!I60))</f>
        <v>0</v>
      </c>
      <c r="U96" s="131">
        <f>C96*(Hypotheses!J60*Hypotheses!$D$21+Hypotheses!$D$14*(1-Hypotheses!J60))</f>
        <v>0</v>
      </c>
      <c r="V96" s="115"/>
      <c r="W96" s="128">
        <f>-C96*Hypotheses!$D$31*Hypotheses!H60</f>
        <v>0</v>
      </c>
      <c r="X96" s="128">
        <f>-C96*Hypotheses!$D$31*Hypotheses!I60</f>
        <v>0</v>
      </c>
      <c r="Y96" s="128">
        <f>-C96*Hypotheses!$D$31*Hypotheses!J60</f>
        <v>0</v>
      </c>
      <c r="Z96" s="126">
        <f>-C96*Hypotheses!$D$30*Hypotheses!H60</f>
        <v>0</v>
      </c>
      <c r="AA96" s="126">
        <f>-C96*Hypotheses!$D$30*Hypotheses!I60</f>
        <v>0</v>
      </c>
      <c r="AB96" s="126">
        <f>-C96*Hypotheses!$D$30*Hypotheses!J60</f>
        <v>0</v>
      </c>
      <c r="AC96" s="115"/>
      <c r="AD96" s="128">
        <f t="shared" si="9"/>
        <v>-202.28814720000003</v>
      </c>
      <c r="AE96" s="128">
        <f t="shared" si="9"/>
        <v>-733.77580761360059</v>
      </c>
      <c r="AF96" s="128">
        <f t="shared" si="9"/>
        <v>-1398.1353831306012</v>
      </c>
      <c r="AG96" s="126">
        <f t="shared" si="9"/>
        <v>-50.572036800000006</v>
      </c>
      <c r="AH96" s="126">
        <f t="shared" si="9"/>
        <v>-183.44395190340015</v>
      </c>
      <c r="AI96" s="126">
        <f t="shared" si="9"/>
        <v>-349.5338457826503</v>
      </c>
      <c r="AJ96" s="115"/>
      <c r="AK96" s="131">
        <f t="shared" si="10"/>
        <v>39.446188704000008</v>
      </c>
      <c r="AL96" s="131">
        <f t="shared" si="10"/>
        <v>36.788750401932006</v>
      </c>
      <c r="AM96" s="131">
        <f t="shared" si="10"/>
        <v>33.466952524346993</v>
      </c>
      <c r="AN96" s="115"/>
      <c r="AO96" s="131">
        <f t="shared" si="11"/>
        <v>42.480510912</v>
      </c>
      <c r="AP96" s="131">
        <f t="shared" si="11"/>
        <v>47.79538751613601</v>
      </c>
      <c r="AQ96" s="131">
        <f t="shared" si="11"/>
        <v>54.438983271306014</v>
      </c>
      <c r="AR96" s="115"/>
      <c r="AS96" s="126">
        <f t="shared" si="12"/>
        <v>-11.125848095999999</v>
      </c>
      <c r="AT96" s="126">
        <f t="shared" si="12"/>
        <v>-146.65520150146813</v>
      </c>
      <c r="AU96" s="126">
        <f t="shared" si="12"/>
        <v>-316.06689325830331</v>
      </c>
      <c r="AV96" s="115"/>
      <c r="AW96" s="126">
        <f t="shared" si="13"/>
        <v>-8.0915258880000067</v>
      </c>
      <c r="AX96" s="126">
        <f t="shared" si="13"/>
        <v>-135.64856438726414</v>
      </c>
      <c r="AY96" s="126">
        <f t="shared" si="13"/>
        <v>-295.09486251134427</v>
      </c>
      <c r="AZ96" s="115"/>
    </row>
    <row r="97" spans="1:52" x14ac:dyDescent="0.25">
      <c r="A97" s="94">
        <v>2042</v>
      </c>
      <c r="B97" s="139" cm="1">
        <f t="array" ref="B97">SUMPRODUCT((BXL!$AA$4:'BXL'!$AA$103=A97)*BXL!$AD$4:$AD$103)+SUMPRODUCT((BXL!$AB$4:'BXL'!$AB$103=A97)*BXL!$AD$4:$AD$103)+SUMPRODUCT((BXL!$AU$4:'BXL'!$AU$103=A97)*BXL!$AX$4:$AX$103)</f>
        <v>0</v>
      </c>
      <c r="C97" s="139" cm="1">
        <f t="array" ref="C97">SUMPRODUCT((BXL!$AA$4:'BXL'!$AA$103=A97)*BXL!$AE$4:$AE$103)+SUMPRODUCT((BXL!$AB$4:'BXL'!$AB$103=A97)*BXL!$AE$4:$AE$103)+SUMPRODUCT((BXL!$AU$4:'BXL'!$AU$103=A97)*BXL!$AY$4:$AY$103)</f>
        <v>0</v>
      </c>
      <c r="D97" s="136" cm="1">
        <f t="array" ref="D97">SUMPRODUCT((BXL!$AA$4:'BXL'!$AA$103=A97)*BXL!$AF$4:$AF$103)+SUMPRODUCT((BXL!$AB$4:'BXL'!$AB$103=A97)*BXL!$AF$4:$AF$103)+SUMPRODUCT((BXL!$AU$4:'BXL'!$AU$103=A97)*BXL!$AV$4:$AV$103)</f>
        <v>0</v>
      </c>
      <c r="E97" s="136" cm="1">
        <f t="array" ref="E97">SUMPRODUCT((BXL!$AA$4:'BXL'!$AA$103=A97)*BXL!$AG$4:$AG$103)+SUMPRODUCT((BXL!$AB$4:'BXL'!$AB$103=A97)*BXL!$AG$4:$AG$103)+SUMPRODUCT((BXL!$AU$4:'BXL'!$AU$103=A97)*BXL!$AW$4:$AW$103)</f>
        <v>0</v>
      </c>
      <c r="F97" s="136" cm="1">
        <f t="array" ref="F97">SUMPRODUCT((BXL!$AA$4:'BXL'!$AA$103=A97)*BXL!$AH$4:$AH$103)+SUMPRODUCT((BXL!$AB$4:'BXL'!$AB$103=A97)*BXL!$AH$4:$AH$103)+SUMPRODUCT((BXL!$AU$4:'BXL'!$AU$103=A97)*BXL!$AZ$4:$AZ$103)</f>
        <v>0</v>
      </c>
      <c r="G97" s="136" cm="1">
        <f t="array" ref="G97">SUMPRODUCT((BXL!$AA$4:'BXL'!$AA$103=A97)*BXL!$AI$4:$AI$103)+SUMPRODUCT((BXL!$AB$4:'BXL'!$AB$103=A97)*BXL!$AI$4:$AI$103)+SUMPRODUCT((BXL!$AU$4:'BXL'!$AU$103=A97)*BXL!$BA$4:$BA$103)</f>
        <v>0</v>
      </c>
      <c r="H97" s="115"/>
      <c r="I97" s="139">
        <f t="shared" si="7"/>
        <v>6799.7986699999992</v>
      </c>
      <c r="J97" s="136">
        <f t="shared" si="14"/>
        <v>470.65455000000003</v>
      </c>
      <c r="K97" s="136">
        <f t="shared" si="14"/>
        <v>6329.1441199999999</v>
      </c>
      <c r="L97" s="136">
        <f t="shared" si="14"/>
        <v>414.26706863157898</v>
      </c>
      <c r="M97" s="136">
        <f t="shared" si="14"/>
        <v>344.24597600000004</v>
      </c>
      <c r="N97" s="115"/>
      <c r="O97" s="131">
        <f>C97*(Hypotheses!H61*Hypotheses!$D$19+Hypotheses!$D$14*(1-Hypotheses!H61))</f>
        <v>0</v>
      </c>
      <c r="P97" s="131">
        <f>C97*(Hypotheses!I61*Hypotheses!$D$19+Hypotheses!$D$14*(1-Hypotheses!I61))</f>
        <v>0</v>
      </c>
      <c r="Q97" s="131">
        <f>C97*(Hypotheses!J61*Hypotheses!$D$19+Hypotheses!$D$14*(1-Hypotheses!J61))</f>
        <v>0</v>
      </c>
      <c r="R97" s="115"/>
      <c r="S97" s="131">
        <f>C97*(Hypotheses!H61*Hypotheses!$D$21+Hypotheses!$D$14*(1-Hypotheses!H61))</f>
        <v>0</v>
      </c>
      <c r="T97" s="131">
        <f>C97*(Hypotheses!I61*Hypotheses!$D$21+Hypotheses!$D$14*(1-Hypotheses!I61))</f>
        <v>0</v>
      </c>
      <c r="U97" s="131">
        <f>C97*(Hypotheses!J61*Hypotheses!$D$21+Hypotheses!$D$14*(1-Hypotheses!J61))</f>
        <v>0</v>
      </c>
      <c r="V97" s="115"/>
      <c r="W97" s="128">
        <f>-C97*Hypotheses!$D$31*Hypotheses!H61</f>
        <v>0</v>
      </c>
      <c r="X97" s="128">
        <f>-C97*Hypotheses!$D$31*Hypotheses!I61</f>
        <v>0</v>
      </c>
      <c r="Y97" s="128">
        <f>-C97*Hypotheses!$D$31*Hypotheses!J61</f>
        <v>0</v>
      </c>
      <c r="Z97" s="126">
        <f>-C97*Hypotheses!$D$30*Hypotheses!H61</f>
        <v>0</v>
      </c>
      <c r="AA97" s="126">
        <f>-C97*Hypotheses!$D$30*Hypotheses!I61</f>
        <v>0</v>
      </c>
      <c r="AB97" s="126">
        <f>-C97*Hypotheses!$D$30*Hypotheses!J61</f>
        <v>0</v>
      </c>
      <c r="AC97" s="115"/>
      <c r="AD97" s="128">
        <f t="shared" si="9"/>
        <v>-202.28814720000003</v>
      </c>
      <c r="AE97" s="128">
        <f t="shared" si="9"/>
        <v>-733.77580761360059</v>
      </c>
      <c r="AF97" s="128">
        <f t="shared" si="9"/>
        <v>-1398.1353831306012</v>
      </c>
      <c r="AG97" s="126">
        <f t="shared" si="9"/>
        <v>-50.572036800000006</v>
      </c>
      <c r="AH97" s="126">
        <f t="shared" si="9"/>
        <v>-183.44395190340015</v>
      </c>
      <c r="AI97" s="126">
        <f t="shared" si="9"/>
        <v>-349.5338457826503</v>
      </c>
      <c r="AJ97" s="115"/>
      <c r="AK97" s="131">
        <f t="shared" si="10"/>
        <v>39.446188704000008</v>
      </c>
      <c r="AL97" s="131">
        <f t="shared" si="10"/>
        <v>36.788750401932006</v>
      </c>
      <c r="AM97" s="131">
        <f t="shared" si="10"/>
        <v>33.466952524346993</v>
      </c>
      <c r="AN97" s="115"/>
      <c r="AO97" s="131">
        <f t="shared" si="11"/>
        <v>42.480510912</v>
      </c>
      <c r="AP97" s="131">
        <f t="shared" si="11"/>
        <v>47.79538751613601</v>
      </c>
      <c r="AQ97" s="131">
        <f t="shared" si="11"/>
        <v>54.438983271306014</v>
      </c>
      <c r="AR97" s="115"/>
      <c r="AS97" s="126">
        <f t="shared" si="12"/>
        <v>-11.125848095999999</v>
      </c>
      <c r="AT97" s="126">
        <f t="shared" si="12"/>
        <v>-146.65520150146813</v>
      </c>
      <c r="AU97" s="126">
        <f t="shared" si="12"/>
        <v>-316.06689325830331</v>
      </c>
      <c r="AV97" s="115"/>
      <c r="AW97" s="126">
        <f t="shared" si="13"/>
        <v>-8.0915258880000067</v>
      </c>
      <c r="AX97" s="126">
        <f t="shared" si="13"/>
        <v>-135.64856438726414</v>
      </c>
      <c r="AY97" s="126">
        <f t="shared" si="13"/>
        <v>-295.09486251134427</v>
      </c>
      <c r="AZ97" s="115"/>
    </row>
    <row r="98" spans="1:52" x14ac:dyDescent="0.25">
      <c r="A98" s="94">
        <v>2043</v>
      </c>
      <c r="B98" s="139" cm="1">
        <f t="array" ref="B98">SUMPRODUCT((BXL!$AA$4:'BXL'!$AA$103=A98)*BXL!$AD$4:$AD$103)+SUMPRODUCT((BXL!$AB$4:'BXL'!$AB$103=A98)*BXL!$AD$4:$AD$103)+SUMPRODUCT((BXL!$AU$4:'BXL'!$AU$103=A98)*BXL!$AX$4:$AX$103)</f>
        <v>0</v>
      </c>
      <c r="C98" s="139" cm="1">
        <f t="array" ref="C98">SUMPRODUCT((BXL!$AA$4:'BXL'!$AA$103=A98)*BXL!$AE$4:$AE$103)+SUMPRODUCT((BXL!$AB$4:'BXL'!$AB$103=A98)*BXL!$AE$4:$AE$103)+SUMPRODUCT((BXL!$AU$4:'BXL'!$AU$103=A98)*BXL!$AY$4:$AY$103)</f>
        <v>0</v>
      </c>
      <c r="D98" s="136" cm="1">
        <f t="array" ref="D98">SUMPRODUCT((BXL!$AA$4:'BXL'!$AA$103=A98)*BXL!$AF$4:$AF$103)+SUMPRODUCT((BXL!$AB$4:'BXL'!$AB$103=A98)*BXL!$AF$4:$AF$103)+SUMPRODUCT((BXL!$AU$4:'BXL'!$AU$103=A98)*BXL!$AV$4:$AV$103)</f>
        <v>0</v>
      </c>
      <c r="E98" s="136" cm="1">
        <f t="array" ref="E98">SUMPRODUCT((BXL!$AA$4:'BXL'!$AA$103=A98)*BXL!$AG$4:$AG$103)+SUMPRODUCT((BXL!$AB$4:'BXL'!$AB$103=A98)*BXL!$AG$4:$AG$103)+SUMPRODUCT((BXL!$AU$4:'BXL'!$AU$103=A98)*BXL!$AW$4:$AW$103)</f>
        <v>0</v>
      </c>
      <c r="F98" s="136" cm="1">
        <f t="array" ref="F98">SUMPRODUCT((BXL!$AA$4:'BXL'!$AA$103=A98)*BXL!$AH$4:$AH$103)+SUMPRODUCT((BXL!$AB$4:'BXL'!$AB$103=A98)*BXL!$AH$4:$AH$103)+SUMPRODUCT((BXL!$AU$4:'BXL'!$AU$103=A98)*BXL!$AZ$4:$AZ$103)</f>
        <v>0</v>
      </c>
      <c r="G98" s="136" cm="1">
        <f t="array" ref="G98">SUMPRODUCT((BXL!$AA$4:'BXL'!$AA$103=A98)*BXL!$AI$4:$AI$103)+SUMPRODUCT((BXL!$AB$4:'BXL'!$AB$103=A98)*BXL!$AI$4:$AI$103)+SUMPRODUCT((BXL!$AU$4:'BXL'!$AU$103=A98)*BXL!$BA$4:$BA$103)</f>
        <v>0</v>
      </c>
      <c r="H98" s="115"/>
      <c r="I98" s="139">
        <f t="shared" si="7"/>
        <v>6799.7986699999992</v>
      </c>
      <c r="J98" s="136">
        <f t="shared" si="14"/>
        <v>470.65455000000003</v>
      </c>
      <c r="K98" s="136">
        <f t="shared" si="14"/>
        <v>6329.1441199999999</v>
      </c>
      <c r="L98" s="136">
        <f t="shared" si="14"/>
        <v>414.26706863157898</v>
      </c>
      <c r="M98" s="136">
        <f t="shared" si="14"/>
        <v>344.24597600000004</v>
      </c>
      <c r="N98" s="115"/>
      <c r="O98" s="131">
        <f>C98*(Hypotheses!H62*Hypotheses!$D$19+Hypotheses!$D$14*(1-Hypotheses!H62))</f>
        <v>0</v>
      </c>
      <c r="P98" s="131">
        <f>C98*(Hypotheses!I62*Hypotheses!$D$19+Hypotheses!$D$14*(1-Hypotheses!I62))</f>
        <v>0</v>
      </c>
      <c r="Q98" s="131">
        <f>C98*(Hypotheses!J62*Hypotheses!$D$19+Hypotheses!$D$14*(1-Hypotheses!J62))</f>
        <v>0</v>
      </c>
      <c r="R98" s="115"/>
      <c r="S98" s="131">
        <f>C98*(Hypotheses!H62*Hypotheses!$D$21+Hypotheses!$D$14*(1-Hypotheses!H62))</f>
        <v>0</v>
      </c>
      <c r="T98" s="131">
        <f>C98*(Hypotheses!I62*Hypotheses!$D$21+Hypotheses!$D$14*(1-Hypotheses!I62))</f>
        <v>0</v>
      </c>
      <c r="U98" s="131">
        <f>C98*(Hypotheses!J62*Hypotheses!$D$21+Hypotheses!$D$14*(1-Hypotheses!J62))</f>
        <v>0</v>
      </c>
      <c r="V98" s="115"/>
      <c r="W98" s="128">
        <f>-C98*Hypotheses!$D$31*Hypotheses!H62</f>
        <v>0</v>
      </c>
      <c r="X98" s="128">
        <f>-C98*Hypotheses!$D$31*Hypotheses!I62</f>
        <v>0</v>
      </c>
      <c r="Y98" s="128">
        <f>-C98*Hypotheses!$D$31*Hypotheses!J62</f>
        <v>0</v>
      </c>
      <c r="Z98" s="126">
        <f>-C98*Hypotheses!$D$30*Hypotheses!H62</f>
        <v>0</v>
      </c>
      <c r="AA98" s="126">
        <f>-C98*Hypotheses!$D$30*Hypotheses!I62</f>
        <v>0</v>
      </c>
      <c r="AB98" s="126">
        <f>-C98*Hypotheses!$D$30*Hypotheses!J62</f>
        <v>0</v>
      </c>
      <c r="AC98" s="115"/>
      <c r="AD98" s="128">
        <f t="shared" si="9"/>
        <v>-202.28814720000003</v>
      </c>
      <c r="AE98" s="128">
        <f t="shared" si="9"/>
        <v>-733.77580761360059</v>
      </c>
      <c r="AF98" s="128">
        <f t="shared" si="9"/>
        <v>-1398.1353831306012</v>
      </c>
      <c r="AG98" s="126">
        <f t="shared" si="9"/>
        <v>-50.572036800000006</v>
      </c>
      <c r="AH98" s="126">
        <f t="shared" si="9"/>
        <v>-183.44395190340015</v>
      </c>
      <c r="AI98" s="126">
        <f t="shared" si="9"/>
        <v>-349.5338457826503</v>
      </c>
      <c r="AJ98" s="115"/>
      <c r="AK98" s="131">
        <f t="shared" si="10"/>
        <v>39.446188704000008</v>
      </c>
      <c r="AL98" s="131">
        <f t="shared" si="10"/>
        <v>36.788750401932006</v>
      </c>
      <c r="AM98" s="131">
        <f t="shared" si="10"/>
        <v>33.466952524346993</v>
      </c>
      <c r="AN98" s="115"/>
      <c r="AO98" s="131">
        <f t="shared" si="11"/>
        <v>42.480510912</v>
      </c>
      <c r="AP98" s="131">
        <f t="shared" si="11"/>
        <v>47.79538751613601</v>
      </c>
      <c r="AQ98" s="131">
        <f t="shared" si="11"/>
        <v>54.438983271306014</v>
      </c>
      <c r="AR98" s="115"/>
      <c r="AS98" s="126">
        <f t="shared" si="12"/>
        <v>-11.125848095999999</v>
      </c>
      <c r="AT98" s="126">
        <f t="shared" si="12"/>
        <v>-146.65520150146813</v>
      </c>
      <c r="AU98" s="126">
        <f t="shared" si="12"/>
        <v>-316.06689325830331</v>
      </c>
      <c r="AV98" s="115"/>
      <c r="AW98" s="126">
        <f t="shared" si="13"/>
        <v>-8.0915258880000067</v>
      </c>
      <c r="AX98" s="126">
        <f t="shared" si="13"/>
        <v>-135.64856438726414</v>
      </c>
      <c r="AY98" s="126">
        <f t="shared" si="13"/>
        <v>-295.09486251134427</v>
      </c>
      <c r="AZ98" s="115"/>
    </row>
    <row r="99" spans="1:52" x14ac:dyDescent="0.25">
      <c r="A99" s="94">
        <v>2044</v>
      </c>
      <c r="B99" s="139" cm="1">
        <f t="array" ref="B99">SUMPRODUCT((BXL!$AA$4:'BXL'!$AA$103=A99)*BXL!$AD$4:$AD$103)+SUMPRODUCT((BXL!$AB$4:'BXL'!$AB$103=A99)*BXL!$AD$4:$AD$103)+SUMPRODUCT((BXL!$AU$4:'BXL'!$AU$103=A99)*BXL!$AX$4:$AX$103)</f>
        <v>53179.199999999997</v>
      </c>
      <c r="C99" s="139" cm="1">
        <f t="array" ref="C99">SUMPRODUCT((BXL!$AA$4:'BXL'!$AA$103=A99)*BXL!$AE$4:$AE$103)+SUMPRODUCT((BXL!$AB$4:'BXL'!$AB$103=A99)*BXL!$AE$4:$AE$103)+SUMPRODUCT((BXL!$AU$4:'BXL'!$AU$103=A99)*BXL!$AY$4:$AY$103)</f>
        <v>1046.8008</v>
      </c>
      <c r="D99" s="136" cm="1">
        <f t="array" ref="D99">SUMPRODUCT((BXL!$AA$4:'BXL'!$AA$103=A99)*BXL!$AF$4:$AF$103)+SUMPRODUCT((BXL!$AB$4:'BXL'!$AB$103=A99)*BXL!$AF$4:$AF$103)+SUMPRODUCT((BXL!$AU$4:'BXL'!$AU$103=A99)*BXL!$AV$4:$AV$103)</f>
        <v>221.5188</v>
      </c>
      <c r="E99" s="136" cm="1">
        <f t="array" ref="E99">SUMPRODUCT((BXL!$AA$4:'BXL'!$AA$103=A99)*BXL!$AG$4:$AG$103)+SUMPRODUCT((BXL!$AB$4:'BXL'!$AB$103=A99)*BXL!$AG$4:$AG$103)+SUMPRODUCT((BXL!$AU$4:'BXL'!$AU$103=A99)*BXL!$AW$4:$AW$103)</f>
        <v>825.28199999999993</v>
      </c>
      <c r="F99" s="136" cm="1">
        <f t="array" ref="F99">SUMPRODUCT((BXL!$AA$4:'BXL'!$AA$103=A99)*BXL!$AH$4:$AH$103)+SUMPRODUCT((BXL!$AB$4:'BXL'!$AB$103=A99)*BXL!$AH$4:$AH$103)+SUMPRODUCT((BXL!$AU$4:'BXL'!$AU$103=A99)*BXL!$AZ$4:$AZ$103)</f>
        <v>82.446719999999999</v>
      </c>
      <c r="G99" s="136" cm="1">
        <f t="array" ref="G99">SUMPRODUCT((BXL!$AA$4:'BXL'!$AA$103=A99)*BXL!$AI$4:$AI$103)+SUMPRODUCT((BXL!$AB$4:'BXL'!$AB$103=A99)*BXL!$AI$4:$AI$103)+SUMPRODUCT((BXL!$AU$4:'BXL'!$AU$103=A99)*BXL!$BA$4:$BA$103)</f>
        <v>46.717679999999994</v>
      </c>
      <c r="H99" s="115"/>
      <c r="I99" s="139">
        <f t="shared" si="7"/>
        <v>7846.5994699999992</v>
      </c>
      <c r="J99" s="136">
        <f t="shared" si="14"/>
        <v>692.17335000000003</v>
      </c>
      <c r="K99" s="136">
        <f t="shared" si="14"/>
        <v>7154.4261200000001</v>
      </c>
      <c r="L99" s="136">
        <f t="shared" si="14"/>
        <v>496.71378863157895</v>
      </c>
      <c r="M99" s="136">
        <f t="shared" si="14"/>
        <v>390.96365600000001</v>
      </c>
      <c r="N99" s="115"/>
      <c r="O99" s="131">
        <f>C99*(Hypotheses!H63*Hypotheses!$D$19+Hypotheses!$D$14*(1-Hypotheses!H63))</f>
        <v>12.24756936</v>
      </c>
      <c r="P99" s="131">
        <f>C99*(Hypotheses!I63*Hypotheses!$D$19+Hypotheses!$D$14*(1-Hypotheses!I63))</f>
        <v>11.00520976840231</v>
      </c>
      <c r="Q99" s="131">
        <f>C99*(Hypotheses!J63*Hypotheses!$D$19+Hypotheses!$D$14*(1-Hypotheses!J63))</f>
        <v>9.4522602789051984</v>
      </c>
      <c r="R99" s="115"/>
      <c r="S99" s="131">
        <f>C99*(Hypotheses!H63*Hypotheses!$D$21+Hypotheses!$D$14*(1-Hypotheses!H63))</f>
        <v>13.18969008</v>
      </c>
      <c r="T99" s="131">
        <f>C99*(Hypotheses!I63*Hypotheses!$D$21+Hypotheses!$D$14*(1-Hypotheses!I63))</f>
        <v>15.674409263195377</v>
      </c>
      <c r="U99" s="131">
        <f>C99*(Hypotheses!J63*Hypotheses!$D$21+Hypotheses!$D$14*(1-Hypotheses!J63))</f>
        <v>18.780308242189598</v>
      </c>
      <c r="V99" s="115"/>
      <c r="W99" s="128">
        <f>-C99*Hypotheses!$D$31*Hypotheses!H63</f>
        <v>-62.808047999999999</v>
      </c>
      <c r="X99" s="128">
        <f>-C99*Hypotheses!$D$31*Hypotheses!I63</f>
        <v>-311.27996631953783</v>
      </c>
      <c r="Y99" s="128">
        <f>-C99*Hypotheses!$D$31*Hypotheses!J63</f>
        <v>-621.86986421896006</v>
      </c>
      <c r="Z99" s="126">
        <f>-C99*Hypotheses!$D$30*Hypotheses!H63</f>
        <v>-15.702012</v>
      </c>
      <c r="AA99" s="126">
        <f>-C99*Hypotheses!$D$30*Hypotheses!I63</f>
        <v>-77.819991579884459</v>
      </c>
      <c r="AB99" s="126">
        <f>-C99*Hypotheses!$D$30*Hypotheses!J63</f>
        <v>-155.46746605474002</v>
      </c>
      <c r="AC99" s="115"/>
      <c r="AD99" s="128">
        <f t="shared" si="9"/>
        <v>-265.09619520000001</v>
      </c>
      <c r="AE99" s="128">
        <f t="shared" si="9"/>
        <v>-1045.0557739331384</v>
      </c>
      <c r="AF99" s="128">
        <f t="shared" si="9"/>
        <v>-2020.0052473495612</v>
      </c>
      <c r="AG99" s="126">
        <f t="shared" si="9"/>
        <v>-66.274048800000003</v>
      </c>
      <c r="AH99" s="126">
        <f t="shared" si="9"/>
        <v>-261.26394348328461</v>
      </c>
      <c r="AI99" s="126">
        <f t="shared" si="9"/>
        <v>-505.00131183739029</v>
      </c>
      <c r="AJ99" s="115"/>
      <c r="AK99" s="131">
        <f t="shared" si="10"/>
        <v>51.693758064000008</v>
      </c>
      <c r="AL99" s="131">
        <f t="shared" si="10"/>
        <v>47.793960170334316</v>
      </c>
      <c r="AM99" s="131">
        <f t="shared" si="10"/>
        <v>42.919212803252194</v>
      </c>
      <c r="AN99" s="115"/>
      <c r="AO99" s="131">
        <f t="shared" si="11"/>
        <v>55.670200991999998</v>
      </c>
      <c r="AP99" s="131">
        <f t="shared" si="11"/>
        <v>63.469796779331389</v>
      </c>
      <c r="AQ99" s="131">
        <f t="shared" si="11"/>
        <v>73.219291513495619</v>
      </c>
      <c r="AR99" s="115"/>
      <c r="AS99" s="126">
        <f t="shared" si="12"/>
        <v>-14.580290735999995</v>
      </c>
      <c r="AT99" s="126">
        <f t="shared" si="12"/>
        <v>-213.46998331295029</v>
      </c>
      <c r="AU99" s="126">
        <f t="shared" si="12"/>
        <v>-462.08209903413808</v>
      </c>
      <c r="AV99" s="115"/>
      <c r="AW99" s="126">
        <f t="shared" si="13"/>
        <v>-10.603847808000005</v>
      </c>
      <c r="AX99" s="126">
        <f t="shared" si="13"/>
        <v>-197.79414670395323</v>
      </c>
      <c r="AY99" s="126">
        <f t="shared" si="13"/>
        <v>-431.7820203238947</v>
      </c>
      <c r="AZ99" s="115"/>
    </row>
    <row r="100" spans="1:52" x14ac:dyDescent="0.25">
      <c r="A100" s="94">
        <v>2045</v>
      </c>
      <c r="B100" s="139" cm="1">
        <f t="array" ref="B100">SUMPRODUCT((BXL!$AA$4:'BXL'!$AA$103=A100)*BXL!$AD$4:$AD$103)+SUMPRODUCT((BXL!$AB$4:'BXL'!$AB$103=A100)*BXL!$AD$4:$AD$103)+SUMPRODUCT((BXL!$AU$4:'BXL'!$AU$103=A100)*BXL!$AX$4:$AX$103)</f>
        <v>0</v>
      </c>
      <c r="C100" s="139" cm="1">
        <f t="array" ref="C100">SUMPRODUCT((BXL!$AA$4:'BXL'!$AA$103=A100)*BXL!$AE$4:$AE$103)+SUMPRODUCT((BXL!$AB$4:'BXL'!$AB$103=A100)*BXL!$AE$4:$AE$103)+SUMPRODUCT((BXL!$AU$4:'BXL'!$AU$103=A100)*BXL!$AY$4:$AY$103)</f>
        <v>0</v>
      </c>
      <c r="D100" s="136" cm="1">
        <f t="array" ref="D100">SUMPRODUCT((BXL!$AA$4:'BXL'!$AA$103=A100)*BXL!$AF$4:$AF$103)+SUMPRODUCT((BXL!$AB$4:'BXL'!$AB$103=A100)*BXL!$AF$4:$AF$103)+SUMPRODUCT((BXL!$AU$4:'BXL'!$AU$103=A100)*BXL!$AV$4:$AV$103)</f>
        <v>0</v>
      </c>
      <c r="E100" s="136" cm="1">
        <f t="array" ref="E100">SUMPRODUCT((BXL!$AA$4:'BXL'!$AA$103=A100)*BXL!$AG$4:$AG$103)+SUMPRODUCT((BXL!$AB$4:'BXL'!$AB$103=A100)*BXL!$AG$4:$AG$103)+SUMPRODUCT((BXL!$AU$4:'BXL'!$AU$103=A100)*BXL!$AW$4:$AW$103)</f>
        <v>0</v>
      </c>
      <c r="F100" s="136" cm="1">
        <f t="array" ref="F100">SUMPRODUCT((BXL!$AA$4:'BXL'!$AA$103=A100)*BXL!$AH$4:$AH$103)+SUMPRODUCT((BXL!$AB$4:'BXL'!$AB$103=A100)*BXL!$AH$4:$AH$103)+SUMPRODUCT((BXL!$AU$4:'BXL'!$AU$103=A100)*BXL!$AZ$4:$AZ$103)</f>
        <v>0</v>
      </c>
      <c r="G100" s="136" cm="1">
        <f t="array" ref="G100">SUMPRODUCT((BXL!$AA$4:'BXL'!$AA$103=A100)*BXL!$AI$4:$AI$103)+SUMPRODUCT((BXL!$AB$4:'BXL'!$AB$103=A100)*BXL!$AI$4:$AI$103)+SUMPRODUCT((BXL!$AU$4:'BXL'!$AU$103=A100)*BXL!$BA$4:$BA$103)</f>
        <v>0</v>
      </c>
      <c r="H100" s="115"/>
      <c r="I100" s="139">
        <f t="shared" si="7"/>
        <v>7846.5994699999992</v>
      </c>
      <c r="J100" s="136">
        <f t="shared" si="14"/>
        <v>692.17335000000003</v>
      </c>
      <c r="K100" s="136">
        <f t="shared" si="14"/>
        <v>7154.4261200000001</v>
      </c>
      <c r="L100" s="136">
        <f t="shared" si="14"/>
        <v>496.71378863157895</v>
      </c>
      <c r="M100" s="136">
        <f t="shared" si="14"/>
        <v>390.96365600000001</v>
      </c>
      <c r="N100" s="115"/>
      <c r="O100" s="131">
        <f>C100*(Hypotheses!H64*Hypotheses!$D$19+Hypotheses!$D$14*(1-Hypotheses!H64))</f>
        <v>0</v>
      </c>
      <c r="P100" s="131">
        <f>C100*(Hypotheses!I64*Hypotheses!$D$19+Hypotheses!$D$14*(1-Hypotheses!I64))</f>
        <v>0</v>
      </c>
      <c r="Q100" s="131">
        <f>C100*(Hypotheses!J64*Hypotheses!$D$19+Hypotheses!$D$14*(1-Hypotheses!J64))</f>
        <v>0</v>
      </c>
      <c r="R100" s="115"/>
      <c r="S100" s="131">
        <f>C100*(Hypotheses!H64*Hypotheses!$D$21+Hypotheses!$D$14*(1-Hypotheses!H64))</f>
        <v>0</v>
      </c>
      <c r="T100" s="131">
        <f>C100*(Hypotheses!I64*Hypotheses!$D$21+Hypotheses!$D$14*(1-Hypotheses!I64))</f>
        <v>0</v>
      </c>
      <c r="U100" s="131">
        <f>C100*(Hypotheses!J64*Hypotheses!$D$21+Hypotheses!$D$14*(1-Hypotheses!J64))</f>
        <v>0</v>
      </c>
      <c r="V100" s="115"/>
      <c r="W100" s="128">
        <f>-C100*Hypotheses!$D$31*Hypotheses!H64</f>
        <v>0</v>
      </c>
      <c r="X100" s="128">
        <f>-C100*Hypotheses!$D$31*Hypotheses!I64</f>
        <v>0</v>
      </c>
      <c r="Y100" s="128">
        <f>-C100*Hypotheses!$D$31*Hypotheses!J64</f>
        <v>0</v>
      </c>
      <c r="Z100" s="126">
        <f>-C100*Hypotheses!$D$30*Hypotheses!H64</f>
        <v>0</v>
      </c>
      <c r="AA100" s="126">
        <f>-C100*Hypotheses!$D$30*Hypotheses!I64</f>
        <v>0</v>
      </c>
      <c r="AB100" s="126">
        <f>-C100*Hypotheses!$D$30*Hypotheses!J64</f>
        <v>0</v>
      </c>
      <c r="AC100" s="115"/>
      <c r="AD100" s="128">
        <f t="shared" si="9"/>
        <v>-265.09619520000001</v>
      </c>
      <c r="AE100" s="128">
        <f t="shared" si="9"/>
        <v>-1045.0557739331384</v>
      </c>
      <c r="AF100" s="128">
        <f t="shared" si="9"/>
        <v>-2020.0052473495612</v>
      </c>
      <c r="AG100" s="126">
        <f t="shared" si="9"/>
        <v>-66.274048800000003</v>
      </c>
      <c r="AH100" s="126">
        <f t="shared" si="9"/>
        <v>-261.26394348328461</v>
      </c>
      <c r="AI100" s="126">
        <f t="shared" si="9"/>
        <v>-505.00131183739029</v>
      </c>
      <c r="AJ100" s="115"/>
      <c r="AK100" s="131">
        <f t="shared" si="10"/>
        <v>51.693758064000008</v>
      </c>
      <c r="AL100" s="131">
        <f t="shared" si="10"/>
        <v>47.793960170334316</v>
      </c>
      <c r="AM100" s="131">
        <f t="shared" si="10"/>
        <v>42.919212803252194</v>
      </c>
      <c r="AN100" s="115"/>
      <c r="AO100" s="131">
        <f t="shared" si="11"/>
        <v>55.670200991999998</v>
      </c>
      <c r="AP100" s="131">
        <f t="shared" si="11"/>
        <v>63.469796779331389</v>
      </c>
      <c r="AQ100" s="131">
        <f t="shared" si="11"/>
        <v>73.219291513495619</v>
      </c>
      <c r="AR100" s="115"/>
      <c r="AS100" s="126">
        <f t="shared" si="12"/>
        <v>-14.580290735999995</v>
      </c>
      <c r="AT100" s="126">
        <f t="shared" si="12"/>
        <v>-213.46998331295029</v>
      </c>
      <c r="AU100" s="126">
        <f t="shared" si="12"/>
        <v>-462.08209903413808</v>
      </c>
      <c r="AV100" s="115"/>
      <c r="AW100" s="126">
        <f t="shared" si="13"/>
        <v>-10.603847808000005</v>
      </c>
      <c r="AX100" s="126">
        <f t="shared" si="13"/>
        <v>-197.79414670395323</v>
      </c>
      <c r="AY100" s="126">
        <f t="shared" si="13"/>
        <v>-431.7820203238947</v>
      </c>
      <c r="AZ100" s="115"/>
    </row>
    <row r="101" spans="1:52" x14ac:dyDescent="0.25">
      <c r="A101" s="94">
        <v>2046</v>
      </c>
      <c r="B101" s="139" cm="1">
        <f t="array" ref="B101">SUMPRODUCT((BXL!$AA$4:'BXL'!$AA$103=A101)*BXL!$AD$4:$AD$103)+SUMPRODUCT((BXL!$AB$4:'BXL'!$AB$103=A101)*BXL!$AD$4:$AD$103)+SUMPRODUCT((BXL!$AU$4:'BXL'!$AU$103=A101)*BXL!$AX$4:$AX$103)</f>
        <v>113124.875</v>
      </c>
      <c r="C101" s="139" cm="1">
        <f t="array" ref="C101">SUMPRODUCT((BXL!$AA$4:'BXL'!$AA$103=A101)*BXL!$AE$4:$AE$103)+SUMPRODUCT((BXL!$AB$4:'BXL'!$AB$103=A101)*BXL!$AE$4:$AE$103)+SUMPRODUCT((BXL!$AU$4:'BXL'!$AU$103=A101)*BXL!$AY$4:$AY$103)</f>
        <v>2262.4974999999999</v>
      </c>
      <c r="D101" s="136" cm="1">
        <f t="array" ref="D101">SUMPRODUCT((BXL!$AA$4:'BXL'!$AA$103=A101)*BXL!$AF$4:$AF$103)+SUMPRODUCT((BXL!$AB$4:'BXL'!$AB$103=A101)*BXL!$AF$4:$AF$103)+SUMPRODUCT((BXL!$AU$4:'BXL'!$AU$103=A101)*BXL!$AV$4:$AV$103)</f>
        <v>344.3175</v>
      </c>
      <c r="E101" s="136" cm="1">
        <f t="array" ref="E101">SUMPRODUCT((BXL!$AA$4:'BXL'!$AA$103=A101)*BXL!$AG$4:$AG$103)+SUMPRODUCT((BXL!$AB$4:'BXL'!$AB$103=A101)*BXL!$AG$4:$AG$103)+SUMPRODUCT((BXL!$AU$4:'BXL'!$AU$103=A101)*BXL!$AW$4:$AW$103)</f>
        <v>1918.1799999999998</v>
      </c>
      <c r="F101" s="136" cm="1">
        <f t="array" ref="F101">SUMPRODUCT((BXL!$AA$4:'BXL'!$AA$103=A101)*BXL!$AH$4:$AH$103)+SUMPRODUCT((BXL!$AB$4:'BXL'!$AB$103=A101)*BXL!$AH$4:$AH$103)+SUMPRODUCT((BXL!$AU$4:'BXL'!$AU$103=A101)*BXL!$AZ$4:$AZ$103)</f>
        <v>156.44426666666666</v>
      </c>
      <c r="G101" s="136" cm="1">
        <f t="array" ref="G101">SUMPRODUCT((BXL!$AA$4:'BXL'!$AA$103=A101)*BXL!$AI$4:$AI$103)+SUMPRODUCT((BXL!$AB$4:'BXL'!$AB$103=A101)*BXL!$AI$4:$AI$103)+SUMPRODUCT((BXL!$AU$4:'BXL'!$AU$103=A101)*BXL!$BA$4:$BA$103)</f>
        <v>116.14636666666667</v>
      </c>
      <c r="H101" s="115"/>
      <c r="I101" s="139">
        <f t="shared" si="7"/>
        <v>10109.096969999999</v>
      </c>
      <c r="J101" s="136">
        <f t="shared" si="14"/>
        <v>1036.4908500000001</v>
      </c>
      <c r="K101" s="136">
        <f t="shared" si="14"/>
        <v>9072.6061200000004</v>
      </c>
      <c r="L101" s="136">
        <f t="shared" si="14"/>
        <v>653.15805529824559</v>
      </c>
      <c r="M101" s="136">
        <f t="shared" si="14"/>
        <v>507.11002266666668</v>
      </c>
      <c r="N101" s="115"/>
      <c r="O101" s="131">
        <f>C101*(Hypotheses!H65*Hypotheses!$D$19+Hypotheses!$D$14*(1-Hypotheses!H65))</f>
        <v>26.471220750000001</v>
      </c>
      <c r="P101" s="131">
        <f>C101*(Hypotheses!I65*Hypotheses!$D$19+Hypotheses!$D$14*(1-Hypotheses!I65))</f>
        <v>23.767274161688245</v>
      </c>
      <c r="Q101" s="131">
        <f>C101*(Hypotheses!J65*Hypotheses!$D$19+Hypotheses!$D$14*(1-Hypotheses!J65))</f>
        <v>20.387340926298549</v>
      </c>
      <c r="R101" s="115"/>
      <c r="S101" s="131">
        <f>C101*(Hypotheses!H65*Hypotheses!$D$21+Hypotheses!$D$14*(1-Hypotheses!H65))</f>
        <v>28.507468499999998</v>
      </c>
      <c r="T101" s="131">
        <f>C101*(Hypotheses!I65*Hypotheses!$D$21+Hypotheses!$D$14*(1-Hypotheses!I65))</f>
        <v>33.915361676623512</v>
      </c>
      <c r="U101" s="131">
        <f>C101*(Hypotheses!J65*Hypotheses!$D$21+Hypotheses!$D$14*(1-Hypotheses!J65))</f>
        <v>40.67522814740289</v>
      </c>
      <c r="V101" s="115"/>
      <c r="W101" s="128">
        <f>-C101*Hypotheses!$D$31*Hypotheses!H65</f>
        <v>-135.74985000000001</v>
      </c>
      <c r="X101" s="128">
        <f>-C101*Hypotheses!$D$31*Hypotheses!I65</f>
        <v>-676.53916766235102</v>
      </c>
      <c r="Y101" s="128">
        <f>-C101*Hypotheses!$D$31*Hypotheses!J65</f>
        <v>-1352.5258147402899</v>
      </c>
      <c r="Z101" s="126">
        <f>-C101*Hypotheses!$D$30*Hypotheses!H65</f>
        <v>-33.937462500000002</v>
      </c>
      <c r="AA101" s="126">
        <f>-C101*Hypotheses!$D$30*Hypotheses!I65</f>
        <v>-169.13479191558775</v>
      </c>
      <c r="AB101" s="126">
        <f>-C101*Hypotheses!$D$30*Hypotheses!J65</f>
        <v>-338.13145368507247</v>
      </c>
      <c r="AC101" s="115"/>
      <c r="AD101" s="128">
        <f t="shared" si="9"/>
        <v>-400.84604520000005</v>
      </c>
      <c r="AE101" s="128">
        <f t="shared" si="9"/>
        <v>-1721.5949415954894</v>
      </c>
      <c r="AF101" s="128">
        <f t="shared" si="9"/>
        <v>-3372.5310620898508</v>
      </c>
      <c r="AG101" s="126">
        <f t="shared" si="9"/>
        <v>-100.21151130000001</v>
      </c>
      <c r="AH101" s="126">
        <f t="shared" si="9"/>
        <v>-430.39873539887236</v>
      </c>
      <c r="AI101" s="126">
        <f t="shared" si="9"/>
        <v>-843.13276552246271</v>
      </c>
      <c r="AJ101" s="115"/>
      <c r="AK101" s="131">
        <f t="shared" si="10"/>
        <v>78.164978814000008</v>
      </c>
      <c r="AL101" s="131">
        <f t="shared" si="10"/>
        <v>71.561234332022565</v>
      </c>
      <c r="AM101" s="131">
        <f t="shared" si="10"/>
        <v>63.306553729550743</v>
      </c>
      <c r="AN101" s="115"/>
      <c r="AO101" s="131">
        <f t="shared" si="11"/>
        <v>84.177669491999993</v>
      </c>
      <c r="AP101" s="131">
        <f t="shared" si="11"/>
        <v>97.385158455954894</v>
      </c>
      <c r="AQ101" s="131">
        <f t="shared" si="11"/>
        <v>113.89451966089851</v>
      </c>
      <c r="AR101" s="115"/>
      <c r="AS101" s="126">
        <f t="shared" si="12"/>
        <v>-22.046532486000004</v>
      </c>
      <c r="AT101" s="126">
        <f t="shared" si="12"/>
        <v>-358.83750106684977</v>
      </c>
      <c r="AU101" s="126">
        <f t="shared" si="12"/>
        <v>-779.82621179291198</v>
      </c>
      <c r="AV101" s="115"/>
      <c r="AW101" s="126">
        <f t="shared" si="13"/>
        <v>-16.03384180800002</v>
      </c>
      <c r="AX101" s="126">
        <f t="shared" si="13"/>
        <v>-333.01357694291744</v>
      </c>
      <c r="AY101" s="126">
        <f t="shared" si="13"/>
        <v>-729.23824586156422</v>
      </c>
      <c r="AZ101" s="115"/>
    </row>
    <row r="102" spans="1:52" x14ac:dyDescent="0.25">
      <c r="A102" s="94">
        <v>2047</v>
      </c>
      <c r="B102" s="139" cm="1">
        <f t="array" ref="B102">SUMPRODUCT((BXL!$AA$4:'BXL'!$AA$103=A102)*BXL!$AD$4:$AD$103)+SUMPRODUCT((BXL!$AB$4:'BXL'!$AB$103=A102)*BXL!$AD$4:$AD$103)+SUMPRODUCT((BXL!$AU$4:'BXL'!$AU$103=A102)*BXL!$AX$4:$AX$103)</f>
        <v>32000</v>
      </c>
      <c r="C102" s="139" cm="1">
        <f t="array" ref="C102">SUMPRODUCT((BXL!$AA$4:'BXL'!$AA$103=A102)*BXL!$AE$4:$AE$103)+SUMPRODUCT((BXL!$AB$4:'BXL'!$AB$103=A102)*BXL!$AE$4:$AE$103)+SUMPRODUCT((BXL!$AU$4:'BXL'!$AU$103=A102)*BXL!$AY$4:$AY$103)</f>
        <v>720</v>
      </c>
      <c r="D102" s="136" cm="1">
        <f t="array" ref="D102">SUMPRODUCT((BXL!$AA$4:'BXL'!$AA$103=A102)*BXL!$AF$4:$AF$103)+SUMPRODUCT((BXL!$AB$4:'BXL'!$AB$103=A102)*BXL!$AF$4:$AF$103)+SUMPRODUCT((BXL!$AU$4:'BXL'!$AU$103=A102)*BXL!$AV$4:$AV$103)</f>
        <v>0</v>
      </c>
      <c r="E102" s="136" cm="1">
        <f t="array" ref="E102">SUMPRODUCT((BXL!$AA$4:'BXL'!$AA$103=A102)*BXL!$AG$4:$AG$103)+SUMPRODUCT((BXL!$AB$4:'BXL'!$AB$103=A102)*BXL!$AG$4:$AG$103)+SUMPRODUCT((BXL!$AU$4:'BXL'!$AU$103=A102)*BXL!$AW$4:$AW$103)</f>
        <v>720</v>
      </c>
      <c r="F102" s="136" cm="1">
        <f t="array" ref="F102">SUMPRODUCT((BXL!$AA$4:'BXL'!$AA$103=A102)*BXL!$AH$4:$AH$103)+SUMPRODUCT((BXL!$AB$4:'BXL'!$AB$103=A102)*BXL!$AH$4:$AH$103)+SUMPRODUCT((BXL!$AU$4:'BXL'!$AU$103=A102)*BXL!$AZ$4:$AZ$103)</f>
        <v>42.666666666666671</v>
      </c>
      <c r="G102" s="136" cm="1">
        <f t="array" ref="G102">SUMPRODUCT((BXL!$AA$4:'BXL'!$AA$103=A102)*BXL!$AI$4:$AI$103)+SUMPRODUCT((BXL!$AB$4:'BXL'!$AB$103=A102)*BXL!$AI$4:$AI$103)+SUMPRODUCT((BXL!$AU$4:'BXL'!$AU$103=A102)*BXL!$BA$4:$BA$103)</f>
        <v>42.666666666666671</v>
      </c>
      <c r="H102" s="115"/>
      <c r="I102" s="139">
        <f t="shared" si="7"/>
        <v>10829.096969999999</v>
      </c>
      <c r="J102" s="136">
        <f t="shared" si="14"/>
        <v>1036.4908500000001</v>
      </c>
      <c r="K102" s="136">
        <f t="shared" si="14"/>
        <v>9792.6061200000004</v>
      </c>
      <c r="L102" s="136">
        <f t="shared" si="14"/>
        <v>695.82472196491221</v>
      </c>
      <c r="M102" s="136">
        <f t="shared" si="14"/>
        <v>549.77668933333337</v>
      </c>
      <c r="N102" s="115"/>
      <c r="O102" s="131">
        <f>C102*(Hypotheses!H66*Hypotheses!$D$19+Hypotheses!$D$14*(1-Hypotheses!H66))</f>
        <v>8.4239999999999995</v>
      </c>
      <c r="P102" s="131">
        <f>C102*(Hypotheses!I66*Hypotheses!$D$19+Hypotheses!$D$14*(1-Hypotheses!I66))</f>
        <v>7.5621363464073319</v>
      </c>
      <c r="Q102" s="131">
        <f>C102*(Hypotheses!J66*Hypotheses!$D$19+Hypotheses!$D$14*(1-Hypotheses!J66))</f>
        <v>6.4848067794164983</v>
      </c>
      <c r="R102" s="115"/>
      <c r="S102" s="131">
        <f>C102*(Hypotheses!H66*Hypotheses!$D$21+Hypotheses!$D$14*(1-Hypotheses!H66))</f>
        <v>9.0719999999999992</v>
      </c>
      <c r="T102" s="131">
        <f>C102*(Hypotheses!I66*Hypotheses!$D$21+Hypotheses!$D$14*(1-Hypotheses!I66))</f>
        <v>10.795727307185336</v>
      </c>
      <c r="U102" s="131">
        <f>C102*(Hypotheses!J66*Hypotheses!$D$21+Hypotheses!$D$14*(1-Hypotheses!J66))</f>
        <v>12.950386441167005</v>
      </c>
      <c r="V102" s="115"/>
      <c r="W102" s="128">
        <f>-C102*Hypotheses!$D$31*Hypotheses!H66</f>
        <v>-43.2</v>
      </c>
      <c r="X102" s="128">
        <f>-C102*Hypotheses!$D$31*Hypotheses!I66</f>
        <v>-215.57273071853353</v>
      </c>
      <c r="Y102" s="128">
        <f>-C102*Hypotheses!$D$31*Hypotheses!J66</f>
        <v>-431.03864411670043</v>
      </c>
      <c r="Z102" s="126">
        <f>-C102*Hypotheses!$D$30*Hypotheses!H66</f>
        <v>-10.8</v>
      </c>
      <c r="AA102" s="126">
        <f>-C102*Hypotheses!$D$30*Hypotheses!I66</f>
        <v>-53.893182679633384</v>
      </c>
      <c r="AB102" s="126">
        <f>-C102*Hypotheses!$D$30*Hypotheses!J66</f>
        <v>-107.75966102917511</v>
      </c>
      <c r="AC102" s="115"/>
      <c r="AD102" s="128">
        <f t="shared" si="9"/>
        <v>-444.04604520000004</v>
      </c>
      <c r="AE102" s="128">
        <f t="shared" si="9"/>
        <v>-1937.1676723140231</v>
      </c>
      <c r="AF102" s="128">
        <f t="shared" si="9"/>
        <v>-3803.569706206551</v>
      </c>
      <c r="AG102" s="126">
        <f t="shared" si="9"/>
        <v>-111.01151130000001</v>
      </c>
      <c r="AH102" s="126">
        <f t="shared" si="9"/>
        <v>-484.29191807850577</v>
      </c>
      <c r="AI102" s="126">
        <f t="shared" si="9"/>
        <v>-950.89242655163775</v>
      </c>
      <c r="AJ102" s="115"/>
      <c r="AK102" s="131">
        <f t="shared" si="10"/>
        <v>86.588978814000001</v>
      </c>
      <c r="AL102" s="131">
        <f t="shared" si="10"/>
        <v>79.123370678429893</v>
      </c>
      <c r="AM102" s="131">
        <f t="shared" si="10"/>
        <v>69.791360508967244</v>
      </c>
      <c r="AN102" s="115"/>
      <c r="AO102" s="131">
        <f t="shared" si="11"/>
        <v>93.249669491999995</v>
      </c>
      <c r="AP102" s="131">
        <f t="shared" si="11"/>
        <v>108.18088576314022</v>
      </c>
      <c r="AQ102" s="131">
        <f t="shared" si="11"/>
        <v>126.84490610206552</v>
      </c>
      <c r="AR102" s="115"/>
      <c r="AS102" s="126">
        <f t="shared" si="12"/>
        <v>-24.422532486000009</v>
      </c>
      <c r="AT102" s="126">
        <f t="shared" si="12"/>
        <v>-405.16854740007591</v>
      </c>
      <c r="AU102" s="126">
        <f t="shared" si="12"/>
        <v>-881.10106604267048</v>
      </c>
      <c r="AV102" s="115"/>
      <c r="AW102" s="126">
        <f t="shared" si="13"/>
        <v>-17.761841808000014</v>
      </c>
      <c r="AX102" s="126">
        <f t="shared" si="13"/>
        <v>-376.11103231536555</v>
      </c>
      <c r="AY102" s="126">
        <f t="shared" si="13"/>
        <v>-824.04752044957218</v>
      </c>
      <c r="AZ102" s="115"/>
    </row>
    <row r="103" spans="1:52" x14ac:dyDescent="0.25">
      <c r="A103" s="94">
        <v>2048</v>
      </c>
      <c r="B103" s="139" cm="1">
        <f t="array" ref="B103">SUMPRODUCT((BXL!$AA$4:'BXL'!$AA$103=A103)*BXL!$AD$4:$AD$103)+SUMPRODUCT((BXL!$AB$4:'BXL'!$AB$103=A103)*BXL!$AD$4:$AD$103)+SUMPRODUCT((BXL!$AU$4:'BXL'!$AU$103=A103)*BXL!$AX$4:$AX$103)</f>
        <v>0</v>
      </c>
      <c r="C103" s="139" cm="1">
        <f t="array" ref="C103">SUMPRODUCT((BXL!$AA$4:'BXL'!$AA$103=A103)*BXL!$AE$4:$AE$103)+SUMPRODUCT((BXL!$AB$4:'BXL'!$AB$103=A103)*BXL!$AE$4:$AE$103)+SUMPRODUCT((BXL!$AU$4:'BXL'!$AU$103=A103)*BXL!$AY$4:$AY$103)</f>
        <v>0</v>
      </c>
      <c r="D103" s="136" cm="1">
        <f t="array" ref="D103">SUMPRODUCT((BXL!$AA$4:'BXL'!$AA$103=A103)*BXL!$AF$4:$AF$103)+SUMPRODUCT((BXL!$AB$4:'BXL'!$AB$103=A103)*BXL!$AF$4:$AF$103)+SUMPRODUCT((BXL!$AU$4:'BXL'!$AU$103=A103)*BXL!$AV$4:$AV$103)</f>
        <v>0</v>
      </c>
      <c r="E103" s="136" cm="1">
        <f t="array" ref="E103">SUMPRODUCT((BXL!$AA$4:'BXL'!$AA$103=A103)*BXL!$AG$4:$AG$103)+SUMPRODUCT((BXL!$AB$4:'BXL'!$AB$103=A103)*BXL!$AG$4:$AG$103)+SUMPRODUCT((BXL!$AU$4:'BXL'!$AU$103=A103)*BXL!$AW$4:$AW$103)</f>
        <v>0</v>
      </c>
      <c r="F103" s="136" cm="1">
        <f t="array" ref="F103">SUMPRODUCT((BXL!$AA$4:'BXL'!$AA$103=A103)*BXL!$AH$4:$AH$103)+SUMPRODUCT((BXL!$AB$4:'BXL'!$AB$103=A103)*BXL!$AH$4:$AH$103)+SUMPRODUCT((BXL!$AU$4:'BXL'!$AU$103=A103)*BXL!$AZ$4:$AZ$103)</f>
        <v>0</v>
      </c>
      <c r="G103" s="136" cm="1">
        <f t="array" ref="G103">SUMPRODUCT((BXL!$AA$4:'BXL'!$AA$103=A103)*BXL!$AI$4:$AI$103)+SUMPRODUCT((BXL!$AB$4:'BXL'!$AB$103=A103)*BXL!$AI$4:$AI$103)+SUMPRODUCT((BXL!$AU$4:'BXL'!$AU$103=A103)*BXL!$BA$4:$BA$103)</f>
        <v>0</v>
      </c>
      <c r="H103" s="115"/>
      <c r="I103" s="139">
        <f t="shared" ref="I103:I125" si="15">C103+I102</f>
        <v>10829.096969999999</v>
      </c>
      <c r="J103" s="136">
        <f t="shared" ref="J103:M118" si="16">D103+J102</f>
        <v>1036.4908500000001</v>
      </c>
      <c r="K103" s="136">
        <f t="shared" si="16"/>
        <v>9792.6061200000004</v>
      </c>
      <c r="L103" s="136">
        <f t="shared" si="16"/>
        <v>695.82472196491221</v>
      </c>
      <c r="M103" s="136">
        <f t="shared" si="16"/>
        <v>549.77668933333337</v>
      </c>
      <c r="N103" s="115"/>
      <c r="O103" s="131">
        <f>C103*(Hypotheses!H67*Hypotheses!$D$19+Hypotheses!$D$14*(1-Hypotheses!H67))</f>
        <v>0</v>
      </c>
      <c r="P103" s="131">
        <f>C103*(Hypotheses!I67*Hypotheses!$D$19+Hypotheses!$D$14*(1-Hypotheses!I67))</f>
        <v>0</v>
      </c>
      <c r="Q103" s="131">
        <f>C103*(Hypotheses!J67*Hypotheses!$D$19+Hypotheses!$D$14*(1-Hypotheses!J67))</f>
        <v>0</v>
      </c>
      <c r="R103" s="115"/>
      <c r="S103" s="131">
        <f>C103*(Hypotheses!H67*Hypotheses!$D$21+Hypotheses!$D$14*(1-Hypotheses!H67))</f>
        <v>0</v>
      </c>
      <c r="T103" s="131">
        <f>C103*(Hypotheses!I67*Hypotheses!$D$21+Hypotheses!$D$14*(1-Hypotheses!I67))</f>
        <v>0</v>
      </c>
      <c r="U103" s="131">
        <f>C103*(Hypotheses!J67*Hypotheses!$D$21+Hypotheses!$D$14*(1-Hypotheses!J67))</f>
        <v>0</v>
      </c>
      <c r="V103" s="115"/>
      <c r="W103" s="128">
        <f>-C103*Hypotheses!$D$31*Hypotheses!H67</f>
        <v>0</v>
      </c>
      <c r="X103" s="128">
        <f>-C103*Hypotheses!$D$31*Hypotheses!I67</f>
        <v>0</v>
      </c>
      <c r="Y103" s="128">
        <f>-C103*Hypotheses!$D$31*Hypotheses!J67</f>
        <v>0</v>
      </c>
      <c r="Z103" s="126">
        <f>-C103*Hypotheses!$D$30*Hypotheses!H67</f>
        <v>0</v>
      </c>
      <c r="AA103" s="126">
        <f>-C103*Hypotheses!$D$30*Hypotheses!I67</f>
        <v>0</v>
      </c>
      <c r="AB103" s="126">
        <f>-C103*Hypotheses!$D$30*Hypotheses!J67</f>
        <v>0</v>
      </c>
      <c r="AC103" s="115"/>
      <c r="AD103" s="128">
        <f t="shared" si="9"/>
        <v>-444.04604520000004</v>
      </c>
      <c r="AE103" s="128">
        <f t="shared" si="9"/>
        <v>-1937.1676723140231</v>
      </c>
      <c r="AF103" s="128">
        <f t="shared" si="9"/>
        <v>-3803.569706206551</v>
      </c>
      <c r="AG103" s="126">
        <f t="shared" si="9"/>
        <v>-111.01151130000001</v>
      </c>
      <c r="AH103" s="126">
        <f t="shared" si="9"/>
        <v>-484.29191807850577</v>
      </c>
      <c r="AI103" s="126">
        <f t="shared" si="9"/>
        <v>-950.89242655163775</v>
      </c>
      <c r="AJ103" s="115"/>
      <c r="AK103" s="131">
        <f t="shared" si="10"/>
        <v>86.588978814000001</v>
      </c>
      <c r="AL103" s="131">
        <f t="shared" si="10"/>
        <v>79.123370678429893</v>
      </c>
      <c r="AM103" s="131">
        <f t="shared" si="10"/>
        <v>69.791360508967244</v>
      </c>
      <c r="AN103" s="115"/>
      <c r="AO103" s="131">
        <f t="shared" si="11"/>
        <v>93.249669491999995</v>
      </c>
      <c r="AP103" s="131">
        <f t="shared" si="11"/>
        <v>108.18088576314022</v>
      </c>
      <c r="AQ103" s="131">
        <f t="shared" si="11"/>
        <v>126.84490610206552</v>
      </c>
      <c r="AR103" s="115"/>
      <c r="AS103" s="126">
        <f t="shared" si="12"/>
        <v>-24.422532486000009</v>
      </c>
      <c r="AT103" s="126">
        <f t="shared" si="12"/>
        <v>-405.16854740007591</v>
      </c>
      <c r="AU103" s="126">
        <f t="shared" si="12"/>
        <v>-881.10106604267048</v>
      </c>
      <c r="AV103" s="115"/>
      <c r="AW103" s="126">
        <f t="shared" si="13"/>
        <v>-17.761841808000014</v>
      </c>
      <c r="AX103" s="126">
        <f t="shared" si="13"/>
        <v>-376.11103231536555</v>
      </c>
      <c r="AY103" s="126">
        <f t="shared" si="13"/>
        <v>-824.04752044957218</v>
      </c>
      <c r="AZ103" s="115"/>
    </row>
    <row r="104" spans="1:52" x14ac:dyDescent="0.25">
      <c r="A104" s="94">
        <v>2049</v>
      </c>
      <c r="B104" s="139" cm="1">
        <f t="array" ref="B104">SUMPRODUCT((BXL!$AA$4:'BXL'!$AA$103=A104)*BXL!$AD$4:$AD$103)+SUMPRODUCT((BXL!$AB$4:'BXL'!$AB$103=A104)*BXL!$AD$4:$AD$103)+SUMPRODUCT((BXL!$AU$4:'BXL'!$AU$103=A104)*BXL!$AX$4:$AX$103)</f>
        <v>12276</v>
      </c>
      <c r="C104" s="139" cm="1">
        <f t="array" ref="C104">SUMPRODUCT((BXL!$AA$4:'BXL'!$AA$103=A104)*BXL!$AE$4:$AE$103)+SUMPRODUCT((BXL!$AB$4:'BXL'!$AB$103=A104)*BXL!$AE$4:$AE$103)+SUMPRODUCT((BXL!$AU$4:'BXL'!$AU$103=A104)*BXL!$AY$4:$AY$103)</f>
        <v>245.51999999999998</v>
      </c>
      <c r="D104" s="136" cm="1">
        <f t="array" ref="D104">SUMPRODUCT((BXL!$AA$4:'BXL'!$AA$103=A104)*BXL!$AF$4:$AF$103)+SUMPRODUCT((BXL!$AB$4:'BXL'!$AB$103=A104)*BXL!$AF$4:$AF$103)+SUMPRODUCT((BXL!$AU$4:'BXL'!$AU$103=A104)*BXL!$AV$4:$AV$103)</f>
        <v>91.52</v>
      </c>
      <c r="E104" s="136" cm="1">
        <f t="array" ref="E104">SUMPRODUCT((BXL!$AA$4:'BXL'!$AA$103=A104)*BXL!$AG$4:$AG$103)+SUMPRODUCT((BXL!$AB$4:'BXL'!$AB$103=A104)*BXL!$AG$4:$AG$103)+SUMPRODUCT((BXL!$AU$4:'BXL'!$AU$103=A104)*BXL!$AW$4:$AW$103)</f>
        <v>154</v>
      </c>
      <c r="F104" s="136" cm="1">
        <f t="array" ref="F104">SUMPRODUCT((BXL!$AA$4:'BXL'!$AA$103=A104)*BXL!$AH$4:$AH$103)+SUMPRODUCT((BXL!$AB$4:'BXL'!$AB$103=A104)*BXL!$AH$4:$AH$103)+SUMPRODUCT((BXL!$AU$4:'BXL'!$AU$103=A104)*BXL!$AZ$4:$AZ$103)</f>
        <v>20.533333333333331</v>
      </c>
      <c r="G104" s="136" cm="1">
        <f t="array" ref="G104">SUMPRODUCT((BXL!$AA$4:'BXL'!$AA$103=A104)*BXL!$AI$4:$AI$103)+SUMPRODUCT((BXL!$AB$4:'BXL'!$AB$103=A104)*BXL!$AI$4:$AI$103)+SUMPRODUCT((BXL!$AU$4:'BXL'!$AU$103=A104)*BXL!$BA$4:$BA$103)</f>
        <v>10.266666666666666</v>
      </c>
      <c r="H104" s="115"/>
      <c r="I104" s="139">
        <f t="shared" si="15"/>
        <v>11074.616969999999</v>
      </c>
      <c r="J104" s="136">
        <f t="shared" si="16"/>
        <v>1128.0108500000001</v>
      </c>
      <c r="K104" s="136">
        <f t="shared" si="16"/>
        <v>9946.6061200000004</v>
      </c>
      <c r="L104" s="136">
        <f t="shared" si="16"/>
        <v>716.35805529824552</v>
      </c>
      <c r="M104" s="136">
        <f t="shared" si="16"/>
        <v>560.04335600000002</v>
      </c>
      <c r="N104" s="115"/>
      <c r="O104" s="131">
        <f>C104*(Hypotheses!H68*Hypotheses!$D$19+Hypotheses!$D$14*(1-Hypotheses!H68))</f>
        <v>2.8725839999999998</v>
      </c>
      <c r="P104" s="131">
        <f>C104*(Hypotheses!I68*Hypotheses!$D$19+Hypotheses!$D$14*(1-Hypotheses!I68))</f>
        <v>2.5782284175470989</v>
      </c>
      <c r="Q104" s="131">
        <f>C104*(Hypotheses!J68*Hypotheses!$D$19+Hypotheses!$D$14*(1-Hypotheses!J68))</f>
        <v>2.210283939480973</v>
      </c>
      <c r="R104" s="115"/>
      <c r="S104" s="131">
        <f>C104*(Hypotheses!H68*Hypotheses!$D$21+Hypotheses!$D$14*(1-Hypotheses!H68))</f>
        <v>3.0935519999999999</v>
      </c>
      <c r="T104" s="131">
        <f>C104*(Hypotheses!I68*Hypotheses!$D$21+Hypotheses!$D$14*(1-Hypotheses!I68))</f>
        <v>3.6822631649058017</v>
      </c>
      <c r="U104" s="131">
        <f>C104*(Hypotheses!J68*Hypotheses!$D$21+Hypotheses!$D$14*(1-Hypotheses!J68))</f>
        <v>4.4181521210380543</v>
      </c>
      <c r="V104" s="115"/>
      <c r="W104" s="128">
        <f>-C104*Hypotheses!$D$31*Hypotheses!H68</f>
        <v>-14.731199999999999</v>
      </c>
      <c r="X104" s="128">
        <f>-C104*Hypotheses!$D$31*Hypotheses!I68</f>
        <v>-73.602316490580179</v>
      </c>
      <c r="Y104" s="128">
        <f>-C104*Hypotheses!$D$31*Hypotheses!J68</f>
        <v>-147.19121210380541</v>
      </c>
      <c r="Z104" s="126">
        <f>-C104*Hypotheses!$D$30*Hypotheses!H68</f>
        <v>-3.6827999999999999</v>
      </c>
      <c r="AA104" s="126">
        <f>-C104*Hypotheses!$D$30*Hypotheses!I68</f>
        <v>-18.400579122645045</v>
      </c>
      <c r="AB104" s="126">
        <f>-C104*Hypotheses!$D$30*Hypotheses!J68</f>
        <v>-36.797803025951353</v>
      </c>
      <c r="AC104" s="115"/>
      <c r="AD104" s="128">
        <f t="shared" si="9"/>
        <v>-458.77724520000004</v>
      </c>
      <c r="AE104" s="128">
        <f t="shared" si="9"/>
        <v>-2010.7699888046034</v>
      </c>
      <c r="AF104" s="128">
        <f t="shared" si="9"/>
        <v>-3950.7609183103564</v>
      </c>
      <c r="AG104" s="126">
        <f t="shared" si="9"/>
        <v>-114.69431130000001</v>
      </c>
      <c r="AH104" s="126">
        <f t="shared" si="9"/>
        <v>-502.69249720115084</v>
      </c>
      <c r="AI104" s="126">
        <f t="shared" si="9"/>
        <v>-987.69022957758909</v>
      </c>
      <c r="AJ104" s="115"/>
      <c r="AK104" s="131">
        <f t="shared" si="10"/>
        <v>89.461562814000004</v>
      </c>
      <c r="AL104" s="131">
        <f t="shared" si="10"/>
        <v>81.701599095976988</v>
      </c>
      <c r="AM104" s="131">
        <f t="shared" si="10"/>
        <v>72.001644448448218</v>
      </c>
      <c r="AN104" s="115"/>
      <c r="AO104" s="131">
        <f t="shared" si="11"/>
        <v>96.343221491999998</v>
      </c>
      <c r="AP104" s="131">
        <f t="shared" si="11"/>
        <v>111.86314892804603</v>
      </c>
      <c r="AQ104" s="131">
        <f t="shared" si="11"/>
        <v>131.26305822310357</v>
      </c>
      <c r="AR104" s="115"/>
      <c r="AS104" s="126">
        <f t="shared" si="12"/>
        <v>-25.232748486000006</v>
      </c>
      <c r="AT104" s="126">
        <f t="shared" si="12"/>
        <v>-420.99089810517387</v>
      </c>
      <c r="AU104" s="126">
        <f t="shared" si="12"/>
        <v>-915.68858512914085</v>
      </c>
      <c r="AV104" s="115"/>
      <c r="AW104" s="126">
        <f t="shared" si="13"/>
        <v>-18.351089808000012</v>
      </c>
      <c r="AX104" s="126">
        <f t="shared" si="13"/>
        <v>-390.82934827310481</v>
      </c>
      <c r="AY104" s="126">
        <f t="shared" si="13"/>
        <v>-856.42717135448549</v>
      </c>
      <c r="AZ104" s="115"/>
    </row>
    <row r="105" spans="1:52" x14ac:dyDescent="0.25">
      <c r="A105" s="94">
        <v>2050</v>
      </c>
      <c r="B105" s="139" cm="1">
        <f t="array" ref="B105">SUMPRODUCT((BXL!$AA$4:'BXL'!$AA$103=A105)*BXL!$AD$4:$AD$103)+SUMPRODUCT((BXL!$AB$4:'BXL'!$AB$103=A105)*BXL!$AD$4:$AD$103)+SUMPRODUCT((BXL!$AU$4:'BXL'!$AU$103=A105)*BXL!$AX$4:$AX$103)</f>
        <v>0</v>
      </c>
      <c r="C105" s="139" cm="1">
        <f t="array" ref="C105">SUMPRODUCT((BXL!$AA$4:'BXL'!$AA$103=A105)*BXL!$AE$4:$AE$103)+SUMPRODUCT((BXL!$AB$4:'BXL'!$AB$103=A105)*BXL!$AE$4:$AE$103)+SUMPRODUCT((BXL!$AU$4:'BXL'!$AU$103=A105)*BXL!$AY$4:$AY$103)</f>
        <v>0</v>
      </c>
      <c r="D105" s="136" cm="1">
        <f t="array" ref="D105">SUMPRODUCT((BXL!$AA$4:'BXL'!$AA$103=A105)*BXL!$AF$4:$AF$103)+SUMPRODUCT((BXL!$AB$4:'BXL'!$AB$103=A105)*BXL!$AF$4:$AF$103)+SUMPRODUCT((BXL!$AU$4:'BXL'!$AU$103=A105)*BXL!$AV$4:$AV$103)</f>
        <v>0</v>
      </c>
      <c r="E105" s="136" cm="1">
        <f t="array" ref="E105">SUMPRODUCT((BXL!$AA$4:'BXL'!$AA$103=A105)*BXL!$AG$4:$AG$103)+SUMPRODUCT((BXL!$AB$4:'BXL'!$AB$103=A105)*BXL!$AG$4:$AG$103)+SUMPRODUCT((BXL!$AU$4:'BXL'!$AU$103=A105)*BXL!$AW$4:$AW$103)</f>
        <v>0</v>
      </c>
      <c r="F105" s="136" cm="1">
        <f t="array" ref="F105">SUMPRODUCT((BXL!$AA$4:'BXL'!$AA$103=A105)*BXL!$AH$4:$AH$103)+SUMPRODUCT((BXL!$AB$4:'BXL'!$AB$103=A105)*BXL!$AH$4:$AH$103)+SUMPRODUCT((BXL!$AU$4:'BXL'!$AU$103=A105)*BXL!$AZ$4:$AZ$103)</f>
        <v>0</v>
      </c>
      <c r="G105" s="136" cm="1">
        <f t="array" ref="G105">SUMPRODUCT((BXL!$AA$4:'BXL'!$AA$103=A105)*BXL!$AI$4:$AI$103)+SUMPRODUCT((BXL!$AB$4:'BXL'!$AB$103=A105)*BXL!$AI$4:$AI$103)+SUMPRODUCT((BXL!$AU$4:'BXL'!$AU$103=A105)*BXL!$BA$4:$BA$103)</f>
        <v>0</v>
      </c>
      <c r="H105" s="115"/>
      <c r="I105" s="139">
        <f t="shared" si="15"/>
        <v>11074.616969999999</v>
      </c>
      <c r="J105" s="136">
        <f t="shared" si="16"/>
        <v>1128.0108500000001</v>
      </c>
      <c r="K105" s="136">
        <f t="shared" si="16"/>
        <v>9946.6061200000004</v>
      </c>
      <c r="L105" s="136">
        <f t="shared" si="16"/>
        <v>716.35805529824552</v>
      </c>
      <c r="M105" s="136">
        <f t="shared" si="16"/>
        <v>560.04335600000002</v>
      </c>
      <c r="N105" s="115"/>
      <c r="O105" s="131">
        <f>C105*(Hypotheses!H69*Hypotheses!$D$19+Hypotheses!$D$14*(1-Hypotheses!H69))</f>
        <v>0</v>
      </c>
      <c r="P105" s="131">
        <f>C105*(Hypotheses!I69*Hypotheses!$D$19+Hypotheses!$D$14*(1-Hypotheses!I69))</f>
        <v>0</v>
      </c>
      <c r="Q105" s="131">
        <f>C105*(Hypotheses!J69*Hypotheses!$D$19+Hypotheses!$D$14*(1-Hypotheses!J69))</f>
        <v>0</v>
      </c>
      <c r="R105" s="115"/>
      <c r="S105" s="131">
        <f>C105*(Hypotheses!H69*Hypotheses!$D$21+Hypotheses!$D$14*(1-Hypotheses!H69))</f>
        <v>0</v>
      </c>
      <c r="T105" s="131">
        <f>C105*(Hypotheses!I69*Hypotheses!$D$21+Hypotheses!$D$14*(1-Hypotheses!I69))</f>
        <v>0</v>
      </c>
      <c r="U105" s="131">
        <f>C105*(Hypotheses!J69*Hypotheses!$D$21+Hypotheses!$D$14*(1-Hypotheses!J69))</f>
        <v>0</v>
      </c>
      <c r="V105" s="115"/>
      <c r="W105" s="128">
        <f>-C105*Hypotheses!$D$31*Hypotheses!H69</f>
        <v>0</v>
      </c>
      <c r="X105" s="128">
        <f>-C105*Hypotheses!$D$31*Hypotheses!I69</f>
        <v>0</v>
      </c>
      <c r="Y105" s="128">
        <f>-C105*Hypotheses!$D$31*Hypotheses!J69</f>
        <v>0</v>
      </c>
      <c r="Z105" s="126">
        <f>-C105*Hypotheses!$D$30*Hypotheses!H69</f>
        <v>0</v>
      </c>
      <c r="AA105" s="126">
        <f>-C105*Hypotheses!$D$30*Hypotheses!I69</f>
        <v>0</v>
      </c>
      <c r="AB105" s="126">
        <f>-C105*Hypotheses!$D$30*Hypotheses!J69</f>
        <v>0</v>
      </c>
      <c r="AC105" s="115"/>
      <c r="AD105" s="128">
        <f t="shared" si="9"/>
        <v>-458.77724520000004</v>
      </c>
      <c r="AE105" s="128">
        <f t="shared" si="9"/>
        <v>-2010.7699888046034</v>
      </c>
      <c r="AF105" s="128">
        <f t="shared" si="9"/>
        <v>-3950.7609183103564</v>
      </c>
      <c r="AG105" s="126">
        <f t="shared" si="9"/>
        <v>-114.69431130000001</v>
      </c>
      <c r="AH105" s="126">
        <f t="shared" si="9"/>
        <v>-502.69249720115084</v>
      </c>
      <c r="AI105" s="126">
        <f t="shared" si="9"/>
        <v>-987.69022957758909</v>
      </c>
      <c r="AJ105" s="115"/>
      <c r="AK105" s="131">
        <f t="shared" si="10"/>
        <v>89.461562814000004</v>
      </c>
      <c r="AL105" s="131">
        <f t="shared" si="10"/>
        <v>81.701599095976988</v>
      </c>
      <c r="AM105" s="131">
        <f t="shared" si="10"/>
        <v>72.001644448448218</v>
      </c>
      <c r="AN105" s="115"/>
      <c r="AO105" s="131">
        <f t="shared" si="11"/>
        <v>96.343221491999998</v>
      </c>
      <c r="AP105" s="131">
        <f t="shared" si="11"/>
        <v>111.86314892804603</v>
      </c>
      <c r="AQ105" s="131">
        <f t="shared" si="11"/>
        <v>131.26305822310357</v>
      </c>
      <c r="AR105" s="115"/>
      <c r="AS105" s="126">
        <f t="shared" si="12"/>
        <v>-25.232748486000006</v>
      </c>
      <c r="AT105" s="126">
        <f t="shared" si="12"/>
        <v>-420.99089810517387</v>
      </c>
      <c r="AU105" s="126">
        <f t="shared" si="12"/>
        <v>-915.68858512914085</v>
      </c>
      <c r="AV105" s="115"/>
      <c r="AW105" s="126">
        <f t="shared" si="13"/>
        <v>-18.351089808000012</v>
      </c>
      <c r="AX105" s="126">
        <f t="shared" si="13"/>
        <v>-390.82934827310481</v>
      </c>
      <c r="AY105" s="126">
        <f t="shared" si="13"/>
        <v>-856.42717135448549</v>
      </c>
      <c r="AZ105" s="115"/>
    </row>
    <row r="106" spans="1:52" x14ac:dyDescent="0.25">
      <c r="A106" s="94">
        <v>2051</v>
      </c>
      <c r="B106" s="139" cm="1">
        <f t="array" ref="B106">SUMPRODUCT((BXL!$AA$4:'BXL'!$AA$103=A106)*BXL!$AD$4:$AD$103)+SUMPRODUCT((BXL!$AB$4:'BXL'!$AB$103=A106)*BXL!$AD$4:$AD$103)+SUMPRODUCT((BXL!$AU$4:'BXL'!$AU$103=A106)*BXL!$AX$4:$AX$103)</f>
        <v>0</v>
      </c>
      <c r="C106" s="139" cm="1">
        <f t="array" ref="C106">SUMPRODUCT((BXL!$AA$4:'BXL'!$AA$103=A106)*BXL!$AE$4:$AE$103)+SUMPRODUCT((BXL!$AB$4:'BXL'!$AB$103=A106)*BXL!$AE$4:$AE$103)+SUMPRODUCT((BXL!$AU$4:'BXL'!$AU$103=A106)*BXL!$AY$4:$AY$103)</f>
        <v>0</v>
      </c>
      <c r="D106" s="136" cm="1">
        <f t="array" ref="D106">SUMPRODUCT((BXL!$AA$4:'BXL'!$AA$103=A106)*BXL!$AF$4:$AF$103)+SUMPRODUCT((BXL!$AB$4:'BXL'!$AB$103=A106)*BXL!$AF$4:$AF$103)+SUMPRODUCT((BXL!$AU$4:'BXL'!$AU$103=A106)*BXL!$AV$4:$AV$103)</f>
        <v>0</v>
      </c>
      <c r="E106" s="136" cm="1">
        <f t="array" ref="E106">SUMPRODUCT((BXL!$AA$4:'BXL'!$AA$103=A106)*BXL!$AG$4:$AG$103)+SUMPRODUCT((BXL!$AB$4:'BXL'!$AB$103=A106)*BXL!$AG$4:$AG$103)+SUMPRODUCT((BXL!$AU$4:'BXL'!$AU$103=A106)*BXL!$AW$4:$AW$103)</f>
        <v>0</v>
      </c>
      <c r="F106" s="136" cm="1">
        <f t="array" ref="F106">SUMPRODUCT((BXL!$AA$4:'BXL'!$AA$103=A106)*BXL!$AH$4:$AH$103)+SUMPRODUCT((BXL!$AB$4:'BXL'!$AB$103=A106)*BXL!$AH$4:$AH$103)+SUMPRODUCT((BXL!$AU$4:'BXL'!$AU$103=A106)*BXL!$AZ$4:$AZ$103)</f>
        <v>0</v>
      </c>
      <c r="G106" s="136" cm="1">
        <f t="array" ref="G106">SUMPRODUCT((BXL!$AA$4:'BXL'!$AA$103=A106)*BXL!$AI$4:$AI$103)+SUMPRODUCT((BXL!$AB$4:'BXL'!$AB$103=A106)*BXL!$AI$4:$AI$103)+SUMPRODUCT((BXL!$AU$4:'BXL'!$AU$103=A106)*BXL!$BA$4:$BA$103)</f>
        <v>0</v>
      </c>
      <c r="H106" s="115"/>
      <c r="I106" s="139">
        <f t="shared" si="15"/>
        <v>11074.616969999999</v>
      </c>
      <c r="J106" s="136">
        <f t="shared" si="16"/>
        <v>1128.0108500000001</v>
      </c>
      <c r="K106" s="136">
        <f t="shared" si="16"/>
        <v>9946.6061200000004</v>
      </c>
      <c r="L106" s="136">
        <f t="shared" si="16"/>
        <v>716.35805529824552</v>
      </c>
      <c r="M106" s="136">
        <f t="shared" si="16"/>
        <v>560.04335600000002</v>
      </c>
      <c r="N106" s="115"/>
      <c r="O106" s="131">
        <f>C106*(Hypotheses!H70*Hypotheses!$D$19+Hypotheses!$D$14*(1-Hypotheses!H70))</f>
        <v>0</v>
      </c>
      <c r="P106" s="131">
        <f>C106*(Hypotheses!I70*Hypotheses!$D$19+Hypotheses!$D$14*(1-Hypotheses!I70))</f>
        <v>0</v>
      </c>
      <c r="Q106" s="131">
        <f>C106*(Hypotheses!J70*Hypotheses!$D$19+Hypotheses!$D$14*(1-Hypotheses!J70))</f>
        <v>0</v>
      </c>
      <c r="R106" s="115"/>
      <c r="S106" s="131">
        <f>C106*(Hypotheses!H70*Hypotheses!$D$21+Hypotheses!$D$14*(1-Hypotheses!H70))</f>
        <v>0</v>
      </c>
      <c r="T106" s="131">
        <f>C106*(Hypotheses!I70*Hypotheses!$D$21+Hypotheses!$D$14*(1-Hypotheses!I70))</f>
        <v>0</v>
      </c>
      <c r="U106" s="131">
        <f>C106*(Hypotheses!J70*Hypotheses!$D$21+Hypotheses!$D$14*(1-Hypotheses!J70))</f>
        <v>0</v>
      </c>
      <c r="V106" s="115"/>
      <c r="W106" s="128">
        <f>-C106*Hypotheses!$D$31*Hypotheses!H70</f>
        <v>0</v>
      </c>
      <c r="X106" s="128">
        <f>-C106*Hypotheses!$D$31*Hypotheses!I70</f>
        <v>0</v>
      </c>
      <c r="Y106" s="128">
        <f>-C106*Hypotheses!$D$31*Hypotheses!J70</f>
        <v>0</v>
      </c>
      <c r="Z106" s="126">
        <f>-C106*Hypotheses!$D$30*Hypotheses!H70</f>
        <v>0</v>
      </c>
      <c r="AA106" s="126">
        <f>-C106*Hypotheses!$D$30*Hypotheses!I70</f>
        <v>0</v>
      </c>
      <c r="AB106" s="126">
        <f>-C106*Hypotheses!$D$30*Hypotheses!J70</f>
        <v>0</v>
      </c>
      <c r="AC106" s="115"/>
      <c r="AD106" s="128">
        <f t="shared" si="9"/>
        <v>-458.77724520000004</v>
      </c>
      <c r="AE106" s="128">
        <f t="shared" si="9"/>
        <v>-2010.7699888046034</v>
      </c>
      <c r="AF106" s="128">
        <f t="shared" si="9"/>
        <v>-3950.7609183103564</v>
      </c>
      <c r="AG106" s="126">
        <f t="shared" si="9"/>
        <v>-114.69431130000001</v>
      </c>
      <c r="AH106" s="126">
        <f t="shared" si="9"/>
        <v>-502.69249720115084</v>
      </c>
      <c r="AI106" s="126">
        <f t="shared" si="9"/>
        <v>-987.69022957758909</v>
      </c>
      <c r="AJ106" s="115"/>
      <c r="AK106" s="131">
        <f t="shared" si="10"/>
        <v>89.461562814000004</v>
      </c>
      <c r="AL106" s="131">
        <f t="shared" si="10"/>
        <v>81.701599095976988</v>
      </c>
      <c r="AM106" s="131">
        <f t="shared" si="10"/>
        <v>72.001644448448218</v>
      </c>
      <c r="AN106" s="115"/>
      <c r="AO106" s="131">
        <f t="shared" si="11"/>
        <v>96.343221491999998</v>
      </c>
      <c r="AP106" s="131">
        <f t="shared" si="11"/>
        <v>111.86314892804603</v>
      </c>
      <c r="AQ106" s="131">
        <f t="shared" si="11"/>
        <v>131.26305822310357</v>
      </c>
      <c r="AR106" s="115"/>
      <c r="AS106" s="126">
        <f t="shared" si="12"/>
        <v>-25.232748486000006</v>
      </c>
      <c r="AT106" s="126">
        <f t="shared" si="12"/>
        <v>-420.99089810517387</v>
      </c>
      <c r="AU106" s="126">
        <f t="shared" si="12"/>
        <v>-915.68858512914085</v>
      </c>
      <c r="AV106" s="115"/>
      <c r="AW106" s="126">
        <f t="shared" si="13"/>
        <v>-18.351089808000012</v>
      </c>
      <c r="AX106" s="126">
        <f t="shared" si="13"/>
        <v>-390.82934827310481</v>
      </c>
      <c r="AY106" s="126">
        <f t="shared" si="13"/>
        <v>-856.42717135448549</v>
      </c>
      <c r="AZ106" s="115"/>
    </row>
    <row r="107" spans="1:52" x14ac:dyDescent="0.25">
      <c r="A107" s="94">
        <v>2052</v>
      </c>
      <c r="B107" s="139" cm="1">
        <f t="array" ref="B107">SUMPRODUCT((BXL!$AA$4:'BXL'!$AA$103=A107)*BXL!$AD$4:$AD$103)+SUMPRODUCT((BXL!$AB$4:'BXL'!$AB$103=A107)*BXL!$AD$4:$AD$103)+SUMPRODUCT((BXL!$AU$4:'BXL'!$AU$103=A107)*BXL!$AX$4:$AX$103)</f>
        <v>0</v>
      </c>
      <c r="C107" s="139" cm="1">
        <f t="array" ref="C107">SUMPRODUCT((BXL!$AA$4:'BXL'!$AA$103=A107)*BXL!$AE$4:$AE$103)+SUMPRODUCT((BXL!$AB$4:'BXL'!$AB$103=A107)*BXL!$AE$4:$AE$103)+SUMPRODUCT((BXL!$AU$4:'BXL'!$AU$103=A107)*BXL!$AY$4:$AY$103)</f>
        <v>0</v>
      </c>
      <c r="D107" s="136" cm="1">
        <f t="array" ref="D107">SUMPRODUCT((BXL!$AA$4:'BXL'!$AA$103=A107)*BXL!$AF$4:$AF$103)+SUMPRODUCT((BXL!$AB$4:'BXL'!$AB$103=A107)*BXL!$AF$4:$AF$103)+SUMPRODUCT((BXL!$AU$4:'BXL'!$AU$103=A107)*BXL!$AV$4:$AV$103)</f>
        <v>0</v>
      </c>
      <c r="E107" s="136" cm="1">
        <f t="array" ref="E107">SUMPRODUCT((BXL!$AA$4:'BXL'!$AA$103=A107)*BXL!$AG$4:$AG$103)+SUMPRODUCT((BXL!$AB$4:'BXL'!$AB$103=A107)*BXL!$AG$4:$AG$103)+SUMPRODUCT((BXL!$AU$4:'BXL'!$AU$103=A107)*BXL!$AW$4:$AW$103)</f>
        <v>0</v>
      </c>
      <c r="F107" s="136" cm="1">
        <f t="array" ref="F107">SUMPRODUCT((BXL!$AA$4:'BXL'!$AA$103=A107)*BXL!$AH$4:$AH$103)+SUMPRODUCT((BXL!$AB$4:'BXL'!$AB$103=A107)*BXL!$AH$4:$AH$103)+SUMPRODUCT((BXL!$AU$4:'BXL'!$AU$103=A107)*BXL!$AZ$4:$AZ$103)</f>
        <v>0</v>
      </c>
      <c r="G107" s="136" cm="1">
        <f t="array" ref="G107">SUMPRODUCT((BXL!$AA$4:'BXL'!$AA$103=A107)*BXL!$AI$4:$AI$103)+SUMPRODUCT((BXL!$AB$4:'BXL'!$AB$103=A107)*BXL!$AI$4:$AI$103)+SUMPRODUCT((BXL!$AU$4:'BXL'!$AU$103=A107)*BXL!$BA$4:$BA$103)</f>
        <v>0</v>
      </c>
      <c r="H107" s="115"/>
      <c r="I107" s="139">
        <f t="shared" si="15"/>
        <v>11074.616969999999</v>
      </c>
      <c r="J107" s="136">
        <f t="shared" si="16"/>
        <v>1128.0108500000001</v>
      </c>
      <c r="K107" s="136">
        <f t="shared" si="16"/>
        <v>9946.6061200000004</v>
      </c>
      <c r="L107" s="136">
        <f t="shared" si="16"/>
        <v>716.35805529824552</v>
      </c>
      <c r="M107" s="136">
        <f t="shared" si="16"/>
        <v>560.04335600000002</v>
      </c>
      <c r="N107" s="115"/>
      <c r="O107" s="131">
        <f>C107*(Hypotheses!H71*Hypotheses!$D$19+Hypotheses!$D$14*(1-Hypotheses!H71))</f>
        <v>0</v>
      </c>
      <c r="P107" s="131">
        <f>C107*(Hypotheses!I71*Hypotheses!$D$19+Hypotheses!$D$14*(1-Hypotheses!I71))</f>
        <v>0</v>
      </c>
      <c r="Q107" s="131">
        <f>C107*(Hypotheses!J71*Hypotheses!$D$19+Hypotheses!$D$14*(1-Hypotheses!J71))</f>
        <v>0</v>
      </c>
      <c r="R107" s="115"/>
      <c r="S107" s="131">
        <f>C107*(Hypotheses!H71*Hypotheses!$D$21+Hypotheses!$D$14*(1-Hypotheses!H71))</f>
        <v>0</v>
      </c>
      <c r="T107" s="131">
        <f>C107*(Hypotheses!I71*Hypotheses!$D$21+Hypotheses!$D$14*(1-Hypotheses!I71))</f>
        <v>0</v>
      </c>
      <c r="U107" s="131">
        <f>C107*(Hypotheses!J71*Hypotheses!$D$21+Hypotheses!$D$14*(1-Hypotheses!J71))</f>
        <v>0</v>
      </c>
      <c r="V107" s="115"/>
      <c r="W107" s="128">
        <f>-C107*Hypotheses!$D$31*Hypotheses!H71</f>
        <v>0</v>
      </c>
      <c r="X107" s="128">
        <f>-C107*Hypotheses!$D$31*Hypotheses!I71</f>
        <v>0</v>
      </c>
      <c r="Y107" s="128">
        <f>-C107*Hypotheses!$D$31*Hypotheses!J71</f>
        <v>0</v>
      </c>
      <c r="Z107" s="126">
        <f>-C107*Hypotheses!$D$30*Hypotheses!H71</f>
        <v>0</v>
      </c>
      <c r="AA107" s="126">
        <f>-C107*Hypotheses!$D$30*Hypotheses!I71</f>
        <v>0</v>
      </c>
      <c r="AB107" s="126">
        <f>-C107*Hypotheses!$D$30*Hypotheses!J71</f>
        <v>0</v>
      </c>
      <c r="AC107" s="115"/>
      <c r="AD107" s="128">
        <f t="shared" si="9"/>
        <v>-458.77724520000004</v>
      </c>
      <c r="AE107" s="128">
        <f t="shared" si="9"/>
        <v>-2010.7699888046034</v>
      </c>
      <c r="AF107" s="128">
        <f t="shared" si="9"/>
        <v>-3950.7609183103564</v>
      </c>
      <c r="AG107" s="126">
        <f t="shared" si="9"/>
        <v>-114.69431130000001</v>
      </c>
      <c r="AH107" s="126">
        <f t="shared" si="9"/>
        <v>-502.69249720115084</v>
      </c>
      <c r="AI107" s="126">
        <f t="shared" si="9"/>
        <v>-987.69022957758909</v>
      </c>
      <c r="AJ107" s="115"/>
      <c r="AK107" s="131">
        <f t="shared" si="10"/>
        <v>89.461562814000004</v>
      </c>
      <c r="AL107" s="131">
        <f t="shared" si="10"/>
        <v>81.701599095976988</v>
      </c>
      <c r="AM107" s="131">
        <f t="shared" si="10"/>
        <v>72.001644448448218</v>
      </c>
      <c r="AN107" s="115"/>
      <c r="AO107" s="131">
        <f t="shared" si="11"/>
        <v>96.343221491999998</v>
      </c>
      <c r="AP107" s="131">
        <f t="shared" si="11"/>
        <v>111.86314892804603</v>
      </c>
      <c r="AQ107" s="131">
        <f t="shared" si="11"/>
        <v>131.26305822310357</v>
      </c>
      <c r="AR107" s="115"/>
      <c r="AS107" s="126">
        <f t="shared" si="12"/>
        <v>-25.232748486000006</v>
      </c>
      <c r="AT107" s="126">
        <f t="shared" si="12"/>
        <v>-420.99089810517387</v>
      </c>
      <c r="AU107" s="126">
        <f t="shared" si="12"/>
        <v>-915.68858512914085</v>
      </c>
      <c r="AV107" s="115"/>
      <c r="AW107" s="126">
        <f t="shared" si="13"/>
        <v>-18.351089808000012</v>
      </c>
      <c r="AX107" s="126">
        <f t="shared" si="13"/>
        <v>-390.82934827310481</v>
      </c>
      <c r="AY107" s="126">
        <f t="shared" si="13"/>
        <v>-856.42717135448549</v>
      </c>
      <c r="AZ107" s="115"/>
    </row>
    <row r="108" spans="1:52" x14ac:dyDescent="0.25">
      <c r="A108" s="94">
        <v>2053</v>
      </c>
      <c r="B108" s="139" cm="1">
        <f t="array" ref="B108">SUMPRODUCT((BXL!$AA$4:'BXL'!$AA$103=A108)*BXL!$AD$4:$AD$103)+SUMPRODUCT((BXL!$AB$4:'BXL'!$AB$103=A108)*BXL!$AD$4:$AD$103)+SUMPRODUCT((BXL!$AU$4:'BXL'!$AU$103=A108)*BXL!$AX$4:$AX$103)</f>
        <v>31319.999999999996</v>
      </c>
      <c r="C108" s="139" cm="1">
        <f t="array" ref="C108">SUMPRODUCT((BXL!$AA$4:'BXL'!$AA$103=A108)*BXL!$AE$4:$AE$103)+SUMPRODUCT((BXL!$AB$4:'BXL'!$AB$103=A108)*BXL!$AE$4:$AE$103)+SUMPRODUCT((BXL!$AU$4:'BXL'!$AU$103=A108)*BXL!$AY$4:$AY$103)</f>
        <v>626.4</v>
      </c>
      <c r="D108" s="136" cm="1">
        <f t="array" ref="D108">SUMPRODUCT((BXL!$AA$4:'BXL'!$AA$103=A108)*BXL!$AF$4:$AF$103)+SUMPRODUCT((BXL!$AB$4:'BXL'!$AB$103=A108)*BXL!$AF$4:$AF$103)+SUMPRODUCT((BXL!$AU$4:'BXL'!$AU$103=A108)*BXL!$AV$4:$AV$103)</f>
        <v>0</v>
      </c>
      <c r="E108" s="136" cm="1">
        <f t="array" ref="E108">SUMPRODUCT((BXL!$AA$4:'BXL'!$AA$103=A108)*BXL!$AG$4:$AG$103)+SUMPRODUCT((BXL!$AB$4:'BXL'!$AB$103=A108)*BXL!$AG$4:$AG$103)+SUMPRODUCT((BXL!$AU$4:'BXL'!$AU$103=A108)*BXL!$AW$4:$AW$103)</f>
        <v>626.4</v>
      </c>
      <c r="F108" s="136" cm="1">
        <f t="array" ref="F108">SUMPRODUCT((BXL!$AA$4:'BXL'!$AA$103=A108)*BXL!$AH$4:$AH$103)+SUMPRODUCT((BXL!$AB$4:'BXL'!$AB$103=A108)*BXL!$AH$4:$AH$103)+SUMPRODUCT((BXL!$AU$4:'BXL'!$AU$103=A108)*BXL!$AZ$4:$AZ$103)</f>
        <v>36.54</v>
      </c>
      <c r="G108" s="136" cm="1">
        <f t="array" ref="G108">SUMPRODUCT((BXL!$AA$4:'BXL'!$AA$103=A108)*BXL!$AI$4:$AI$103)+SUMPRODUCT((BXL!$AB$4:'BXL'!$AB$103=A108)*BXL!$AI$4:$AI$103)+SUMPRODUCT((BXL!$AU$4:'BXL'!$AU$103=A108)*BXL!$BA$4:$BA$103)</f>
        <v>36.54</v>
      </c>
      <c r="H108" s="115"/>
      <c r="I108" s="139">
        <f t="shared" si="15"/>
        <v>11701.016969999999</v>
      </c>
      <c r="J108" s="136">
        <f t="shared" si="16"/>
        <v>1128.0108500000001</v>
      </c>
      <c r="K108" s="136">
        <f t="shared" si="16"/>
        <v>10573.00612</v>
      </c>
      <c r="L108" s="136">
        <f t="shared" si="16"/>
        <v>752.89805529824548</v>
      </c>
      <c r="M108" s="136">
        <f t="shared" si="16"/>
        <v>596.58335599999998</v>
      </c>
      <c r="N108" s="115"/>
      <c r="O108" s="131">
        <f>C108*(Hypotheses!H72*Hypotheses!$D$19+Hypotheses!$D$14*(1-Hypotheses!H72))</f>
        <v>7.3288799999999998</v>
      </c>
      <c r="P108" s="131">
        <f>C108*(Hypotheses!I72*Hypotheses!$D$19+Hypotheses!$D$14*(1-Hypotheses!I72))</f>
        <v>6.5772927532348762</v>
      </c>
      <c r="Q108" s="131">
        <f>C108*(Hypotheses!J72*Hypotheses!$D$19+Hypotheses!$D$14*(1-Hypotheses!J72))</f>
        <v>5.6378086947784736</v>
      </c>
      <c r="R108" s="115"/>
      <c r="S108" s="131">
        <f>C108*(Hypotheses!H72*Hypotheses!$D$21+Hypotheses!$D$14*(1-Hypotheses!H72))</f>
        <v>7.8926400000000001</v>
      </c>
      <c r="T108" s="131">
        <f>C108*(Hypotheses!I72*Hypotheses!$D$21+Hypotheses!$D$14*(1-Hypotheses!I72))</f>
        <v>9.3958144935302439</v>
      </c>
      <c r="U108" s="131">
        <f>C108*(Hypotheses!J72*Hypotheses!$D$21+Hypotheses!$D$14*(1-Hypotheses!J72))</f>
        <v>11.274782610443049</v>
      </c>
      <c r="V108" s="115"/>
      <c r="W108" s="128">
        <f>-C108*Hypotheses!$D$31*Hypotheses!H72</f>
        <v>-37.583999999999996</v>
      </c>
      <c r="X108" s="128">
        <f>-C108*Hypotheses!$D$31*Hypotheses!I72</f>
        <v>-187.9014493530245</v>
      </c>
      <c r="Y108" s="128">
        <f>-C108*Hypotheses!$D$31*Hypotheses!J72</f>
        <v>-375.79826104430515</v>
      </c>
      <c r="Z108" s="126">
        <f>-C108*Hypotheses!$D$30*Hypotheses!H72</f>
        <v>-9.395999999999999</v>
      </c>
      <c r="AA108" s="126">
        <f>-C108*Hypotheses!$D$30*Hypotheses!I72</f>
        <v>-46.975362338256126</v>
      </c>
      <c r="AB108" s="126">
        <f>-C108*Hypotheses!$D$30*Hypotheses!J72</f>
        <v>-93.949565261076287</v>
      </c>
      <c r="AC108" s="115"/>
      <c r="AD108" s="128">
        <f t="shared" si="9"/>
        <v>-496.36124520000004</v>
      </c>
      <c r="AE108" s="128">
        <f t="shared" si="9"/>
        <v>-2198.671438157628</v>
      </c>
      <c r="AF108" s="128">
        <f t="shared" si="9"/>
        <v>-4326.5591793546619</v>
      </c>
      <c r="AG108" s="126">
        <f t="shared" si="9"/>
        <v>-124.09031130000001</v>
      </c>
      <c r="AH108" s="126">
        <f t="shared" si="9"/>
        <v>-549.667859539407</v>
      </c>
      <c r="AI108" s="126">
        <f t="shared" si="9"/>
        <v>-1081.6397948386655</v>
      </c>
      <c r="AJ108" s="115"/>
      <c r="AK108" s="131">
        <f t="shared" si="10"/>
        <v>96.790442814000002</v>
      </c>
      <c r="AL108" s="131">
        <f t="shared" si="10"/>
        <v>88.27889184921186</v>
      </c>
      <c r="AM108" s="131">
        <f t="shared" si="10"/>
        <v>77.639453143226689</v>
      </c>
      <c r="AN108" s="115"/>
      <c r="AO108" s="131">
        <f t="shared" si="11"/>
        <v>104.235861492</v>
      </c>
      <c r="AP108" s="131">
        <f t="shared" si="11"/>
        <v>121.25896342157627</v>
      </c>
      <c r="AQ108" s="131">
        <f t="shared" si="11"/>
        <v>142.53784083354662</v>
      </c>
      <c r="AR108" s="115"/>
      <c r="AS108" s="126">
        <f t="shared" si="12"/>
        <v>-27.299868486000008</v>
      </c>
      <c r="AT108" s="126">
        <f t="shared" si="12"/>
        <v>-461.38896769019516</v>
      </c>
      <c r="AU108" s="126">
        <f t="shared" si="12"/>
        <v>-1004.0003416954388</v>
      </c>
      <c r="AV108" s="115"/>
      <c r="AW108" s="126">
        <f t="shared" si="13"/>
        <v>-19.854449808000012</v>
      </c>
      <c r="AX108" s="126">
        <f t="shared" si="13"/>
        <v>-428.40889611783075</v>
      </c>
      <c r="AY108" s="126">
        <f t="shared" si="13"/>
        <v>-939.10195400511884</v>
      </c>
      <c r="AZ108" s="115"/>
    </row>
    <row r="109" spans="1:52" x14ac:dyDescent="0.25">
      <c r="A109" s="94">
        <v>2054</v>
      </c>
      <c r="B109" s="139" cm="1">
        <f t="array" ref="B109">SUMPRODUCT((BXL!$AA$4:'BXL'!$AA$103=A109)*BXL!$AD$4:$AD$103)+SUMPRODUCT((BXL!$AB$4:'BXL'!$AB$103=A109)*BXL!$AD$4:$AD$103)+SUMPRODUCT((BXL!$AU$4:'BXL'!$AU$103=A109)*BXL!$AX$4:$AX$103)</f>
        <v>0</v>
      </c>
      <c r="C109" s="139" cm="1">
        <f t="array" ref="C109">SUMPRODUCT((BXL!$AA$4:'BXL'!$AA$103=A109)*BXL!$AE$4:$AE$103)+SUMPRODUCT((BXL!$AB$4:'BXL'!$AB$103=A109)*BXL!$AE$4:$AE$103)+SUMPRODUCT((BXL!$AU$4:'BXL'!$AU$103=A109)*BXL!$AY$4:$AY$103)</f>
        <v>0</v>
      </c>
      <c r="D109" s="136" cm="1">
        <f t="array" ref="D109">SUMPRODUCT((BXL!$AA$4:'BXL'!$AA$103=A109)*BXL!$AF$4:$AF$103)+SUMPRODUCT((BXL!$AB$4:'BXL'!$AB$103=A109)*BXL!$AF$4:$AF$103)+SUMPRODUCT((BXL!$AU$4:'BXL'!$AU$103=A109)*BXL!$AV$4:$AV$103)</f>
        <v>0</v>
      </c>
      <c r="E109" s="136" cm="1">
        <f t="array" ref="E109">SUMPRODUCT((BXL!$AA$4:'BXL'!$AA$103=A109)*BXL!$AG$4:$AG$103)+SUMPRODUCT((BXL!$AB$4:'BXL'!$AB$103=A109)*BXL!$AG$4:$AG$103)+SUMPRODUCT((BXL!$AU$4:'BXL'!$AU$103=A109)*BXL!$AW$4:$AW$103)</f>
        <v>0</v>
      </c>
      <c r="F109" s="136" cm="1">
        <f t="array" ref="F109">SUMPRODUCT((BXL!$AA$4:'BXL'!$AA$103=A109)*BXL!$AH$4:$AH$103)+SUMPRODUCT((BXL!$AB$4:'BXL'!$AB$103=A109)*BXL!$AH$4:$AH$103)+SUMPRODUCT((BXL!$AU$4:'BXL'!$AU$103=A109)*BXL!$AZ$4:$AZ$103)</f>
        <v>0</v>
      </c>
      <c r="G109" s="136" cm="1">
        <f t="array" ref="G109">SUMPRODUCT((BXL!$AA$4:'BXL'!$AA$103=A109)*BXL!$AI$4:$AI$103)+SUMPRODUCT((BXL!$AB$4:'BXL'!$AB$103=A109)*BXL!$AI$4:$AI$103)+SUMPRODUCT((BXL!$AU$4:'BXL'!$AU$103=A109)*BXL!$BA$4:$BA$103)</f>
        <v>0</v>
      </c>
      <c r="H109" s="115"/>
      <c r="I109" s="139">
        <f t="shared" si="15"/>
        <v>11701.016969999999</v>
      </c>
      <c r="J109" s="136">
        <f t="shared" si="16"/>
        <v>1128.0108500000001</v>
      </c>
      <c r="K109" s="136">
        <f t="shared" si="16"/>
        <v>10573.00612</v>
      </c>
      <c r="L109" s="136">
        <f t="shared" si="16"/>
        <v>752.89805529824548</v>
      </c>
      <c r="M109" s="136">
        <f t="shared" si="16"/>
        <v>596.58335599999998</v>
      </c>
      <c r="N109" s="115"/>
      <c r="O109" s="131">
        <f>C109*(Hypotheses!H73*Hypotheses!$D$19+Hypotheses!$D$14*(1-Hypotheses!H73))</f>
        <v>0</v>
      </c>
      <c r="P109" s="131">
        <f>C109*(Hypotheses!I73*Hypotheses!$D$19+Hypotheses!$D$14*(1-Hypotheses!I73))</f>
        <v>0</v>
      </c>
      <c r="Q109" s="131">
        <f>C109*(Hypotheses!J73*Hypotheses!$D$19+Hypotheses!$D$14*(1-Hypotheses!J73))</f>
        <v>0</v>
      </c>
      <c r="R109" s="115"/>
      <c r="S109" s="131">
        <f>C109*(Hypotheses!H73*Hypotheses!$D$21+Hypotheses!$D$14*(1-Hypotheses!H73))</f>
        <v>0</v>
      </c>
      <c r="T109" s="131">
        <f>C109*(Hypotheses!I73*Hypotheses!$D$21+Hypotheses!$D$14*(1-Hypotheses!I73))</f>
        <v>0</v>
      </c>
      <c r="U109" s="131">
        <f>C109*(Hypotheses!J73*Hypotheses!$D$21+Hypotheses!$D$14*(1-Hypotheses!J73))</f>
        <v>0</v>
      </c>
      <c r="V109" s="115"/>
      <c r="W109" s="128">
        <f>-C109*Hypotheses!$D$31*Hypotheses!H73</f>
        <v>0</v>
      </c>
      <c r="X109" s="128">
        <f>-C109*Hypotheses!$D$31*Hypotheses!I73</f>
        <v>0</v>
      </c>
      <c r="Y109" s="128">
        <f>-C109*Hypotheses!$D$31*Hypotheses!J73</f>
        <v>0</v>
      </c>
      <c r="Z109" s="126">
        <f>-C109*Hypotheses!$D$30*Hypotheses!H73</f>
        <v>0</v>
      </c>
      <c r="AA109" s="126">
        <f>-C109*Hypotheses!$D$30*Hypotheses!I73</f>
        <v>0</v>
      </c>
      <c r="AB109" s="126">
        <f>-C109*Hypotheses!$D$30*Hypotheses!J73</f>
        <v>0</v>
      </c>
      <c r="AC109" s="115"/>
      <c r="AD109" s="128">
        <f t="shared" si="9"/>
        <v>-496.36124520000004</v>
      </c>
      <c r="AE109" s="128">
        <f t="shared" si="9"/>
        <v>-2198.671438157628</v>
      </c>
      <c r="AF109" s="128">
        <f t="shared" si="9"/>
        <v>-4326.5591793546619</v>
      </c>
      <c r="AG109" s="126">
        <f t="shared" si="9"/>
        <v>-124.09031130000001</v>
      </c>
      <c r="AH109" s="126">
        <f t="shared" si="9"/>
        <v>-549.667859539407</v>
      </c>
      <c r="AI109" s="126">
        <f t="shared" si="9"/>
        <v>-1081.6397948386655</v>
      </c>
      <c r="AJ109" s="115"/>
      <c r="AK109" s="131">
        <f t="shared" si="10"/>
        <v>96.790442814000002</v>
      </c>
      <c r="AL109" s="131">
        <f t="shared" si="10"/>
        <v>88.27889184921186</v>
      </c>
      <c r="AM109" s="131">
        <f t="shared" si="10"/>
        <v>77.639453143226689</v>
      </c>
      <c r="AN109" s="115"/>
      <c r="AO109" s="131">
        <f t="shared" si="11"/>
        <v>104.235861492</v>
      </c>
      <c r="AP109" s="131">
        <f t="shared" si="11"/>
        <v>121.25896342157627</v>
      </c>
      <c r="AQ109" s="131">
        <f t="shared" si="11"/>
        <v>142.53784083354662</v>
      </c>
      <c r="AR109" s="115"/>
      <c r="AS109" s="126">
        <f t="shared" si="12"/>
        <v>-27.299868486000008</v>
      </c>
      <c r="AT109" s="126">
        <f t="shared" si="12"/>
        <v>-461.38896769019516</v>
      </c>
      <c r="AU109" s="126">
        <f t="shared" si="12"/>
        <v>-1004.0003416954388</v>
      </c>
      <c r="AV109" s="115"/>
      <c r="AW109" s="126">
        <f t="shared" si="13"/>
        <v>-19.854449808000012</v>
      </c>
      <c r="AX109" s="126">
        <f t="shared" si="13"/>
        <v>-428.40889611783075</v>
      </c>
      <c r="AY109" s="126">
        <f t="shared" si="13"/>
        <v>-939.10195400511884</v>
      </c>
      <c r="AZ109" s="115"/>
    </row>
    <row r="110" spans="1:52" x14ac:dyDescent="0.25">
      <c r="A110" s="94">
        <v>2055</v>
      </c>
      <c r="B110" s="139" cm="1">
        <f t="array" ref="B110">SUMPRODUCT((BXL!$AA$4:'BXL'!$AA$103=A110)*BXL!$AD$4:$AD$103)+SUMPRODUCT((BXL!$AB$4:'BXL'!$AB$103=A110)*BXL!$AD$4:$AD$103)+SUMPRODUCT((BXL!$AU$4:'BXL'!$AU$103=A110)*BXL!$AX$4:$AX$103)</f>
        <v>0</v>
      </c>
      <c r="C110" s="139" cm="1">
        <f t="array" ref="C110">SUMPRODUCT((BXL!$AA$4:'BXL'!$AA$103=A110)*BXL!$AE$4:$AE$103)+SUMPRODUCT((BXL!$AB$4:'BXL'!$AB$103=A110)*BXL!$AE$4:$AE$103)+SUMPRODUCT((BXL!$AU$4:'BXL'!$AU$103=A110)*BXL!$AY$4:$AY$103)</f>
        <v>0</v>
      </c>
      <c r="D110" s="136" cm="1">
        <f t="array" ref="D110">SUMPRODUCT((BXL!$AA$4:'BXL'!$AA$103=A110)*BXL!$AF$4:$AF$103)+SUMPRODUCT((BXL!$AB$4:'BXL'!$AB$103=A110)*BXL!$AF$4:$AF$103)+SUMPRODUCT((BXL!$AU$4:'BXL'!$AU$103=A110)*BXL!$AV$4:$AV$103)</f>
        <v>0</v>
      </c>
      <c r="E110" s="136" cm="1">
        <f t="array" ref="E110">SUMPRODUCT((BXL!$AA$4:'BXL'!$AA$103=A110)*BXL!$AG$4:$AG$103)+SUMPRODUCT((BXL!$AB$4:'BXL'!$AB$103=A110)*BXL!$AG$4:$AG$103)+SUMPRODUCT((BXL!$AU$4:'BXL'!$AU$103=A110)*BXL!$AW$4:$AW$103)</f>
        <v>0</v>
      </c>
      <c r="F110" s="136" cm="1">
        <f t="array" ref="F110">SUMPRODUCT((BXL!$AA$4:'BXL'!$AA$103=A110)*BXL!$AH$4:$AH$103)+SUMPRODUCT((BXL!$AB$4:'BXL'!$AB$103=A110)*BXL!$AH$4:$AH$103)+SUMPRODUCT((BXL!$AU$4:'BXL'!$AU$103=A110)*BXL!$AZ$4:$AZ$103)</f>
        <v>0</v>
      </c>
      <c r="G110" s="136" cm="1">
        <f t="array" ref="G110">SUMPRODUCT((BXL!$AA$4:'BXL'!$AA$103=A110)*BXL!$AI$4:$AI$103)+SUMPRODUCT((BXL!$AB$4:'BXL'!$AB$103=A110)*BXL!$AI$4:$AI$103)+SUMPRODUCT((BXL!$AU$4:'BXL'!$AU$103=A110)*BXL!$BA$4:$BA$103)</f>
        <v>0</v>
      </c>
      <c r="H110" s="115"/>
      <c r="I110" s="139">
        <f t="shared" si="15"/>
        <v>11701.016969999999</v>
      </c>
      <c r="J110" s="136">
        <f t="shared" si="16"/>
        <v>1128.0108500000001</v>
      </c>
      <c r="K110" s="136">
        <f t="shared" si="16"/>
        <v>10573.00612</v>
      </c>
      <c r="L110" s="136">
        <f t="shared" si="16"/>
        <v>752.89805529824548</v>
      </c>
      <c r="M110" s="136">
        <f t="shared" si="16"/>
        <v>596.58335599999998</v>
      </c>
      <c r="N110" s="115"/>
      <c r="O110" s="131">
        <f>C110*(Hypotheses!H74*Hypotheses!$D$19+Hypotheses!$D$14*(1-Hypotheses!H74))</f>
        <v>0</v>
      </c>
      <c r="P110" s="131">
        <f>C110*(Hypotheses!I74*Hypotheses!$D$19+Hypotheses!$D$14*(1-Hypotheses!I74))</f>
        <v>0</v>
      </c>
      <c r="Q110" s="131">
        <f>C110*(Hypotheses!J74*Hypotheses!$D$19+Hypotheses!$D$14*(1-Hypotheses!J74))</f>
        <v>0</v>
      </c>
      <c r="R110" s="115"/>
      <c r="S110" s="131">
        <f>C110*(Hypotheses!H74*Hypotheses!$D$21+Hypotheses!$D$14*(1-Hypotheses!H74))</f>
        <v>0</v>
      </c>
      <c r="T110" s="131">
        <f>C110*(Hypotheses!I74*Hypotheses!$D$21+Hypotheses!$D$14*(1-Hypotheses!I74))</f>
        <v>0</v>
      </c>
      <c r="U110" s="131">
        <f>C110*(Hypotheses!J74*Hypotheses!$D$21+Hypotheses!$D$14*(1-Hypotheses!J74))</f>
        <v>0</v>
      </c>
      <c r="V110" s="115"/>
      <c r="W110" s="128">
        <f>-C110*Hypotheses!$D$31*Hypotheses!H74</f>
        <v>0</v>
      </c>
      <c r="X110" s="128">
        <f>-C110*Hypotheses!$D$31*Hypotheses!I74</f>
        <v>0</v>
      </c>
      <c r="Y110" s="128">
        <f>-C110*Hypotheses!$D$31*Hypotheses!J74</f>
        <v>0</v>
      </c>
      <c r="Z110" s="126">
        <f>-C110*Hypotheses!$D$30*Hypotheses!H74</f>
        <v>0</v>
      </c>
      <c r="AA110" s="126">
        <f>-C110*Hypotheses!$D$30*Hypotheses!I74</f>
        <v>0</v>
      </c>
      <c r="AB110" s="126">
        <f>-C110*Hypotheses!$D$30*Hypotheses!J74</f>
        <v>0</v>
      </c>
      <c r="AC110" s="115"/>
      <c r="AD110" s="128">
        <f t="shared" si="9"/>
        <v>-496.36124520000004</v>
      </c>
      <c r="AE110" s="128">
        <f t="shared" si="9"/>
        <v>-2198.671438157628</v>
      </c>
      <c r="AF110" s="128">
        <f t="shared" si="9"/>
        <v>-4326.5591793546619</v>
      </c>
      <c r="AG110" s="126">
        <f t="shared" si="9"/>
        <v>-124.09031130000001</v>
      </c>
      <c r="AH110" s="126">
        <f t="shared" si="9"/>
        <v>-549.667859539407</v>
      </c>
      <c r="AI110" s="126">
        <f t="shared" si="9"/>
        <v>-1081.6397948386655</v>
      </c>
      <c r="AJ110" s="115"/>
      <c r="AK110" s="131">
        <f t="shared" si="10"/>
        <v>96.790442814000002</v>
      </c>
      <c r="AL110" s="131">
        <f t="shared" si="10"/>
        <v>88.27889184921186</v>
      </c>
      <c r="AM110" s="131">
        <f t="shared" si="10"/>
        <v>77.639453143226689</v>
      </c>
      <c r="AN110" s="115"/>
      <c r="AO110" s="131">
        <f t="shared" si="11"/>
        <v>104.235861492</v>
      </c>
      <c r="AP110" s="131">
        <f t="shared" si="11"/>
        <v>121.25896342157627</v>
      </c>
      <c r="AQ110" s="131">
        <f t="shared" si="11"/>
        <v>142.53784083354662</v>
      </c>
      <c r="AR110" s="115"/>
      <c r="AS110" s="126">
        <f t="shared" si="12"/>
        <v>-27.299868486000008</v>
      </c>
      <c r="AT110" s="126">
        <f t="shared" si="12"/>
        <v>-461.38896769019516</v>
      </c>
      <c r="AU110" s="126">
        <f t="shared" si="12"/>
        <v>-1004.0003416954388</v>
      </c>
      <c r="AV110" s="115"/>
      <c r="AW110" s="126">
        <f t="shared" si="13"/>
        <v>-19.854449808000012</v>
      </c>
      <c r="AX110" s="126">
        <f t="shared" si="13"/>
        <v>-428.40889611783075</v>
      </c>
      <c r="AY110" s="126">
        <f t="shared" si="13"/>
        <v>-939.10195400511884</v>
      </c>
      <c r="AZ110" s="115"/>
    </row>
    <row r="111" spans="1:52" x14ac:dyDescent="0.25">
      <c r="A111" s="94">
        <v>2056</v>
      </c>
      <c r="B111" s="139" cm="1">
        <f t="array" ref="B111">SUMPRODUCT((BXL!$AA$4:'BXL'!$AA$103=A111)*BXL!$AD$4:$AD$103)+SUMPRODUCT((BXL!$AB$4:'BXL'!$AB$103=A111)*BXL!$AD$4:$AD$103)+SUMPRODUCT((BXL!$AU$4:'BXL'!$AU$103=A111)*BXL!$AX$4:$AX$103)</f>
        <v>0</v>
      </c>
      <c r="C111" s="139" cm="1">
        <f t="array" ref="C111">SUMPRODUCT((BXL!$AA$4:'BXL'!$AA$103=A111)*BXL!$AE$4:$AE$103)+SUMPRODUCT((BXL!$AB$4:'BXL'!$AB$103=A111)*BXL!$AE$4:$AE$103)+SUMPRODUCT((BXL!$AU$4:'BXL'!$AU$103=A111)*BXL!$AY$4:$AY$103)</f>
        <v>0</v>
      </c>
      <c r="D111" s="136" cm="1">
        <f t="array" ref="D111">SUMPRODUCT((BXL!$AA$4:'BXL'!$AA$103=A111)*BXL!$AF$4:$AF$103)+SUMPRODUCT((BXL!$AB$4:'BXL'!$AB$103=A111)*BXL!$AF$4:$AF$103)+SUMPRODUCT((BXL!$AU$4:'BXL'!$AU$103=A111)*BXL!$AV$4:$AV$103)</f>
        <v>0</v>
      </c>
      <c r="E111" s="136" cm="1">
        <f t="array" ref="E111">SUMPRODUCT((BXL!$AA$4:'BXL'!$AA$103=A111)*BXL!$AG$4:$AG$103)+SUMPRODUCT((BXL!$AB$4:'BXL'!$AB$103=A111)*BXL!$AG$4:$AG$103)+SUMPRODUCT((BXL!$AU$4:'BXL'!$AU$103=A111)*BXL!$AW$4:$AW$103)</f>
        <v>0</v>
      </c>
      <c r="F111" s="136" cm="1">
        <f t="array" ref="F111">SUMPRODUCT((BXL!$AA$4:'BXL'!$AA$103=A111)*BXL!$AH$4:$AH$103)+SUMPRODUCT((BXL!$AB$4:'BXL'!$AB$103=A111)*BXL!$AH$4:$AH$103)+SUMPRODUCT((BXL!$AU$4:'BXL'!$AU$103=A111)*BXL!$AZ$4:$AZ$103)</f>
        <v>0</v>
      </c>
      <c r="G111" s="136" cm="1">
        <f t="array" ref="G111">SUMPRODUCT((BXL!$AA$4:'BXL'!$AA$103=A111)*BXL!$AI$4:$AI$103)+SUMPRODUCT((BXL!$AB$4:'BXL'!$AB$103=A111)*BXL!$AI$4:$AI$103)+SUMPRODUCT((BXL!$AU$4:'BXL'!$AU$103=A111)*BXL!$BA$4:$BA$103)</f>
        <v>0</v>
      </c>
      <c r="H111" s="115"/>
      <c r="I111" s="139">
        <f t="shared" si="15"/>
        <v>11701.016969999999</v>
      </c>
      <c r="J111" s="136">
        <f t="shared" si="16"/>
        <v>1128.0108500000001</v>
      </c>
      <c r="K111" s="136">
        <f t="shared" si="16"/>
        <v>10573.00612</v>
      </c>
      <c r="L111" s="136">
        <f t="shared" si="16"/>
        <v>752.89805529824548</v>
      </c>
      <c r="M111" s="136">
        <f t="shared" si="16"/>
        <v>596.58335599999998</v>
      </c>
      <c r="N111" s="115"/>
      <c r="O111" s="131">
        <f>C111*(Hypotheses!H75*Hypotheses!$D$19+Hypotheses!$D$14*(1-Hypotheses!H75))</f>
        <v>0</v>
      </c>
      <c r="P111" s="131">
        <f>C111*(Hypotheses!I75*Hypotheses!$D$19+Hypotheses!$D$14*(1-Hypotheses!I75))</f>
        <v>0</v>
      </c>
      <c r="Q111" s="131">
        <f>C111*(Hypotheses!J75*Hypotheses!$D$19+Hypotheses!$D$14*(1-Hypotheses!J75))</f>
        <v>0</v>
      </c>
      <c r="R111" s="115"/>
      <c r="S111" s="131">
        <f>C111*(Hypotheses!H75*Hypotheses!$D$21+Hypotheses!$D$14*(1-Hypotheses!H75))</f>
        <v>0</v>
      </c>
      <c r="T111" s="131">
        <f>C111*(Hypotheses!I75*Hypotheses!$D$21+Hypotheses!$D$14*(1-Hypotheses!I75))</f>
        <v>0</v>
      </c>
      <c r="U111" s="131">
        <f>C111*(Hypotheses!J75*Hypotheses!$D$21+Hypotheses!$D$14*(1-Hypotheses!J75))</f>
        <v>0</v>
      </c>
      <c r="V111" s="115"/>
      <c r="W111" s="128">
        <f>-C111*Hypotheses!$D$31*Hypotheses!H75</f>
        <v>0</v>
      </c>
      <c r="X111" s="128">
        <f>-C111*Hypotheses!$D$31*Hypotheses!I75</f>
        <v>0</v>
      </c>
      <c r="Y111" s="128">
        <f>-C111*Hypotheses!$D$31*Hypotheses!J75</f>
        <v>0</v>
      </c>
      <c r="Z111" s="126">
        <f>-C111*Hypotheses!$D$30*Hypotheses!H75</f>
        <v>0</v>
      </c>
      <c r="AA111" s="126">
        <f>-C111*Hypotheses!$D$30*Hypotheses!I75</f>
        <v>0</v>
      </c>
      <c r="AB111" s="126">
        <f>-C111*Hypotheses!$D$30*Hypotheses!J75</f>
        <v>0</v>
      </c>
      <c r="AC111" s="115"/>
      <c r="AD111" s="128">
        <f t="shared" si="9"/>
        <v>-496.36124520000004</v>
      </c>
      <c r="AE111" s="128">
        <f t="shared" si="9"/>
        <v>-2198.671438157628</v>
      </c>
      <c r="AF111" s="128">
        <f t="shared" si="9"/>
        <v>-4326.5591793546619</v>
      </c>
      <c r="AG111" s="126">
        <f t="shared" si="9"/>
        <v>-124.09031130000001</v>
      </c>
      <c r="AH111" s="126">
        <f t="shared" si="9"/>
        <v>-549.667859539407</v>
      </c>
      <c r="AI111" s="126">
        <f t="shared" si="9"/>
        <v>-1081.6397948386655</v>
      </c>
      <c r="AJ111" s="115"/>
      <c r="AK111" s="131">
        <f t="shared" si="10"/>
        <v>96.790442814000002</v>
      </c>
      <c r="AL111" s="131">
        <f t="shared" si="10"/>
        <v>88.27889184921186</v>
      </c>
      <c r="AM111" s="131">
        <f t="shared" si="10"/>
        <v>77.639453143226689</v>
      </c>
      <c r="AN111" s="115"/>
      <c r="AO111" s="131">
        <f t="shared" si="11"/>
        <v>104.235861492</v>
      </c>
      <c r="AP111" s="131">
        <f t="shared" si="11"/>
        <v>121.25896342157627</v>
      </c>
      <c r="AQ111" s="131">
        <f t="shared" si="11"/>
        <v>142.53784083354662</v>
      </c>
      <c r="AR111" s="115"/>
      <c r="AS111" s="126">
        <f t="shared" si="12"/>
        <v>-27.299868486000008</v>
      </c>
      <c r="AT111" s="126">
        <f t="shared" si="12"/>
        <v>-461.38896769019516</v>
      </c>
      <c r="AU111" s="126">
        <f t="shared" si="12"/>
        <v>-1004.0003416954388</v>
      </c>
      <c r="AV111" s="115"/>
      <c r="AW111" s="126">
        <f t="shared" si="13"/>
        <v>-19.854449808000012</v>
      </c>
      <c r="AX111" s="126">
        <f t="shared" si="13"/>
        <v>-428.40889611783075</v>
      </c>
      <c r="AY111" s="126">
        <f t="shared" si="13"/>
        <v>-939.10195400511884</v>
      </c>
      <c r="AZ111" s="115"/>
    </row>
    <row r="112" spans="1:52" x14ac:dyDescent="0.25">
      <c r="A112" s="94">
        <v>2057</v>
      </c>
      <c r="B112" s="139" cm="1">
        <f t="array" ref="B112">SUMPRODUCT((BXL!$AA$4:'BXL'!$AA$103=A112)*BXL!$AD$4:$AD$103)+SUMPRODUCT((BXL!$AB$4:'BXL'!$AB$103=A112)*BXL!$AD$4:$AD$103)+SUMPRODUCT((BXL!$AU$4:'BXL'!$AU$103=A112)*BXL!$AX$4:$AX$103)</f>
        <v>0</v>
      </c>
      <c r="C112" s="139" cm="1">
        <f t="array" ref="C112">SUMPRODUCT((BXL!$AA$4:'BXL'!$AA$103=A112)*BXL!$AE$4:$AE$103)+SUMPRODUCT((BXL!$AB$4:'BXL'!$AB$103=A112)*BXL!$AE$4:$AE$103)+SUMPRODUCT((BXL!$AU$4:'BXL'!$AU$103=A112)*BXL!$AY$4:$AY$103)</f>
        <v>0</v>
      </c>
      <c r="D112" s="136" cm="1">
        <f t="array" ref="D112">SUMPRODUCT((BXL!$AA$4:'BXL'!$AA$103=A112)*BXL!$AF$4:$AF$103)+SUMPRODUCT((BXL!$AB$4:'BXL'!$AB$103=A112)*BXL!$AF$4:$AF$103)+SUMPRODUCT((BXL!$AU$4:'BXL'!$AU$103=A112)*BXL!$AV$4:$AV$103)</f>
        <v>0</v>
      </c>
      <c r="E112" s="136" cm="1">
        <f t="array" ref="E112">SUMPRODUCT((BXL!$AA$4:'BXL'!$AA$103=A112)*BXL!$AG$4:$AG$103)+SUMPRODUCT((BXL!$AB$4:'BXL'!$AB$103=A112)*BXL!$AG$4:$AG$103)+SUMPRODUCT((BXL!$AU$4:'BXL'!$AU$103=A112)*BXL!$AW$4:$AW$103)</f>
        <v>0</v>
      </c>
      <c r="F112" s="136" cm="1">
        <f t="array" ref="F112">SUMPRODUCT((BXL!$AA$4:'BXL'!$AA$103=A112)*BXL!$AH$4:$AH$103)+SUMPRODUCT((BXL!$AB$4:'BXL'!$AB$103=A112)*BXL!$AH$4:$AH$103)+SUMPRODUCT((BXL!$AU$4:'BXL'!$AU$103=A112)*BXL!$AZ$4:$AZ$103)</f>
        <v>0</v>
      </c>
      <c r="G112" s="136" cm="1">
        <f t="array" ref="G112">SUMPRODUCT((BXL!$AA$4:'BXL'!$AA$103=A112)*BXL!$AI$4:$AI$103)+SUMPRODUCT((BXL!$AB$4:'BXL'!$AB$103=A112)*BXL!$AI$4:$AI$103)+SUMPRODUCT((BXL!$AU$4:'BXL'!$AU$103=A112)*BXL!$BA$4:$BA$103)</f>
        <v>0</v>
      </c>
      <c r="H112" s="115"/>
      <c r="I112" s="139">
        <f t="shared" si="15"/>
        <v>11701.016969999999</v>
      </c>
      <c r="J112" s="136">
        <f t="shared" si="16"/>
        <v>1128.0108500000001</v>
      </c>
      <c r="K112" s="136">
        <f t="shared" si="16"/>
        <v>10573.00612</v>
      </c>
      <c r="L112" s="136">
        <f t="shared" si="16"/>
        <v>752.89805529824548</v>
      </c>
      <c r="M112" s="136">
        <f t="shared" si="16"/>
        <v>596.58335599999998</v>
      </c>
      <c r="N112" s="115"/>
      <c r="O112" s="131">
        <f>C112*(Hypotheses!H76*Hypotheses!$D$19+Hypotheses!$D$14*(1-Hypotheses!H76))</f>
        <v>0</v>
      </c>
      <c r="P112" s="131">
        <f>C112*(Hypotheses!I76*Hypotheses!$D$19+Hypotheses!$D$14*(1-Hypotheses!I76))</f>
        <v>0</v>
      </c>
      <c r="Q112" s="131">
        <f>C112*(Hypotheses!J76*Hypotheses!$D$19+Hypotheses!$D$14*(1-Hypotheses!J76))</f>
        <v>0</v>
      </c>
      <c r="R112" s="115"/>
      <c r="S112" s="131">
        <f>C112*(Hypotheses!H76*Hypotheses!$D$21+Hypotheses!$D$14*(1-Hypotheses!H76))</f>
        <v>0</v>
      </c>
      <c r="T112" s="131">
        <f>C112*(Hypotheses!I76*Hypotheses!$D$21+Hypotheses!$D$14*(1-Hypotheses!I76))</f>
        <v>0</v>
      </c>
      <c r="U112" s="131">
        <f>C112*(Hypotheses!J76*Hypotheses!$D$21+Hypotheses!$D$14*(1-Hypotheses!J76))</f>
        <v>0</v>
      </c>
      <c r="V112" s="115"/>
      <c r="W112" s="128">
        <f>-C112*Hypotheses!$D$31*Hypotheses!H76</f>
        <v>0</v>
      </c>
      <c r="X112" s="128">
        <f>-C112*Hypotheses!$D$31*Hypotheses!I76</f>
        <v>0</v>
      </c>
      <c r="Y112" s="128">
        <f>-C112*Hypotheses!$D$31*Hypotheses!J76</f>
        <v>0</v>
      </c>
      <c r="Z112" s="126">
        <f>-C112*Hypotheses!$D$30*Hypotheses!H76</f>
        <v>0</v>
      </c>
      <c r="AA112" s="126">
        <f>-C112*Hypotheses!$D$30*Hypotheses!I76</f>
        <v>0</v>
      </c>
      <c r="AB112" s="126">
        <f>-C112*Hypotheses!$D$30*Hypotheses!J76</f>
        <v>0</v>
      </c>
      <c r="AC112" s="115"/>
      <c r="AD112" s="128">
        <f t="shared" si="9"/>
        <v>-496.36124520000004</v>
      </c>
      <c r="AE112" s="128">
        <f t="shared" si="9"/>
        <v>-2198.671438157628</v>
      </c>
      <c r="AF112" s="128">
        <f t="shared" si="9"/>
        <v>-4326.5591793546619</v>
      </c>
      <c r="AG112" s="126">
        <f t="shared" si="9"/>
        <v>-124.09031130000001</v>
      </c>
      <c r="AH112" s="126">
        <f t="shared" si="9"/>
        <v>-549.667859539407</v>
      </c>
      <c r="AI112" s="126">
        <f t="shared" si="9"/>
        <v>-1081.6397948386655</v>
      </c>
      <c r="AJ112" s="115"/>
      <c r="AK112" s="131">
        <f t="shared" si="10"/>
        <v>96.790442814000002</v>
      </c>
      <c r="AL112" s="131">
        <f t="shared" si="10"/>
        <v>88.27889184921186</v>
      </c>
      <c r="AM112" s="131">
        <f t="shared" si="10"/>
        <v>77.639453143226689</v>
      </c>
      <c r="AN112" s="115"/>
      <c r="AO112" s="131">
        <f t="shared" si="11"/>
        <v>104.235861492</v>
      </c>
      <c r="AP112" s="131">
        <f t="shared" si="11"/>
        <v>121.25896342157627</v>
      </c>
      <c r="AQ112" s="131">
        <f t="shared" si="11"/>
        <v>142.53784083354662</v>
      </c>
      <c r="AR112" s="115"/>
      <c r="AS112" s="126">
        <f t="shared" si="12"/>
        <v>-27.299868486000008</v>
      </c>
      <c r="AT112" s="126">
        <f t="shared" si="12"/>
        <v>-461.38896769019516</v>
      </c>
      <c r="AU112" s="126">
        <f t="shared" si="12"/>
        <v>-1004.0003416954388</v>
      </c>
      <c r="AV112" s="115"/>
      <c r="AW112" s="126">
        <f t="shared" si="13"/>
        <v>-19.854449808000012</v>
      </c>
      <c r="AX112" s="126">
        <f t="shared" si="13"/>
        <v>-428.40889611783075</v>
      </c>
      <c r="AY112" s="126">
        <f t="shared" si="13"/>
        <v>-939.10195400511884</v>
      </c>
      <c r="AZ112" s="115"/>
    </row>
    <row r="113" spans="1:52" x14ac:dyDescent="0.25">
      <c r="A113" s="94">
        <v>2058</v>
      </c>
      <c r="B113" s="139" cm="1">
        <f t="array" ref="B113">SUMPRODUCT((BXL!$AA$4:'BXL'!$AA$103=A113)*BXL!$AD$4:$AD$103)+SUMPRODUCT((BXL!$AB$4:'BXL'!$AB$103=A113)*BXL!$AD$4:$AD$103)+SUMPRODUCT((BXL!$AU$4:'BXL'!$AU$103=A113)*BXL!$AX$4:$AX$103)</f>
        <v>0</v>
      </c>
      <c r="C113" s="139" cm="1">
        <f t="array" ref="C113">SUMPRODUCT((BXL!$AA$4:'BXL'!$AA$103=A113)*BXL!$AE$4:$AE$103)+SUMPRODUCT((BXL!$AB$4:'BXL'!$AB$103=A113)*BXL!$AE$4:$AE$103)+SUMPRODUCT((BXL!$AU$4:'BXL'!$AU$103=A113)*BXL!$AY$4:$AY$103)</f>
        <v>0</v>
      </c>
      <c r="D113" s="136" cm="1">
        <f t="array" ref="D113">SUMPRODUCT((BXL!$AA$4:'BXL'!$AA$103=A113)*BXL!$AF$4:$AF$103)+SUMPRODUCT((BXL!$AB$4:'BXL'!$AB$103=A113)*BXL!$AF$4:$AF$103)+SUMPRODUCT((BXL!$AU$4:'BXL'!$AU$103=A113)*BXL!$AV$4:$AV$103)</f>
        <v>0</v>
      </c>
      <c r="E113" s="136" cm="1">
        <f t="array" ref="E113">SUMPRODUCT((BXL!$AA$4:'BXL'!$AA$103=A113)*BXL!$AG$4:$AG$103)+SUMPRODUCT((BXL!$AB$4:'BXL'!$AB$103=A113)*BXL!$AG$4:$AG$103)+SUMPRODUCT((BXL!$AU$4:'BXL'!$AU$103=A113)*BXL!$AW$4:$AW$103)</f>
        <v>0</v>
      </c>
      <c r="F113" s="136" cm="1">
        <f t="array" ref="F113">SUMPRODUCT((BXL!$AA$4:'BXL'!$AA$103=A113)*BXL!$AH$4:$AH$103)+SUMPRODUCT((BXL!$AB$4:'BXL'!$AB$103=A113)*BXL!$AH$4:$AH$103)+SUMPRODUCT((BXL!$AU$4:'BXL'!$AU$103=A113)*BXL!$AZ$4:$AZ$103)</f>
        <v>0</v>
      </c>
      <c r="G113" s="136" cm="1">
        <f t="array" ref="G113">SUMPRODUCT((BXL!$AA$4:'BXL'!$AA$103=A113)*BXL!$AI$4:$AI$103)+SUMPRODUCT((BXL!$AB$4:'BXL'!$AB$103=A113)*BXL!$AI$4:$AI$103)+SUMPRODUCT((BXL!$AU$4:'BXL'!$AU$103=A113)*BXL!$BA$4:$BA$103)</f>
        <v>0</v>
      </c>
      <c r="H113" s="115"/>
      <c r="I113" s="139">
        <f t="shared" si="15"/>
        <v>11701.016969999999</v>
      </c>
      <c r="J113" s="136">
        <f t="shared" si="16"/>
        <v>1128.0108500000001</v>
      </c>
      <c r="K113" s="136">
        <f t="shared" si="16"/>
        <v>10573.00612</v>
      </c>
      <c r="L113" s="136">
        <f t="shared" si="16"/>
        <v>752.89805529824548</v>
      </c>
      <c r="M113" s="136">
        <f t="shared" si="16"/>
        <v>596.58335599999998</v>
      </c>
      <c r="N113" s="115"/>
      <c r="O113" s="131">
        <f>C113*(Hypotheses!H77*Hypotheses!$D$19+Hypotheses!$D$14*(1-Hypotheses!H77))</f>
        <v>0</v>
      </c>
      <c r="P113" s="131">
        <f>C113*(Hypotheses!I77*Hypotheses!$D$19+Hypotheses!$D$14*(1-Hypotheses!I77))</f>
        <v>0</v>
      </c>
      <c r="Q113" s="131">
        <f>C113*(Hypotheses!J77*Hypotheses!$D$19+Hypotheses!$D$14*(1-Hypotheses!J77))</f>
        <v>0</v>
      </c>
      <c r="R113" s="115"/>
      <c r="S113" s="131">
        <f>C113*(Hypotheses!H77*Hypotheses!$D$21+Hypotheses!$D$14*(1-Hypotheses!H77))</f>
        <v>0</v>
      </c>
      <c r="T113" s="131">
        <f>C113*(Hypotheses!I77*Hypotheses!$D$21+Hypotheses!$D$14*(1-Hypotheses!I77))</f>
        <v>0</v>
      </c>
      <c r="U113" s="131">
        <f>C113*(Hypotheses!J77*Hypotheses!$D$21+Hypotheses!$D$14*(1-Hypotheses!J77))</f>
        <v>0</v>
      </c>
      <c r="V113" s="115"/>
      <c r="W113" s="128">
        <f>-C113*Hypotheses!$D$31*Hypotheses!H77</f>
        <v>0</v>
      </c>
      <c r="X113" s="128">
        <f>-C113*Hypotheses!$D$31*Hypotheses!I77</f>
        <v>0</v>
      </c>
      <c r="Y113" s="128">
        <f>-C113*Hypotheses!$D$31*Hypotheses!J77</f>
        <v>0</v>
      </c>
      <c r="Z113" s="126">
        <f>-C113*Hypotheses!$D$30*Hypotheses!H77</f>
        <v>0</v>
      </c>
      <c r="AA113" s="126">
        <f>-C113*Hypotheses!$D$30*Hypotheses!I77</f>
        <v>0</v>
      </c>
      <c r="AB113" s="126">
        <f>-C113*Hypotheses!$D$30*Hypotheses!J77</f>
        <v>0</v>
      </c>
      <c r="AC113" s="115"/>
      <c r="AD113" s="128">
        <f t="shared" si="9"/>
        <v>-496.36124520000004</v>
      </c>
      <c r="AE113" s="128">
        <f t="shared" si="9"/>
        <v>-2198.671438157628</v>
      </c>
      <c r="AF113" s="128">
        <f t="shared" si="9"/>
        <v>-4326.5591793546619</v>
      </c>
      <c r="AG113" s="126">
        <f t="shared" si="9"/>
        <v>-124.09031130000001</v>
      </c>
      <c r="AH113" s="126">
        <f t="shared" si="9"/>
        <v>-549.667859539407</v>
      </c>
      <c r="AI113" s="126">
        <f t="shared" si="9"/>
        <v>-1081.6397948386655</v>
      </c>
      <c r="AJ113" s="115"/>
      <c r="AK113" s="131">
        <f t="shared" si="10"/>
        <v>96.790442814000002</v>
      </c>
      <c r="AL113" s="131">
        <f t="shared" si="10"/>
        <v>88.27889184921186</v>
      </c>
      <c r="AM113" s="131">
        <f t="shared" si="10"/>
        <v>77.639453143226689</v>
      </c>
      <c r="AN113" s="115"/>
      <c r="AO113" s="131">
        <f t="shared" si="11"/>
        <v>104.235861492</v>
      </c>
      <c r="AP113" s="131">
        <f t="shared" si="11"/>
        <v>121.25896342157627</v>
      </c>
      <c r="AQ113" s="131">
        <f t="shared" si="11"/>
        <v>142.53784083354662</v>
      </c>
      <c r="AR113" s="115"/>
      <c r="AS113" s="126">
        <f t="shared" si="12"/>
        <v>-27.299868486000008</v>
      </c>
      <c r="AT113" s="126">
        <f t="shared" si="12"/>
        <v>-461.38896769019516</v>
      </c>
      <c r="AU113" s="126">
        <f t="shared" si="12"/>
        <v>-1004.0003416954388</v>
      </c>
      <c r="AV113" s="115"/>
      <c r="AW113" s="126">
        <f t="shared" si="13"/>
        <v>-19.854449808000012</v>
      </c>
      <c r="AX113" s="126">
        <f t="shared" si="13"/>
        <v>-428.40889611783075</v>
      </c>
      <c r="AY113" s="126">
        <f t="shared" si="13"/>
        <v>-939.10195400511884</v>
      </c>
      <c r="AZ113" s="115"/>
    </row>
    <row r="114" spans="1:52" x14ac:dyDescent="0.25">
      <c r="A114" s="94">
        <v>2059</v>
      </c>
      <c r="B114" s="139" cm="1">
        <f t="array" ref="B114">SUMPRODUCT((BXL!$AA$4:'BXL'!$AA$103=A114)*BXL!$AD$4:$AD$103)+SUMPRODUCT((BXL!$AB$4:'BXL'!$AB$103=A114)*BXL!$AD$4:$AD$103)+SUMPRODUCT((BXL!$AU$4:'BXL'!$AU$103=A114)*BXL!$AX$4:$AX$103)</f>
        <v>0</v>
      </c>
      <c r="C114" s="139" cm="1">
        <f t="array" ref="C114">SUMPRODUCT((BXL!$AA$4:'BXL'!$AA$103=A114)*BXL!$AE$4:$AE$103)+SUMPRODUCT((BXL!$AB$4:'BXL'!$AB$103=A114)*BXL!$AE$4:$AE$103)+SUMPRODUCT((BXL!$AU$4:'BXL'!$AU$103=A114)*BXL!$AY$4:$AY$103)</f>
        <v>0</v>
      </c>
      <c r="D114" s="136" cm="1">
        <f t="array" ref="D114">SUMPRODUCT((BXL!$AA$4:'BXL'!$AA$103=A114)*BXL!$AF$4:$AF$103)+SUMPRODUCT((BXL!$AB$4:'BXL'!$AB$103=A114)*BXL!$AF$4:$AF$103)+SUMPRODUCT((BXL!$AU$4:'BXL'!$AU$103=A114)*BXL!$AV$4:$AV$103)</f>
        <v>0</v>
      </c>
      <c r="E114" s="136" cm="1">
        <f t="array" ref="E114">SUMPRODUCT((BXL!$AA$4:'BXL'!$AA$103=A114)*BXL!$AG$4:$AG$103)+SUMPRODUCT((BXL!$AB$4:'BXL'!$AB$103=A114)*BXL!$AG$4:$AG$103)+SUMPRODUCT((BXL!$AU$4:'BXL'!$AU$103=A114)*BXL!$AW$4:$AW$103)</f>
        <v>0</v>
      </c>
      <c r="F114" s="136" cm="1">
        <f t="array" ref="F114">SUMPRODUCT((BXL!$AA$4:'BXL'!$AA$103=A114)*BXL!$AH$4:$AH$103)+SUMPRODUCT((BXL!$AB$4:'BXL'!$AB$103=A114)*BXL!$AH$4:$AH$103)+SUMPRODUCT((BXL!$AU$4:'BXL'!$AU$103=A114)*BXL!$AZ$4:$AZ$103)</f>
        <v>0</v>
      </c>
      <c r="G114" s="136" cm="1">
        <f t="array" ref="G114">SUMPRODUCT((BXL!$AA$4:'BXL'!$AA$103=A114)*BXL!$AI$4:$AI$103)+SUMPRODUCT((BXL!$AB$4:'BXL'!$AB$103=A114)*BXL!$AI$4:$AI$103)+SUMPRODUCT((BXL!$AU$4:'BXL'!$AU$103=A114)*BXL!$BA$4:$BA$103)</f>
        <v>0</v>
      </c>
      <c r="H114" s="115"/>
      <c r="I114" s="139">
        <f t="shared" si="15"/>
        <v>11701.016969999999</v>
      </c>
      <c r="J114" s="136">
        <f t="shared" si="16"/>
        <v>1128.0108500000001</v>
      </c>
      <c r="K114" s="136">
        <f t="shared" si="16"/>
        <v>10573.00612</v>
      </c>
      <c r="L114" s="136">
        <f t="shared" si="16"/>
        <v>752.89805529824548</v>
      </c>
      <c r="M114" s="136">
        <f t="shared" si="16"/>
        <v>596.58335599999998</v>
      </c>
      <c r="N114" s="115"/>
      <c r="O114" s="131">
        <f>C114*(Hypotheses!H78*Hypotheses!$D$19+Hypotheses!$D$14*(1-Hypotheses!H78))</f>
        <v>0</v>
      </c>
      <c r="P114" s="131">
        <f>C114*(Hypotheses!I78*Hypotheses!$D$19+Hypotheses!$D$14*(1-Hypotheses!I78))</f>
        <v>0</v>
      </c>
      <c r="Q114" s="131">
        <f>C114*(Hypotheses!J78*Hypotheses!$D$19+Hypotheses!$D$14*(1-Hypotheses!J78))</f>
        <v>0</v>
      </c>
      <c r="R114" s="115"/>
      <c r="S114" s="131">
        <f>C114*(Hypotheses!H78*Hypotheses!$D$21+Hypotheses!$D$14*(1-Hypotheses!H78))</f>
        <v>0</v>
      </c>
      <c r="T114" s="131">
        <f>C114*(Hypotheses!I78*Hypotheses!$D$21+Hypotheses!$D$14*(1-Hypotheses!I78))</f>
        <v>0</v>
      </c>
      <c r="U114" s="131">
        <f>C114*(Hypotheses!J78*Hypotheses!$D$21+Hypotheses!$D$14*(1-Hypotheses!J78))</f>
        <v>0</v>
      </c>
      <c r="V114" s="115"/>
      <c r="W114" s="128">
        <f>-C114*Hypotheses!$D$31*Hypotheses!H78</f>
        <v>0</v>
      </c>
      <c r="X114" s="128">
        <f>-C114*Hypotheses!$D$31*Hypotheses!I78</f>
        <v>0</v>
      </c>
      <c r="Y114" s="128">
        <f>-C114*Hypotheses!$D$31*Hypotheses!J78</f>
        <v>0</v>
      </c>
      <c r="Z114" s="126">
        <f>-C114*Hypotheses!$D$30*Hypotheses!H78</f>
        <v>0</v>
      </c>
      <c r="AA114" s="126">
        <f>-C114*Hypotheses!$D$30*Hypotheses!I78</f>
        <v>0</v>
      </c>
      <c r="AB114" s="126">
        <f>-C114*Hypotheses!$D$30*Hypotheses!J78</f>
        <v>0</v>
      </c>
      <c r="AC114" s="115"/>
      <c r="AD114" s="128">
        <f t="shared" si="9"/>
        <v>-496.36124520000004</v>
      </c>
      <c r="AE114" s="128">
        <f t="shared" si="9"/>
        <v>-2198.671438157628</v>
      </c>
      <c r="AF114" s="128">
        <f t="shared" si="9"/>
        <v>-4326.5591793546619</v>
      </c>
      <c r="AG114" s="126">
        <f t="shared" si="9"/>
        <v>-124.09031130000001</v>
      </c>
      <c r="AH114" s="126">
        <f t="shared" si="9"/>
        <v>-549.667859539407</v>
      </c>
      <c r="AI114" s="126">
        <f t="shared" si="9"/>
        <v>-1081.6397948386655</v>
      </c>
      <c r="AJ114" s="115"/>
      <c r="AK114" s="131">
        <f t="shared" si="10"/>
        <v>96.790442814000002</v>
      </c>
      <c r="AL114" s="131">
        <f t="shared" si="10"/>
        <v>88.27889184921186</v>
      </c>
      <c r="AM114" s="131">
        <f t="shared" si="10"/>
        <v>77.639453143226689</v>
      </c>
      <c r="AN114" s="115"/>
      <c r="AO114" s="131">
        <f t="shared" si="11"/>
        <v>104.235861492</v>
      </c>
      <c r="AP114" s="131">
        <f t="shared" si="11"/>
        <v>121.25896342157627</v>
      </c>
      <c r="AQ114" s="131">
        <f t="shared" si="11"/>
        <v>142.53784083354662</v>
      </c>
      <c r="AR114" s="115"/>
      <c r="AS114" s="126">
        <f t="shared" si="12"/>
        <v>-27.299868486000008</v>
      </c>
      <c r="AT114" s="126">
        <f t="shared" si="12"/>
        <v>-461.38896769019516</v>
      </c>
      <c r="AU114" s="126">
        <f t="shared" si="12"/>
        <v>-1004.0003416954388</v>
      </c>
      <c r="AV114" s="115"/>
      <c r="AW114" s="126">
        <f t="shared" si="13"/>
        <v>-19.854449808000012</v>
      </c>
      <c r="AX114" s="126">
        <f t="shared" si="13"/>
        <v>-428.40889611783075</v>
      </c>
      <c r="AY114" s="126">
        <f t="shared" si="13"/>
        <v>-939.10195400511884</v>
      </c>
      <c r="AZ114" s="115"/>
    </row>
    <row r="115" spans="1:52" x14ac:dyDescent="0.25">
      <c r="A115" s="94">
        <v>2060</v>
      </c>
      <c r="B115" s="139" cm="1">
        <f t="array" ref="B115">SUMPRODUCT((BXL!$AA$4:'BXL'!$AA$103=A115)*BXL!$AD$4:$AD$103)+SUMPRODUCT((BXL!$AB$4:'BXL'!$AB$103=A115)*BXL!$AD$4:$AD$103)+SUMPRODUCT((BXL!$AU$4:'BXL'!$AU$103=A115)*BXL!$AX$4:$AX$103)</f>
        <v>49860</v>
      </c>
      <c r="C115" s="139" cm="1">
        <f t="array" ref="C115">SUMPRODUCT((BXL!$AA$4:'BXL'!$AA$103=A115)*BXL!$AE$4:$AE$103)+SUMPRODUCT((BXL!$AB$4:'BXL'!$AB$103=A115)*BXL!$AE$4:$AE$103)+SUMPRODUCT((BXL!$AU$4:'BXL'!$AU$103=A115)*BXL!$AY$4:$AY$103)</f>
        <v>1047.5999999999999</v>
      </c>
      <c r="D115" s="136" cm="1">
        <f t="array" ref="D115">SUMPRODUCT((BXL!$AA$4:'BXL'!$AA$103=A115)*BXL!$AF$4:$AF$103)+SUMPRODUCT((BXL!$AB$4:'BXL'!$AB$103=A115)*BXL!$AF$4:$AF$103)+SUMPRODUCT((BXL!$AU$4:'BXL'!$AU$103=A115)*BXL!$AV$4:$AV$103)</f>
        <v>0</v>
      </c>
      <c r="E115" s="136" cm="1">
        <f t="array" ref="E115">SUMPRODUCT((BXL!$AA$4:'BXL'!$AA$103=A115)*BXL!$AG$4:$AG$103)+SUMPRODUCT((BXL!$AB$4:'BXL'!$AB$103=A115)*BXL!$AG$4:$AG$103)+SUMPRODUCT((BXL!$AU$4:'BXL'!$AU$103=A115)*BXL!$AW$4:$AW$103)</f>
        <v>1047.5999999999999</v>
      </c>
      <c r="F115" s="136" cm="1">
        <f t="array" ref="F115">SUMPRODUCT((BXL!$AA$4:'BXL'!$AA$103=A115)*BXL!$AH$4:$AH$103)+SUMPRODUCT((BXL!$AB$4:'BXL'!$AB$103=A115)*BXL!$AH$4:$AH$103)+SUMPRODUCT((BXL!$AU$4:'BXL'!$AU$103=A115)*BXL!$AZ$4:$AZ$103)</f>
        <v>57.229199999999999</v>
      </c>
      <c r="G115" s="136" cm="1">
        <f t="array" ref="G115">SUMPRODUCT((BXL!$AA$4:'BXL'!$AA$103=A115)*BXL!$AI$4:$AI$103)+SUMPRODUCT((BXL!$AB$4:'BXL'!$AB$103=A115)*BXL!$AI$4:$AI$103)+SUMPRODUCT((BXL!$AU$4:'BXL'!$AU$103=A115)*BXL!$BA$4:$BA$103)</f>
        <v>57.229199999999999</v>
      </c>
      <c r="H115" s="115"/>
      <c r="I115" s="139">
        <f t="shared" si="15"/>
        <v>12748.616969999999</v>
      </c>
      <c r="J115" s="136">
        <f t="shared" si="16"/>
        <v>1128.0108500000001</v>
      </c>
      <c r="K115" s="136">
        <f t="shared" si="16"/>
        <v>11620.60612</v>
      </c>
      <c r="L115" s="136">
        <f t="shared" si="16"/>
        <v>810.12725529824547</v>
      </c>
      <c r="M115" s="136">
        <f t="shared" si="16"/>
        <v>653.81255599999997</v>
      </c>
      <c r="N115" s="115"/>
      <c r="O115" s="131">
        <f>C115*(Hypotheses!H79*Hypotheses!$D$19+Hypotheses!$D$14*(1-Hypotheses!H79))</f>
        <v>12.256919999999999</v>
      </c>
      <c r="P115" s="131">
        <f>C115*(Hypotheses!I79*Hypotheses!$D$19+Hypotheses!$D$14*(1-Hypotheses!I79))</f>
        <v>10.999804684832776</v>
      </c>
      <c r="Q115" s="131">
        <f>C115*(Hypotheses!J79*Hypotheses!$D$19+Hypotheses!$D$14*(1-Hypotheses!J79))</f>
        <v>9.4284105408737471</v>
      </c>
      <c r="R115" s="115"/>
      <c r="S115" s="131">
        <f>C115*(Hypotheses!H79*Hypotheses!$D$21+Hypotheses!$D$14*(1-Hypotheses!H79))</f>
        <v>13.199759999999999</v>
      </c>
      <c r="T115" s="131">
        <f>C115*(Hypotheses!I79*Hypotheses!$D$21+Hypotheses!$D$14*(1-Hypotheses!I79))</f>
        <v>15.713990630334445</v>
      </c>
      <c r="U115" s="131">
        <f>C115*(Hypotheses!J79*Hypotheses!$D$21+Hypotheses!$D$14*(1-Hypotheses!J79))</f>
        <v>18.856778918252502</v>
      </c>
      <c r="V115" s="115"/>
      <c r="W115" s="128">
        <f>-C115*Hypotheses!$D$31*Hypotheses!H79</f>
        <v>-62.855999999999995</v>
      </c>
      <c r="X115" s="128">
        <f>-C115*Hypotheses!$D$31*Hypotheses!I79</f>
        <v>-314.27906303344463</v>
      </c>
      <c r="Y115" s="128">
        <f>-C115*Hypotheses!$D$31*Hypotheses!J79</f>
        <v>-628.55789182525029</v>
      </c>
      <c r="Z115" s="126">
        <f>-C115*Hypotheses!$D$30*Hypotheses!H79</f>
        <v>-15.713999999999999</v>
      </c>
      <c r="AA115" s="126">
        <f>-C115*Hypotheses!$D$30*Hypotheses!I79</f>
        <v>-78.569765758361157</v>
      </c>
      <c r="AB115" s="126">
        <f>-C115*Hypotheses!$D$30*Hypotheses!J79</f>
        <v>-157.13947295631257</v>
      </c>
      <c r="AC115" s="115"/>
      <c r="AD115" s="128">
        <f t="shared" si="9"/>
        <v>-559.21724519999998</v>
      </c>
      <c r="AE115" s="128">
        <f t="shared" si="9"/>
        <v>-2512.9505011910728</v>
      </c>
      <c r="AF115" s="128">
        <f t="shared" si="9"/>
        <v>-4955.1170711799123</v>
      </c>
      <c r="AG115" s="126">
        <f t="shared" si="9"/>
        <v>-139.80431129999999</v>
      </c>
      <c r="AH115" s="126">
        <f t="shared" si="9"/>
        <v>-628.2376252977682</v>
      </c>
      <c r="AI115" s="126">
        <f t="shared" si="9"/>
        <v>-1238.7792677949781</v>
      </c>
      <c r="AJ115" s="115"/>
      <c r="AK115" s="131">
        <f t="shared" si="10"/>
        <v>109.047362814</v>
      </c>
      <c r="AL115" s="131">
        <f t="shared" si="10"/>
        <v>99.278696534044641</v>
      </c>
      <c r="AM115" s="131">
        <f t="shared" si="10"/>
        <v>87.067863684100431</v>
      </c>
      <c r="AN115" s="115"/>
      <c r="AO115" s="131">
        <f t="shared" si="11"/>
        <v>117.435621492</v>
      </c>
      <c r="AP115" s="131">
        <f t="shared" si="11"/>
        <v>136.9729540519107</v>
      </c>
      <c r="AQ115" s="131">
        <f t="shared" si="11"/>
        <v>161.39461975179913</v>
      </c>
      <c r="AR115" s="115"/>
      <c r="AS115" s="126">
        <f t="shared" si="12"/>
        <v>-30.756948485999999</v>
      </c>
      <c r="AT115" s="126">
        <f t="shared" si="12"/>
        <v>-528.95892876372352</v>
      </c>
      <c r="AU115" s="126">
        <f t="shared" si="12"/>
        <v>-1151.7114041108775</v>
      </c>
      <c r="AV115" s="115"/>
      <c r="AW115" s="126">
        <f t="shared" si="13"/>
        <v>-22.368689807999999</v>
      </c>
      <c r="AX115" s="126">
        <f t="shared" si="13"/>
        <v>-491.26467124585747</v>
      </c>
      <c r="AY115" s="126">
        <f t="shared" si="13"/>
        <v>-1077.3846480431789</v>
      </c>
      <c r="AZ115" s="115"/>
    </row>
    <row r="116" spans="1:52" x14ac:dyDescent="0.25">
      <c r="A116" s="94">
        <v>2061</v>
      </c>
      <c r="B116" s="139" cm="1">
        <f t="array" ref="B116">SUMPRODUCT((BXL!$AA$4:'BXL'!$AA$103=A116)*BXL!$AD$4:$AD$103)+SUMPRODUCT((BXL!$AB$4:'BXL'!$AB$103=A116)*BXL!$AD$4:$AD$103)+SUMPRODUCT((BXL!$AU$4:'BXL'!$AU$103=A116)*BXL!$AX$4:$AX$103)</f>
        <v>20160</v>
      </c>
      <c r="C116" s="139" cm="1">
        <f t="array" ref="C116">SUMPRODUCT((BXL!$AA$4:'BXL'!$AA$103=A116)*BXL!$AE$4:$AE$103)+SUMPRODUCT((BXL!$AB$4:'BXL'!$AB$103=A116)*BXL!$AE$4:$AE$103)+SUMPRODUCT((BXL!$AU$4:'BXL'!$AU$103=A116)*BXL!$AY$4:$AY$103)</f>
        <v>453.6</v>
      </c>
      <c r="D116" s="136" cm="1">
        <f t="array" ref="D116">SUMPRODUCT((BXL!$AA$4:'BXL'!$AA$103=A116)*BXL!$AF$4:$AF$103)+SUMPRODUCT((BXL!$AB$4:'BXL'!$AB$103=A116)*BXL!$AF$4:$AF$103)+SUMPRODUCT((BXL!$AU$4:'BXL'!$AU$103=A116)*BXL!$AV$4:$AV$103)</f>
        <v>0</v>
      </c>
      <c r="E116" s="136" cm="1">
        <f t="array" ref="E116">SUMPRODUCT((BXL!$AA$4:'BXL'!$AA$103=A116)*BXL!$AG$4:$AG$103)+SUMPRODUCT((BXL!$AB$4:'BXL'!$AB$103=A116)*BXL!$AG$4:$AG$103)+SUMPRODUCT((BXL!$AU$4:'BXL'!$AU$103=A116)*BXL!$AW$4:$AW$103)</f>
        <v>453.6</v>
      </c>
      <c r="F116" s="136" cm="1">
        <f t="array" ref="F116">SUMPRODUCT((BXL!$AA$4:'BXL'!$AA$103=A116)*BXL!$AH$4:$AH$103)+SUMPRODUCT((BXL!$AB$4:'BXL'!$AB$103=A116)*BXL!$AH$4:$AH$103)+SUMPRODUCT((BXL!$AU$4:'BXL'!$AU$103=A116)*BXL!$AZ$4:$AZ$103)</f>
        <v>22.5792</v>
      </c>
      <c r="G116" s="136" cm="1">
        <f t="array" ref="G116">SUMPRODUCT((BXL!$AA$4:'BXL'!$AA$103=A116)*BXL!$AI$4:$AI$103)+SUMPRODUCT((BXL!$AB$4:'BXL'!$AB$103=A116)*BXL!$AI$4:$AI$103)+SUMPRODUCT((BXL!$AU$4:'BXL'!$AU$103=A116)*BXL!$BA$4:$BA$103)</f>
        <v>22.5792</v>
      </c>
      <c r="H116" s="115"/>
      <c r="I116" s="139">
        <f t="shared" si="15"/>
        <v>13202.216969999999</v>
      </c>
      <c r="J116" s="136">
        <f t="shared" si="16"/>
        <v>1128.0108500000001</v>
      </c>
      <c r="K116" s="136">
        <f t="shared" si="16"/>
        <v>12074.206120000001</v>
      </c>
      <c r="L116" s="136">
        <f t="shared" si="16"/>
        <v>832.70645529824549</v>
      </c>
      <c r="M116" s="136">
        <f t="shared" si="16"/>
        <v>676.39175599999999</v>
      </c>
      <c r="N116" s="115"/>
      <c r="O116" s="131">
        <f>C116*(Hypotheses!H80*Hypotheses!$D$19+Hypotheses!$D$14*(1-Hypotheses!H80))</f>
        <v>5.3071200000000003</v>
      </c>
      <c r="P116" s="131">
        <f>C116*(Hypotheses!I80*Hypotheses!$D$19+Hypotheses!$D$14*(1-Hypotheses!I80))</f>
        <v>4.762801230339722</v>
      </c>
      <c r="Q116" s="131">
        <f>C116*(Hypotheses!J80*Hypotheses!$D$19+Hypotheses!$D$14*(1-Hypotheses!J80))</f>
        <v>4.0824027682643749</v>
      </c>
      <c r="R116" s="115"/>
      <c r="S116" s="131">
        <f>C116*(Hypotheses!H80*Hypotheses!$D$21+Hypotheses!$D$14*(1-Hypotheses!H80))</f>
        <v>5.7153600000000004</v>
      </c>
      <c r="T116" s="131">
        <f>C116*(Hypotheses!I80*Hypotheses!$D$21+Hypotheses!$D$14*(1-Hypotheses!I80))</f>
        <v>6.803997539320557</v>
      </c>
      <c r="U116" s="131">
        <f>C116*(Hypotheses!J80*Hypotheses!$D$21+Hypotheses!$D$14*(1-Hypotheses!J80))</f>
        <v>8.164794463471253</v>
      </c>
      <c r="V116" s="115"/>
      <c r="W116" s="128">
        <f>-C116*Hypotheses!$D$31*Hypotheses!H80</f>
        <v>-27.216000000000005</v>
      </c>
      <c r="X116" s="128">
        <f>-C116*Hypotheses!$D$31*Hypotheses!I80</f>
        <v>-136.07975393205564</v>
      </c>
      <c r="Y116" s="128">
        <f>-C116*Hypotheses!$D$31*Hypotheses!J80</f>
        <v>-272.1594463471252</v>
      </c>
      <c r="Z116" s="126">
        <f>-C116*Hypotheses!$D$30*Hypotheses!H80</f>
        <v>-6.8040000000000012</v>
      </c>
      <c r="AA116" s="126">
        <f>-C116*Hypotheses!$D$30*Hypotheses!I80</f>
        <v>-34.01993848301391</v>
      </c>
      <c r="AB116" s="126">
        <f>-C116*Hypotheses!$D$30*Hypotheses!J80</f>
        <v>-68.039861586781299</v>
      </c>
      <c r="AC116" s="115"/>
      <c r="AD116" s="128">
        <f t="shared" si="9"/>
        <v>-586.43324519999999</v>
      </c>
      <c r="AE116" s="128">
        <f t="shared" si="9"/>
        <v>-2649.0302551231284</v>
      </c>
      <c r="AF116" s="128">
        <f t="shared" si="9"/>
        <v>-5227.2765175270379</v>
      </c>
      <c r="AG116" s="126">
        <f t="shared" si="9"/>
        <v>-146.6083113</v>
      </c>
      <c r="AH116" s="126">
        <f t="shared" si="9"/>
        <v>-662.25756378078211</v>
      </c>
      <c r="AI116" s="126">
        <f t="shared" si="9"/>
        <v>-1306.8191293817595</v>
      </c>
      <c r="AJ116" s="115"/>
      <c r="AK116" s="131">
        <f t="shared" si="10"/>
        <v>114.35448281399999</v>
      </c>
      <c r="AL116" s="131">
        <f t="shared" si="10"/>
        <v>104.04149776438436</v>
      </c>
      <c r="AM116" s="131">
        <f t="shared" si="10"/>
        <v>91.150266452364804</v>
      </c>
      <c r="AN116" s="115"/>
      <c r="AO116" s="131">
        <f t="shared" si="11"/>
        <v>123.150981492</v>
      </c>
      <c r="AP116" s="131">
        <f t="shared" si="11"/>
        <v>143.77695159123127</v>
      </c>
      <c r="AQ116" s="131">
        <f t="shared" si="11"/>
        <v>169.55941421527038</v>
      </c>
      <c r="AR116" s="115"/>
      <c r="AS116" s="126">
        <f t="shared" si="12"/>
        <v>-32.253828486000003</v>
      </c>
      <c r="AT116" s="126">
        <f t="shared" si="12"/>
        <v>-558.21606601639769</v>
      </c>
      <c r="AU116" s="126">
        <f t="shared" si="12"/>
        <v>-1215.6688629293947</v>
      </c>
      <c r="AV116" s="115"/>
      <c r="AW116" s="126">
        <f t="shared" si="13"/>
        <v>-23.457329807999997</v>
      </c>
      <c r="AX116" s="126">
        <f t="shared" si="13"/>
        <v>-518.48061218955081</v>
      </c>
      <c r="AY116" s="126">
        <f t="shared" si="13"/>
        <v>-1137.2597151664891</v>
      </c>
      <c r="AZ116" s="115"/>
    </row>
    <row r="117" spans="1:52" x14ac:dyDescent="0.25">
      <c r="A117" s="94">
        <v>2062</v>
      </c>
      <c r="B117" s="139" cm="1">
        <f t="array" ref="B117">SUMPRODUCT((BXL!$AA$4:'BXL'!$AA$103=A117)*BXL!$AD$4:$AD$103)+SUMPRODUCT((BXL!$AB$4:'BXL'!$AB$103=A117)*BXL!$AD$4:$AD$103)+SUMPRODUCT((BXL!$AU$4:'BXL'!$AU$103=A117)*BXL!$AX$4:$AX$103)</f>
        <v>26565</v>
      </c>
      <c r="C117" s="139" cm="1">
        <f t="array" ref="C117">SUMPRODUCT((BXL!$AA$4:'BXL'!$AA$103=A117)*BXL!$AE$4:$AE$103)+SUMPRODUCT((BXL!$AB$4:'BXL'!$AB$103=A117)*BXL!$AE$4:$AE$103)+SUMPRODUCT((BXL!$AU$4:'BXL'!$AU$103=A117)*BXL!$AY$4:$AY$103)</f>
        <v>531.30000000000007</v>
      </c>
      <c r="D117" s="136" cm="1">
        <f t="array" ref="D117">SUMPRODUCT((BXL!$AA$4:'BXL'!$AA$103=A117)*BXL!$AF$4:$AF$103)+SUMPRODUCT((BXL!$AB$4:'BXL'!$AB$103=A117)*BXL!$AF$4:$AF$103)+SUMPRODUCT((BXL!$AU$4:'BXL'!$AU$103=A117)*BXL!$AV$4:$AV$103)</f>
        <v>0</v>
      </c>
      <c r="E117" s="136" cm="1">
        <f t="array" ref="E117">SUMPRODUCT((BXL!$AA$4:'BXL'!$AA$103=A117)*BXL!$AG$4:$AG$103)+SUMPRODUCT((BXL!$AB$4:'BXL'!$AB$103=A117)*BXL!$AG$4:$AG$103)+SUMPRODUCT((BXL!$AU$4:'BXL'!$AU$103=A117)*BXL!$AW$4:$AW$103)</f>
        <v>531.30000000000007</v>
      </c>
      <c r="F117" s="136" cm="1">
        <f t="array" ref="F117">SUMPRODUCT((BXL!$AA$4:'BXL'!$AA$103=A117)*BXL!$AH$4:$AH$103)+SUMPRODUCT((BXL!$AB$4:'BXL'!$AB$103=A117)*BXL!$AH$4:$AH$103)+SUMPRODUCT((BXL!$AU$4:'BXL'!$AU$103=A117)*BXL!$AZ$4:$AZ$103)</f>
        <v>36.225000000000001</v>
      </c>
      <c r="G117" s="136" cm="1">
        <f t="array" ref="G117">SUMPRODUCT((BXL!$AA$4:'BXL'!$AA$103=A117)*BXL!$AI$4:$AI$103)+SUMPRODUCT((BXL!$AB$4:'BXL'!$AB$103=A117)*BXL!$AI$4:$AI$103)+SUMPRODUCT((BXL!$AU$4:'BXL'!$AU$103=A117)*BXL!$BA$4:$BA$103)</f>
        <v>36.225000000000001</v>
      </c>
      <c r="H117" s="115"/>
      <c r="I117" s="139">
        <f t="shared" si="15"/>
        <v>13733.516969999999</v>
      </c>
      <c r="J117" s="136">
        <f t="shared" si="16"/>
        <v>1128.0108500000001</v>
      </c>
      <c r="K117" s="136">
        <f t="shared" si="16"/>
        <v>12605.50612</v>
      </c>
      <c r="L117" s="136">
        <f t="shared" si="16"/>
        <v>868.93145529824551</v>
      </c>
      <c r="M117" s="136">
        <f t="shared" si="16"/>
        <v>712.61675600000001</v>
      </c>
      <c r="N117" s="115"/>
      <c r="O117" s="131">
        <f>C117*(Hypotheses!H81*Hypotheses!$D$19+Hypotheses!$D$14*(1-Hypotheses!H81))</f>
        <v>6.2162100000000011</v>
      </c>
      <c r="P117" s="131">
        <f>C117*(Hypotheses!I81*Hypotheses!$D$19+Hypotheses!$D$14*(1-Hypotheses!I81))</f>
        <v>5.5786508740674776</v>
      </c>
      <c r="Q117" s="131">
        <f>C117*(Hypotheses!J81*Hypotheses!$D$19+Hypotheses!$D$14*(1-Hypotheses!J81))</f>
        <v>4.7817019666518243</v>
      </c>
      <c r="R117" s="115"/>
      <c r="S117" s="131">
        <f>C117*(Hypotheses!H81*Hypotheses!$D$21+Hypotheses!$D$14*(1-Hypotheses!H81))</f>
        <v>6.6943800000000007</v>
      </c>
      <c r="T117" s="131">
        <f>C117*(Hypotheses!I81*Hypotheses!$D$21+Hypotheses!$D$14*(1-Hypotheses!I81))</f>
        <v>7.9694982518650468</v>
      </c>
      <c r="U117" s="131">
        <f>C117*(Hypotheses!J81*Hypotheses!$D$21+Hypotheses!$D$14*(1-Hypotheses!J81))</f>
        <v>9.563396066696356</v>
      </c>
      <c r="V117" s="115"/>
      <c r="W117" s="128">
        <f>-C117*Hypotheses!$D$31*Hypotheses!H81</f>
        <v>-31.878000000000004</v>
      </c>
      <c r="X117" s="128">
        <f>-C117*Hypotheses!$D$31*Hypotheses!I81</f>
        <v>-159.38982518650465</v>
      </c>
      <c r="Y117" s="128">
        <f>-C117*Hypotheses!$D$31*Hypotheses!J81</f>
        <v>-318.77960666963543</v>
      </c>
      <c r="Z117" s="126">
        <f>-C117*Hypotheses!$D$30*Hypotheses!H81</f>
        <v>-7.9695000000000009</v>
      </c>
      <c r="AA117" s="126">
        <f>-C117*Hypotheses!$D$30*Hypotheses!I81</f>
        <v>-39.847456296626163</v>
      </c>
      <c r="AB117" s="126">
        <f>-C117*Hypotheses!$D$30*Hypotheses!J81</f>
        <v>-79.694901667408857</v>
      </c>
      <c r="AC117" s="115"/>
      <c r="AD117" s="128">
        <f t="shared" si="9"/>
        <v>-618.31124520000003</v>
      </c>
      <c r="AE117" s="128">
        <f t="shared" si="9"/>
        <v>-2808.4200803096332</v>
      </c>
      <c r="AF117" s="128">
        <f t="shared" si="9"/>
        <v>-5546.0561241966734</v>
      </c>
      <c r="AG117" s="126">
        <f t="shared" si="9"/>
        <v>-154.57781130000001</v>
      </c>
      <c r="AH117" s="126">
        <f t="shared" si="9"/>
        <v>-702.10502007740831</v>
      </c>
      <c r="AI117" s="126">
        <f t="shared" si="9"/>
        <v>-1386.5140310491684</v>
      </c>
      <c r="AJ117" s="115"/>
      <c r="AK117" s="131">
        <f t="shared" si="10"/>
        <v>120.570692814</v>
      </c>
      <c r="AL117" s="131">
        <f t="shared" si="10"/>
        <v>109.62014863845184</v>
      </c>
      <c r="AM117" s="131">
        <f t="shared" si="10"/>
        <v>95.931968419016627</v>
      </c>
      <c r="AN117" s="115"/>
      <c r="AO117" s="131">
        <f t="shared" si="11"/>
        <v>129.84536149199999</v>
      </c>
      <c r="AP117" s="131">
        <f t="shared" si="11"/>
        <v>151.74644984309631</v>
      </c>
      <c r="AQ117" s="131">
        <f t="shared" si="11"/>
        <v>179.12281028196674</v>
      </c>
      <c r="AR117" s="115"/>
      <c r="AS117" s="126">
        <f t="shared" si="12"/>
        <v>-34.00711848600001</v>
      </c>
      <c r="AT117" s="126">
        <f t="shared" si="12"/>
        <v>-592.48487143895647</v>
      </c>
      <c r="AU117" s="126">
        <f t="shared" si="12"/>
        <v>-1290.5820626301518</v>
      </c>
      <c r="AV117" s="115"/>
      <c r="AW117" s="126">
        <f t="shared" si="13"/>
        <v>-24.732449808000013</v>
      </c>
      <c r="AX117" s="126">
        <f t="shared" si="13"/>
        <v>-550.35857023431197</v>
      </c>
      <c r="AY117" s="126">
        <f t="shared" si="13"/>
        <v>-1207.3912207672015</v>
      </c>
      <c r="AZ117" s="115"/>
    </row>
    <row r="118" spans="1:52" x14ac:dyDescent="0.25">
      <c r="A118" s="94">
        <v>2063</v>
      </c>
      <c r="B118" s="139" cm="1">
        <f t="array" ref="B118">SUMPRODUCT((BXL!$AA$4:'BXL'!$AA$103=A118)*BXL!$AD$4:$AD$103)+SUMPRODUCT((BXL!$AB$4:'BXL'!$AB$103=A118)*BXL!$AD$4:$AD$103)+SUMPRODUCT((BXL!$AU$4:'BXL'!$AU$103=A118)*BXL!$AX$4:$AX$103)</f>
        <v>62000</v>
      </c>
      <c r="C118" s="139" cm="1">
        <f t="array" ref="C118">SUMPRODUCT((BXL!$AA$4:'BXL'!$AA$103=A118)*BXL!$AE$4:$AE$103)+SUMPRODUCT((BXL!$AB$4:'BXL'!$AB$103=A118)*BXL!$AE$4:$AE$103)+SUMPRODUCT((BXL!$AU$4:'BXL'!$AU$103=A118)*BXL!$AY$4:$AY$103)</f>
        <v>1240</v>
      </c>
      <c r="D118" s="136" cm="1">
        <f t="array" ref="D118">SUMPRODUCT((BXL!$AA$4:'BXL'!$AA$103=A118)*BXL!$AF$4:$AF$103)+SUMPRODUCT((BXL!$AB$4:'BXL'!$AB$103=A118)*BXL!$AF$4:$AF$103)+SUMPRODUCT((BXL!$AU$4:'BXL'!$AU$103=A118)*BXL!$AV$4:$AV$103)</f>
        <v>240</v>
      </c>
      <c r="E118" s="136" cm="1">
        <f t="array" ref="E118">SUMPRODUCT((BXL!$AA$4:'BXL'!$AA$103=A118)*BXL!$AG$4:$AG$103)+SUMPRODUCT((BXL!$AB$4:'BXL'!$AB$103=A118)*BXL!$AG$4:$AG$103)+SUMPRODUCT((BXL!$AU$4:'BXL'!$AU$103=A118)*BXL!$AW$4:$AW$103)</f>
        <v>1000</v>
      </c>
      <c r="F118" s="136" cm="1">
        <f t="array" ref="F118">SUMPRODUCT((BXL!$AA$4:'BXL'!$AA$103=A118)*BXL!$AH$4:$AH$103)+SUMPRODUCT((BXL!$AB$4:'BXL'!$AB$103=A118)*BXL!$AH$4:$AH$103)+SUMPRODUCT((BXL!$AU$4:'BXL'!$AU$103=A118)*BXL!$AZ$4:$AZ$103)</f>
        <v>133.33333333333334</v>
      </c>
      <c r="G118" s="136" cm="1">
        <f t="array" ref="G118">SUMPRODUCT((BXL!$AA$4:'BXL'!$AA$103=A118)*BXL!$AI$4:$AI$103)+SUMPRODUCT((BXL!$AB$4:'BXL'!$AB$103=A118)*BXL!$AI$4:$AI$103)+SUMPRODUCT((BXL!$AU$4:'BXL'!$AU$103=A118)*BXL!$BA$4:$BA$103)</f>
        <v>66.666666666666671</v>
      </c>
      <c r="H118" s="115"/>
      <c r="I118" s="139">
        <f t="shared" si="15"/>
        <v>14973.516969999999</v>
      </c>
      <c r="J118" s="136">
        <f t="shared" si="16"/>
        <v>1368.0108500000001</v>
      </c>
      <c r="K118" s="136">
        <f t="shared" si="16"/>
        <v>13605.50612</v>
      </c>
      <c r="L118" s="136">
        <f t="shared" si="16"/>
        <v>1002.2647886315789</v>
      </c>
      <c r="M118" s="136">
        <f t="shared" si="16"/>
        <v>779.28342266666664</v>
      </c>
      <c r="N118" s="115"/>
      <c r="O118" s="131">
        <f>C118*(Hypotheses!H82*Hypotheses!$D$19+Hypotheses!$D$14*(1-Hypotheses!H82))</f>
        <v>14.508000000000001</v>
      </c>
      <c r="P118" s="131">
        <f>C118*(Hypotheses!I82*Hypotheses!$D$19+Hypotheses!$D$14*(1-Hypotheses!I82))</f>
        <v>13.020001237313704</v>
      </c>
      <c r="Q118" s="131">
        <f>C118*(Hypotheses!J82*Hypotheses!$D$19+Hypotheses!$D$14*(1-Hypotheses!J82))</f>
        <v>11.160002783955838</v>
      </c>
      <c r="R118" s="115"/>
      <c r="S118" s="131">
        <f>C118*(Hypotheses!H82*Hypotheses!$D$21+Hypotheses!$D$14*(1-Hypotheses!H82))</f>
        <v>15.624000000000001</v>
      </c>
      <c r="T118" s="131">
        <f>C118*(Hypotheses!I82*Hypotheses!$D$21+Hypotheses!$D$14*(1-Hypotheses!I82))</f>
        <v>18.59999752537259</v>
      </c>
      <c r="U118" s="131">
        <f>C118*(Hypotheses!J82*Hypotheses!$D$21+Hypotheses!$D$14*(1-Hypotheses!J82))</f>
        <v>22.319994432088325</v>
      </c>
      <c r="V118" s="115"/>
      <c r="W118" s="128">
        <f>-C118*Hypotheses!$D$31*Hypotheses!H82</f>
        <v>-74.400000000000006</v>
      </c>
      <c r="X118" s="128">
        <f>-C118*Hypotheses!$D$31*Hypotheses!I82</f>
        <v>-371.99975253725893</v>
      </c>
      <c r="Y118" s="128">
        <f>-C118*Hypotheses!$D$31*Hypotheses!J82</f>
        <v>-743.99944320883264</v>
      </c>
      <c r="Z118" s="126">
        <f>-C118*Hypotheses!$D$30*Hypotheses!H82</f>
        <v>-18.600000000000001</v>
      </c>
      <c r="AA118" s="126">
        <f>-C118*Hypotheses!$D$30*Hypotheses!I82</f>
        <v>-92.999938134314732</v>
      </c>
      <c r="AB118" s="126">
        <f>-C118*Hypotheses!$D$30*Hypotheses!J82</f>
        <v>-185.99986080220816</v>
      </c>
      <c r="AC118" s="115"/>
      <c r="AD118" s="128">
        <f t="shared" si="9"/>
        <v>-692.71124520000001</v>
      </c>
      <c r="AE118" s="128">
        <f t="shared" si="9"/>
        <v>-3180.4198328468919</v>
      </c>
      <c r="AF118" s="128">
        <f t="shared" si="9"/>
        <v>-6290.0555674055058</v>
      </c>
      <c r="AG118" s="126">
        <f t="shared" si="9"/>
        <v>-173.1778113</v>
      </c>
      <c r="AH118" s="126">
        <f t="shared" si="9"/>
        <v>-795.10495821172299</v>
      </c>
      <c r="AI118" s="126">
        <f t="shared" si="9"/>
        <v>-1572.5138918513765</v>
      </c>
      <c r="AJ118" s="115"/>
      <c r="AK118" s="131">
        <f t="shared" si="10"/>
        <v>135.07869281399999</v>
      </c>
      <c r="AL118" s="131">
        <f t="shared" si="10"/>
        <v>122.64014987576554</v>
      </c>
      <c r="AM118" s="131">
        <f t="shared" si="10"/>
        <v>107.09197120297246</v>
      </c>
      <c r="AN118" s="115"/>
      <c r="AO118" s="131">
        <f t="shared" si="11"/>
        <v>145.46936149199999</v>
      </c>
      <c r="AP118" s="131">
        <f t="shared" si="11"/>
        <v>170.34644736846892</v>
      </c>
      <c r="AQ118" s="131">
        <f t="shared" si="11"/>
        <v>201.44280471405506</v>
      </c>
      <c r="AR118" s="115"/>
      <c r="AS118" s="126">
        <f t="shared" si="12"/>
        <v>-38.099118486000009</v>
      </c>
      <c r="AT118" s="126">
        <f t="shared" si="12"/>
        <v>-672.4648083359574</v>
      </c>
      <c r="AU118" s="126">
        <f t="shared" si="12"/>
        <v>-1465.421920648404</v>
      </c>
      <c r="AV118" s="115"/>
      <c r="AW118" s="126">
        <f t="shared" si="13"/>
        <v>-27.708449808000012</v>
      </c>
      <c r="AX118" s="126">
        <f t="shared" si="13"/>
        <v>-624.75851084325404</v>
      </c>
      <c r="AY118" s="126">
        <f t="shared" si="13"/>
        <v>-1371.0710871373215</v>
      </c>
      <c r="AZ118" s="115"/>
    </row>
    <row r="119" spans="1:52" x14ac:dyDescent="0.25">
      <c r="A119" s="94">
        <v>2064</v>
      </c>
      <c r="B119" s="139" cm="1">
        <f t="array" ref="B119">SUMPRODUCT((BXL!$AA$4:'BXL'!$AA$103=A119)*BXL!$AD$4:$AD$103)+SUMPRODUCT((BXL!$AB$4:'BXL'!$AB$103=A119)*BXL!$AD$4:$AD$103)+SUMPRODUCT((BXL!$AU$4:'BXL'!$AU$103=A119)*BXL!$AX$4:$AX$103)</f>
        <v>0</v>
      </c>
      <c r="C119" s="139" cm="1">
        <f t="array" ref="C119">SUMPRODUCT((BXL!$AA$4:'BXL'!$AA$103=A119)*BXL!$AE$4:$AE$103)+SUMPRODUCT((BXL!$AB$4:'BXL'!$AB$103=A119)*BXL!$AE$4:$AE$103)+SUMPRODUCT((BXL!$AU$4:'BXL'!$AU$103=A119)*BXL!$AY$4:$AY$103)</f>
        <v>0</v>
      </c>
      <c r="D119" s="136" cm="1">
        <f t="array" ref="D119">SUMPRODUCT((BXL!$AA$4:'BXL'!$AA$103=A119)*BXL!$AF$4:$AF$103)+SUMPRODUCT((BXL!$AB$4:'BXL'!$AB$103=A119)*BXL!$AF$4:$AF$103)+SUMPRODUCT((BXL!$AU$4:'BXL'!$AU$103=A119)*BXL!$AV$4:$AV$103)</f>
        <v>0</v>
      </c>
      <c r="E119" s="136" cm="1">
        <f t="array" ref="E119">SUMPRODUCT((BXL!$AA$4:'BXL'!$AA$103=A119)*BXL!$AG$4:$AG$103)+SUMPRODUCT((BXL!$AB$4:'BXL'!$AB$103=A119)*BXL!$AG$4:$AG$103)+SUMPRODUCT((BXL!$AU$4:'BXL'!$AU$103=A119)*BXL!$AW$4:$AW$103)</f>
        <v>0</v>
      </c>
      <c r="F119" s="136" cm="1">
        <f t="array" ref="F119">SUMPRODUCT((BXL!$AA$4:'BXL'!$AA$103=A119)*BXL!$AH$4:$AH$103)+SUMPRODUCT((BXL!$AB$4:'BXL'!$AB$103=A119)*BXL!$AH$4:$AH$103)+SUMPRODUCT((BXL!$AU$4:'BXL'!$AU$103=A119)*BXL!$AZ$4:$AZ$103)</f>
        <v>0</v>
      </c>
      <c r="G119" s="136" cm="1">
        <f t="array" ref="G119">SUMPRODUCT((BXL!$AA$4:'BXL'!$AA$103=A119)*BXL!$AI$4:$AI$103)+SUMPRODUCT((BXL!$AB$4:'BXL'!$AB$103=A119)*BXL!$AI$4:$AI$103)+SUMPRODUCT((BXL!$AU$4:'BXL'!$AU$103=A119)*BXL!$BA$4:$BA$103)</f>
        <v>0</v>
      </c>
      <c r="H119" s="115"/>
      <c r="I119" s="139">
        <f t="shared" si="15"/>
        <v>14973.516969999999</v>
      </c>
      <c r="J119" s="136">
        <f t="shared" ref="J119:M125" si="17">D119+J118</f>
        <v>1368.0108500000001</v>
      </c>
      <c r="K119" s="136">
        <f t="shared" si="17"/>
        <v>13605.50612</v>
      </c>
      <c r="L119" s="136">
        <f t="shared" si="17"/>
        <v>1002.2647886315789</v>
      </c>
      <c r="M119" s="136">
        <f t="shared" si="17"/>
        <v>779.28342266666664</v>
      </c>
      <c r="N119" s="115"/>
      <c r="O119" s="131">
        <f>C119*(Hypotheses!H83*Hypotheses!$D$19+Hypotheses!$D$14*(1-Hypotheses!H83))</f>
        <v>0</v>
      </c>
      <c r="P119" s="131">
        <f>C119*(Hypotheses!I83*Hypotheses!$D$19+Hypotheses!$D$14*(1-Hypotheses!I83))</f>
        <v>0</v>
      </c>
      <c r="Q119" s="131">
        <f>C119*(Hypotheses!J83*Hypotheses!$D$19+Hypotheses!$D$14*(1-Hypotheses!J83))</f>
        <v>0</v>
      </c>
      <c r="R119" s="115"/>
      <c r="S119" s="131">
        <f>C119*(Hypotheses!H83*Hypotheses!$D$21+Hypotheses!$D$14*(1-Hypotheses!H83))</f>
        <v>0</v>
      </c>
      <c r="T119" s="131">
        <f>C119*(Hypotheses!I83*Hypotheses!$D$21+Hypotheses!$D$14*(1-Hypotheses!I83))</f>
        <v>0</v>
      </c>
      <c r="U119" s="131">
        <f>C119*(Hypotheses!J83*Hypotheses!$D$21+Hypotheses!$D$14*(1-Hypotheses!J83))</f>
        <v>0</v>
      </c>
      <c r="V119" s="115"/>
      <c r="W119" s="128">
        <f>-C119*Hypotheses!$D$31*Hypotheses!H83</f>
        <v>0</v>
      </c>
      <c r="X119" s="128">
        <f>-C119*Hypotheses!$D$31*Hypotheses!I83</f>
        <v>0</v>
      </c>
      <c r="Y119" s="128">
        <f>-C119*Hypotheses!$D$31*Hypotheses!J83</f>
        <v>0</v>
      </c>
      <c r="Z119" s="126">
        <f>-C119*Hypotheses!$D$30*Hypotheses!H83</f>
        <v>0</v>
      </c>
      <c r="AA119" s="126">
        <f>-C119*Hypotheses!$D$30*Hypotheses!I83</f>
        <v>0</v>
      </c>
      <c r="AB119" s="126">
        <f>-C119*Hypotheses!$D$30*Hypotheses!J83</f>
        <v>0</v>
      </c>
      <c r="AC119" s="115"/>
      <c r="AD119" s="128">
        <f t="shared" si="9"/>
        <v>-692.71124520000001</v>
      </c>
      <c r="AE119" s="128">
        <f t="shared" si="9"/>
        <v>-3180.4198328468919</v>
      </c>
      <c r="AF119" s="128">
        <f t="shared" si="9"/>
        <v>-6290.0555674055058</v>
      </c>
      <c r="AG119" s="126">
        <f t="shared" si="9"/>
        <v>-173.1778113</v>
      </c>
      <c r="AH119" s="126">
        <f t="shared" si="9"/>
        <v>-795.10495821172299</v>
      </c>
      <c r="AI119" s="126">
        <f t="shared" si="9"/>
        <v>-1572.5138918513765</v>
      </c>
      <c r="AJ119" s="115"/>
      <c r="AK119" s="131">
        <f t="shared" si="10"/>
        <v>135.07869281399999</v>
      </c>
      <c r="AL119" s="131">
        <f t="shared" si="10"/>
        <v>122.64014987576554</v>
      </c>
      <c r="AM119" s="131">
        <f t="shared" si="10"/>
        <v>107.09197120297246</v>
      </c>
      <c r="AN119" s="115"/>
      <c r="AO119" s="131">
        <f t="shared" si="11"/>
        <v>145.46936149199999</v>
      </c>
      <c r="AP119" s="131">
        <f t="shared" si="11"/>
        <v>170.34644736846892</v>
      </c>
      <c r="AQ119" s="131">
        <f t="shared" si="11"/>
        <v>201.44280471405506</v>
      </c>
      <c r="AR119" s="115"/>
      <c r="AS119" s="126">
        <f t="shared" si="12"/>
        <v>-38.099118486000009</v>
      </c>
      <c r="AT119" s="126">
        <f t="shared" si="12"/>
        <v>-672.4648083359574</v>
      </c>
      <c r="AU119" s="126">
        <f t="shared" si="12"/>
        <v>-1465.421920648404</v>
      </c>
      <c r="AV119" s="115"/>
      <c r="AW119" s="126">
        <f t="shared" si="13"/>
        <v>-27.708449808000012</v>
      </c>
      <c r="AX119" s="126">
        <f t="shared" si="13"/>
        <v>-624.75851084325404</v>
      </c>
      <c r="AY119" s="126">
        <f t="shared" si="13"/>
        <v>-1371.0710871373215</v>
      </c>
      <c r="AZ119" s="115"/>
    </row>
    <row r="120" spans="1:52" x14ac:dyDescent="0.25">
      <c r="A120" s="94">
        <v>2065</v>
      </c>
      <c r="B120" s="139" cm="1">
        <f t="array" ref="B120">SUMPRODUCT((BXL!$AA$4:'BXL'!$AA$103=A120)*BXL!$AD$4:$AD$103)+SUMPRODUCT((BXL!$AB$4:'BXL'!$AB$103=A120)*BXL!$AD$4:$AD$103)+SUMPRODUCT((BXL!$AU$4:'BXL'!$AU$103=A120)*BXL!$AX$4:$AX$103)</f>
        <v>18366</v>
      </c>
      <c r="C120" s="139" cm="1">
        <f t="array" ref="C120">SUMPRODUCT((BXL!$AA$4:'BXL'!$AA$103=A120)*BXL!$AE$4:$AE$103)+SUMPRODUCT((BXL!$AB$4:'BXL'!$AB$103=A120)*BXL!$AE$4:$AE$103)+SUMPRODUCT((BXL!$AU$4:'BXL'!$AU$103=A120)*BXL!$AY$4:$AY$103)</f>
        <v>413.23499999999996</v>
      </c>
      <c r="D120" s="136" cm="1">
        <f t="array" ref="D120">SUMPRODUCT((BXL!$AA$4:'BXL'!$AA$103=A120)*BXL!$AF$4:$AF$103)+SUMPRODUCT((BXL!$AB$4:'BXL'!$AB$103=A120)*BXL!$AF$4:$AF$103)+SUMPRODUCT((BXL!$AU$4:'BXL'!$AU$103=A120)*BXL!$AV$4:$AV$103)</f>
        <v>0</v>
      </c>
      <c r="E120" s="136" cm="1">
        <f t="array" ref="E120">SUMPRODUCT((BXL!$AA$4:'BXL'!$AA$103=A120)*BXL!$AG$4:$AG$103)+SUMPRODUCT((BXL!$AB$4:'BXL'!$AB$103=A120)*BXL!$AG$4:$AG$103)+SUMPRODUCT((BXL!$AU$4:'BXL'!$AU$103=A120)*BXL!$AW$4:$AW$103)</f>
        <v>413.23499999999996</v>
      </c>
      <c r="F120" s="136" cm="1">
        <f t="array" ref="F120">SUMPRODUCT((BXL!$AA$4:'BXL'!$AA$103=A120)*BXL!$AH$4:$AH$103)+SUMPRODUCT((BXL!$AB$4:'BXL'!$AB$103=A120)*BXL!$AH$4:$AH$103)+SUMPRODUCT((BXL!$AU$4:'BXL'!$AU$103=A120)*BXL!$AZ$4:$AZ$103)</f>
        <v>20.187200000000001</v>
      </c>
      <c r="G120" s="136" cm="1">
        <f t="array" ref="G120">SUMPRODUCT((BXL!$AA$4:'BXL'!$AA$103=A120)*BXL!$AI$4:$AI$103)+SUMPRODUCT((BXL!$AB$4:'BXL'!$AB$103=A120)*BXL!$AI$4:$AI$103)+SUMPRODUCT((BXL!$AU$4:'BXL'!$AU$103=A120)*BXL!$BA$4:$BA$103)</f>
        <v>20.187200000000001</v>
      </c>
      <c r="H120" s="115"/>
      <c r="I120" s="139">
        <f t="shared" si="15"/>
        <v>15386.751969999999</v>
      </c>
      <c r="J120" s="136">
        <f t="shared" si="17"/>
        <v>1368.0108500000001</v>
      </c>
      <c r="K120" s="136">
        <f t="shared" si="17"/>
        <v>14018.741120000001</v>
      </c>
      <c r="L120" s="136">
        <f t="shared" si="17"/>
        <v>1022.4519886315788</v>
      </c>
      <c r="M120" s="136">
        <f t="shared" si="17"/>
        <v>799.4706226666666</v>
      </c>
      <c r="N120" s="115"/>
      <c r="O120" s="131">
        <f>C120*(Hypotheses!H84*Hypotheses!$D$19+Hypotheses!$D$14*(1-Hypotheses!H84))</f>
        <v>4.8348494999999998</v>
      </c>
      <c r="P120" s="131">
        <f>C120*(Hypotheses!I84*Hypotheses!$D$19+Hypotheses!$D$14*(1-Hypotheses!I84))</f>
        <v>4.3389676516914077</v>
      </c>
      <c r="Q120" s="131">
        <f>C120*(Hypotheses!J84*Hypotheses!$D$19+Hypotheses!$D$14*(1-Hypotheses!J84))</f>
        <v>3.7191153413056681</v>
      </c>
      <c r="R120" s="115"/>
      <c r="S120" s="131">
        <f>C120*(Hypotheses!H84*Hypotheses!$D$21+Hypotheses!$D$14*(1-Hypotheses!H84))</f>
        <v>5.2067609999999993</v>
      </c>
      <c r="T120" s="131">
        <f>C120*(Hypotheses!I84*Hypotheses!$D$21+Hypotheses!$D$14*(1-Hypotheses!I84))</f>
        <v>6.1985246966171834</v>
      </c>
      <c r="U120" s="131">
        <f>C120*(Hypotheses!J84*Hypotheses!$D$21+Hypotheses!$D$14*(1-Hypotheses!J84))</f>
        <v>7.4382293173886627</v>
      </c>
      <c r="V120" s="115"/>
      <c r="W120" s="128">
        <f>-C120*Hypotheses!$D$31*Hypotheses!H84</f>
        <v>-24.7941</v>
      </c>
      <c r="X120" s="128">
        <f>-C120*Hypotheses!$D$31*Hypotheses!I84</f>
        <v>-123.97046966171837</v>
      </c>
      <c r="Y120" s="128">
        <f>-C120*Hypotheses!$D$31*Hypotheses!J84</f>
        <v>-247.94093173886631</v>
      </c>
      <c r="Z120" s="126">
        <f>-C120*Hypotheses!$D$30*Hypotheses!H84</f>
        <v>-6.1985250000000001</v>
      </c>
      <c r="AA120" s="126">
        <f>-C120*Hypotheses!$D$30*Hypotheses!I84</f>
        <v>-30.992617415429592</v>
      </c>
      <c r="AB120" s="126">
        <f>-C120*Hypotheses!$D$30*Hypotheses!J84</f>
        <v>-61.985232934716578</v>
      </c>
      <c r="AC120" s="115"/>
      <c r="AD120" s="128">
        <f t="shared" si="9"/>
        <v>-717.50534519999997</v>
      </c>
      <c r="AE120" s="128">
        <f t="shared" si="9"/>
        <v>-3304.3903025086101</v>
      </c>
      <c r="AF120" s="128">
        <f t="shared" si="9"/>
        <v>-6537.9964991443721</v>
      </c>
      <c r="AG120" s="126">
        <f t="shared" si="9"/>
        <v>-179.37633629999999</v>
      </c>
      <c r="AH120" s="126">
        <f t="shared" si="9"/>
        <v>-826.09757562715254</v>
      </c>
      <c r="AI120" s="126">
        <f t="shared" si="9"/>
        <v>-1634.499124786093</v>
      </c>
      <c r="AJ120" s="115"/>
      <c r="AK120" s="131">
        <f t="shared" si="10"/>
        <v>139.91354231399998</v>
      </c>
      <c r="AL120" s="131">
        <f t="shared" si="10"/>
        <v>126.97911752745695</v>
      </c>
      <c r="AM120" s="131">
        <f t="shared" si="10"/>
        <v>110.81108654427813</v>
      </c>
      <c r="AN120" s="115"/>
      <c r="AO120" s="131">
        <f t="shared" si="11"/>
        <v>150.67612249199999</v>
      </c>
      <c r="AP120" s="131">
        <f t="shared" si="11"/>
        <v>176.54497206508609</v>
      </c>
      <c r="AQ120" s="131">
        <f t="shared" si="11"/>
        <v>208.88103403144373</v>
      </c>
      <c r="AR120" s="115"/>
      <c r="AS120" s="126">
        <f t="shared" si="12"/>
        <v>-39.462793986000008</v>
      </c>
      <c r="AT120" s="126">
        <f t="shared" si="12"/>
        <v>-699.11845809969554</v>
      </c>
      <c r="AU120" s="126">
        <f t="shared" si="12"/>
        <v>-1523.6880382418149</v>
      </c>
      <c r="AV120" s="115"/>
      <c r="AW120" s="126">
        <f t="shared" si="13"/>
        <v>-28.700213808000001</v>
      </c>
      <c r="AX120" s="126">
        <f t="shared" si="13"/>
        <v>-649.55260356206645</v>
      </c>
      <c r="AY120" s="126">
        <f t="shared" si="13"/>
        <v>-1425.6180907546493</v>
      </c>
      <c r="AZ120" s="115"/>
    </row>
    <row r="121" spans="1:52" x14ac:dyDescent="0.25">
      <c r="A121" s="94">
        <v>2066</v>
      </c>
      <c r="B121" s="139" cm="1">
        <f t="array" ref="B121">SUMPRODUCT((BXL!$AA$4:'BXL'!$AA$103=A121)*BXL!$AD$4:$AD$103)+SUMPRODUCT((BXL!$AB$4:'BXL'!$AB$103=A121)*BXL!$AD$4:$AD$103)+SUMPRODUCT((BXL!$AU$4:'BXL'!$AU$103=A121)*BXL!$AX$4:$AX$103)</f>
        <v>0</v>
      </c>
      <c r="C121" s="139" cm="1">
        <f t="array" ref="C121">SUMPRODUCT((BXL!$AA$4:'BXL'!$AA$103=A121)*BXL!$AE$4:$AE$103)+SUMPRODUCT((BXL!$AB$4:'BXL'!$AB$103=A121)*BXL!$AE$4:$AE$103)+SUMPRODUCT((BXL!$AU$4:'BXL'!$AU$103=A121)*BXL!$AY$4:$AY$103)</f>
        <v>0</v>
      </c>
      <c r="D121" s="136" cm="1">
        <f t="array" ref="D121">SUMPRODUCT((BXL!$AA$4:'BXL'!$AA$103=A121)*BXL!$AF$4:$AF$103)+SUMPRODUCT((BXL!$AB$4:'BXL'!$AB$103=A121)*BXL!$AF$4:$AF$103)+SUMPRODUCT((BXL!$AU$4:'BXL'!$AU$103=A121)*BXL!$AV$4:$AV$103)</f>
        <v>0</v>
      </c>
      <c r="E121" s="136" cm="1">
        <f t="array" ref="E121">SUMPRODUCT((BXL!$AA$4:'BXL'!$AA$103=A121)*BXL!$AG$4:$AG$103)+SUMPRODUCT((BXL!$AB$4:'BXL'!$AB$103=A121)*BXL!$AG$4:$AG$103)+SUMPRODUCT((BXL!$AU$4:'BXL'!$AU$103=A121)*BXL!$AW$4:$AW$103)</f>
        <v>0</v>
      </c>
      <c r="F121" s="136" cm="1">
        <f t="array" ref="F121">SUMPRODUCT((BXL!$AA$4:'BXL'!$AA$103=A121)*BXL!$AH$4:$AH$103)+SUMPRODUCT((BXL!$AB$4:'BXL'!$AB$103=A121)*BXL!$AH$4:$AH$103)+SUMPRODUCT((BXL!$AU$4:'BXL'!$AU$103=A121)*BXL!$AZ$4:$AZ$103)</f>
        <v>0</v>
      </c>
      <c r="G121" s="136" cm="1">
        <f t="array" ref="G121">SUMPRODUCT((BXL!$AA$4:'BXL'!$AA$103=A121)*BXL!$AI$4:$AI$103)+SUMPRODUCT((BXL!$AB$4:'BXL'!$AB$103=A121)*BXL!$AI$4:$AI$103)+SUMPRODUCT((BXL!$AU$4:'BXL'!$AU$103=A121)*BXL!$BA$4:$BA$103)</f>
        <v>0</v>
      </c>
      <c r="H121" s="115"/>
      <c r="I121" s="139">
        <f t="shared" si="15"/>
        <v>15386.751969999999</v>
      </c>
      <c r="J121" s="136">
        <f t="shared" si="17"/>
        <v>1368.0108500000001</v>
      </c>
      <c r="K121" s="136">
        <f t="shared" si="17"/>
        <v>14018.741120000001</v>
      </c>
      <c r="L121" s="136">
        <f t="shared" si="17"/>
        <v>1022.4519886315788</v>
      </c>
      <c r="M121" s="136">
        <f t="shared" si="17"/>
        <v>799.4706226666666</v>
      </c>
      <c r="N121" s="115"/>
      <c r="O121" s="131">
        <f>C121*(Hypotheses!H85*Hypotheses!$D$19+Hypotheses!$D$14*(1-Hypotheses!H85))</f>
        <v>0</v>
      </c>
      <c r="P121" s="131">
        <f>C121*(Hypotheses!I85*Hypotheses!$D$19+Hypotheses!$D$14*(1-Hypotheses!I85))</f>
        <v>0</v>
      </c>
      <c r="Q121" s="131">
        <f>C121*(Hypotheses!J85*Hypotheses!$D$19+Hypotheses!$D$14*(1-Hypotheses!J85))</f>
        <v>0</v>
      </c>
      <c r="R121" s="115"/>
      <c r="S121" s="131">
        <f>C121*(Hypotheses!H85*Hypotheses!$D$21+Hypotheses!$D$14*(1-Hypotheses!H85))</f>
        <v>0</v>
      </c>
      <c r="T121" s="131">
        <f>C121*(Hypotheses!I85*Hypotheses!$D$21+Hypotheses!$D$14*(1-Hypotheses!I85))</f>
        <v>0</v>
      </c>
      <c r="U121" s="131">
        <f>C121*(Hypotheses!J85*Hypotheses!$D$21+Hypotheses!$D$14*(1-Hypotheses!J85))</f>
        <v>0</v>
      </c>
      <c r="V121" s="115"/>
      <c r="W121" s="128">
        <f>-C121*Hypotheses!$D$31*Hypotheses!H85</f>
        <v>0</v>
      </c>
      <c r="X121" s="128">
        <f>-C121*Hypotheses!$D$31*Hypotheses!I85</f>
        <v>0</v>
      </c>
      <c r="Y121" s="128">
        <f>-C121*Hypotheses!$D$31*Hypotheses!J85</f>
        <v>0</v>
      </c>
      <c r="Z121" s="126">
        <f>-C121*Hypotheses!$D$30*Hypotheses!H85</f>
        <v>0</v>
      </c>
      <c r="AA121" s="126">
        <f>-C121*Hypotheses!$D$30*Hypotheses!I85</f>
        <v>0</v>
      </c>
      <c r="AB121" s="126">
        <f>-C121*Hypotheses!$D$30*Hypotheses!J85</f>
        <v>0</v>
      </c>
      <c r="AC121" s="115"/>
      <c r="AD121" s="128">
        <f t="shared" si="9"/>
        <v>-717.50534519999997</v>
      </c>
      <c r="AE121" s="128">
        <f t="shared" si="9"/>
        <v>-3304.3903025086101</v>
      </c>
      <c r="AF121" s="128">
        <f t="shared" si="9"/>
        <v>-6537.9964991443721</v>
      </c>
      <c r="AG121" s="126">
        <f t="shared" si="9"/>
        <v>-179.37633629999999</v>
      </c>
      <c r="AH121" s="126">
        <f t="shared" si="9"/>
        <v>-826.09757562715254</v>
      </c>
      <c r="AI121" s="126">
        <f t="shared" si="9"/>
        <v>-1634.499124786093</v>
      </c>
      <c r="AJ121" s="115"/>
      <c r="AK121" s="131">
        <f t="shared" si="10"/>
        <v>139.91354231399998</v>
      </c>
      <c r="AL121" s="131">
        <f t="shared" si="10"/>
        <v>126.97911752745695</v>
      </c>
      <c r="AM121" s="131">
        <f t="shared" si="10"/>
        <v>110.81108654427813</v>
      </c>
      <c r="AN121" s="115"/>
      <c r="AO121" s="131">
        <f t="shared" si="11"/>
        <v>150.67612249199999</v>
      </c>
      <c r="AP121" s="131">
        <f t="shared" si="11"/>
        <v>176.54497206508609</v>
      </c>
      <c r="AQ121" s="131">
        <f t="shared" si="11"/>
        <v>208.88103403144373</v>
      </c>
      <c r="AR121" s="115"/>
      <c r="AS121" s="126">
        <f t="shared" si="12"/>
        <v>-39.462793986000008</v>
      </c>
      <c r="AT121" s="126">
        <f t="shared" si="12"/>
        <v>-699.11845809969554</v>
      </c>
      <c r="AU121" s="126">
        <f t="shared" si="12"/>
        <v>-1523.6880382418149</v>
      </c>
      <c r="AV121" s="115"/>
      <c r="AW121" s="126">
        <f t="shared" si="13"/>
        <v>-28.700213808000001</v>
      </c>
      <c r="AX121" s="126">
        <f t="shared" si="13"/>
        <v>-649.55260356206645</v>
      </c>
      <c r="AY121" s="126">
        <f t="shared" si="13"/>
        <v>-1425.6180907546493</v>
      </c>
      <c r="AZ121" s="115"/>
    </row>
    <row r="122" spans="1:52" x14ac:dyDescent="0.25">
      <c r="A122" s="94">
        <v>2067</v>
      </c>
      <c r="B122" s="139" cm="1">
        <f t="array" ref="B122">SUMPRODUCT((BXL!$AA$4:'BXL'!$AA$103=A122)*BXL!$AD$4:$AD$103)+SUMPRODUCT((BXL!$AB$4:'BXL'!$AB$103=A122)*BXL!$AD$4:$AD$103)+SUMPRODUCT((BXL!$AU$4:'BXL'!$AU$103=A122)*BXL!$AX$4:$AX$103)</f>
        <v>0</v>
      </c>
      <c r="C122" s="139" cm="1">
        <f t="array" ref="C122">SUMPRODUCT((BXL!$AA$4:'BXL'!$AA$103=A122)*BXL!$AE$4:$AE$103)+SUMPRODUCT((BXL!$AB$4:'BXL'!$AB$103=A122)*BXL!$AE$4:$AE$103)+SUMPRODUCT((BXL!$AU$4:'BXL'!$AU$103=A122)*BXL!$AY$4:$AY$103)</f>
        <v>0</v>
      </c>
      <c r="D122" s="136" cm="1">
        <f t="array" ref="D122">SUMPRODUCT((BXL!$AA$4:'BXL'!$AA$103=A122)*BXL!$AF$4:$AF$103)+SUMPRODUCT((BXL!$AB$4:'BXL'!$AB$103=A122)*BXL!$AF$4:$AF$103)+SUMPRODUCT((BXL!$AU$4:'BXL'!$AU$103=A122)*BXL!$AV$4:$AV$103)</f>
        <v>0</v>
      </c>
      <c r="E122" s="136" cm="1">
        <f t="array" ref="E122">SUMPRODUCT((BXL!$AA$4:'BXL'!$AA$103=A122)*BXL!$AG$4:$AG$103)+SUMPRODUCT((BXL!$AB$4:'BXL'!$AB$103=A122)*BXL!$AG$4:$AG$103)+SUMPRODUCT((BXL!$AU$4:'BXL'!$AU$103=A122)*BXL!$AW$4:$AW$103)</f>
        <v>0</v>
      </c>
      <c r="F122" s="136" cm="1">
        <f t="array" ref="F122">SUMPRODUCT((BXL!$AA$4:'BXL'!$AA$103=A122)*BXL!$AH$4:$AH$103)+SUMPRODUCT((BXL!$AB$4:'BXL'!$AB$103=A122)*BXL!$AH$4:$AH$103)+SUMPRODUCT((BXL!$AU$4:'BXL'!$AU$103=A122)*BXL!$AZ$4:$AZ$103)</f>
        <v>0</v>
      </c>
      <c r="G122" s="136" cm="1">
        <f t="array" ref="G122">SUMPRODUCT((BXL!$AA$4:'BXL'!$AA$103=A122)*BXL!$AI$4:$AI$103)+SUMPRODUCT((BXL!$AB$4:'BXL'!$AB$103=A122)*BXL!$AI$4:$AI$103)+SUMPRODUCT((BXL!$AU$4:'BXL'!$AU$103=A122)*BXL!$BA$4:$BA$103)</f>
        <v>0</v>
      </c>
      <c r="H122" s="115"/>
      <c r="I122" s="139">
        <f t="shared" si="15"/>
        <v>15386.751969999999</v>
      </c>
      <c r="J122" s="136">
        <f t="shared" si="17"/>
        <v>1368.0108500000001</v>
      </c>
      <c r="K122" s="136">
        <f t="shared" si="17"/>
        <v>14018.741120000001</v>
      </c>
      <c r="L122" s="136">
        <f t="shared" si="17"/>
        <v>1022.4519886315788</v>
      </c>
      <c r="M122" s="136">
        <f t="shared" si="17"/>
        <v>799.4706226666666</v>
      </c>
      <c r="N122" s="115"/>
      <c r="O122" s="131">
        <f>C122*(Hypotheses!H86*Hypotheses!$D$19+Hypotheses!$D$14*(1-Hypotheses!H86))</f>
        <v>0</v>
      </c>
      <c r="P122" s="131">
        <f>C122*(Hypotheses!I86*Hypotheses!$D$19+Hypotheses!$D$14*(1-Hypotheses!I86))</f>
        <v>0</v>
      </c>
      <c r="Q122" s="131">
        <f>C122*(Hypotheses!J86*Hypotheses!$D$19+Hypotheses!$D$14*(1-Hypotheses!J86))</f>
        <v>0</v>
      </c>
      <c r="R122" s="115"/>
      <c r="S122" s="131">
        <f>C122*(Hypotheses!H86*Hypotheses!$D$21+Hypotheses!$D$14*(1-Hypotheses!H86))</f>
        <v>0</v>
      </c>
      <c r="T122" s="131">
        <f>C122*(Hypotheses!I86*Hypotheses!$D$21+Hypotheses!$D$14*(1-Hypotheses!I86))</f>
        <v>0</v>
      </c>
      <c r="U122" s="131">
        <f>C122*(Hypotheses!J86*Hypotheses!$D$21+Hypotheses!$D$14*(1-Hypotheses!J86))</f>
        <v>0</v>
      </c>
      <c r="V122" s="115"/>
      <c r="W122" s="128">
        <f>-C122*Hypotheses!$D$31*Hypotheses!H86</f>
        <v>0</v>
      </c>
      <c r="X122" s="128">
        <f>-C122*Hypotheses!$D$31*Hypotheses!I86</f>
        <v>0</v>
      </c>
      <c r="Y122" s="128">
        <f>-C122*Hypotheses!$D$31*Hypotheses!J86</f>
        <v>0</v>
      </c>
      <c r="Z122" s="126">
        <f>-C122*Hypotheses!$D$30*Hypotheses!H86</f>
        <v>0</v>
      </c>
      <c r="AA122" s="126">
        <f>-C122*Hypotheses!$D$30*Hypotheses!I86</f>
        <v>0</v>
      </c>
      <c r="AB122" s="126">
        <f>-C122*Hypotheses!$D$30*Hypotheses!J86</f>
        <v>0</v>
      </c>
      <c r="AC122" s="115"/>
      <c r="AD122" s="128">
        <f t="shared" si="9"/>
        <v>-717.50534519999997</v>
      </c>
      <c r="AE122" s="128">
        <f t="shared" si="9"/>
        <v>-3304.3903025086101</v>
      </c>
      <c r="AF122" s="128">
        <f t="shared" si="9"/>
        <v>-6537.9964991443721</v>
      </c>
      <c r="AG122" s="126">
        <f t="shared" si="9"/>
        <v>-179.37633629999999</v>
      </c>
      <c r="AH122" s="126">
        <f t="shared" si="9"/>
        <v>-826.09757562715254</v>
      </c>
      <c r="AI122" s="126">
        <f t="shared" si="9"/>
        <v>-1634.499124786093</v>
      </c>
      <c r="AJ122" s="115"/>
      <c r="AK122" s="131">
        <f t="shared" si="10"/>
        <v>139.91354231399998</v>
      </c>
      <c r="AL122" s="131">
        <f t="shared" si="10"/>
        <v>126.97911752745695</v>
      </c>
      <c r="AM122" s="131">
        <f t="shared" si="10"/>
        <v>110.81108654427813</v>
      </c>
      <c r="AN122" s="115"/>
      <c r="AO122" s="131">
        <f t="shared" si="11"/>
        <v>150.67612249199999</v>
      </c>
      <c r="AP122" s="131">
        <f t="shared" si="11"/>
        <v>176.54497206508609</v>
      </c>
      <c r="AQ122" s="131">
        <f t="shared" si="11"/>
        <v>208.88103403144373</v>
      </c>
      <c r="AR122" s="115"/>
      <c r="AS122" s="126">
        <f t="shared" si="12"/>
        <v>-39.462793986000008</v>
      </c>
      <c r="AT122" s="126">
        <f t="shared" si="12"/>
        <v>-699.11845809969554</v>
      </c>
      <c r="AU122" s="126">
        <f t="shared" si="12"/>
        <v>-1523.6880382418149</v>
      </c>
      <c r="AV122" s="115"/>
      <c r="AW122" s="126">
        <f t="shared" si="13"/>
        <v>-28.700213808000001</v>
      </c>
      <c r="AX122" s="126">
        <f t="shared" si="13"/>
        <v>-649.55260356206645</v>
      </c>
      <c r="AY122" s="126">
        <f t="shared" si="13"/>
        <v>-1425.6180907546493</v>
      </c>
      <c r="AZ122" s="115"/>
    </row>
    <row r="123" spans="1:52" x14ac:dyDescent="0.25">
      <c r="A123" s="94">
        <v>2068</v>
      </c>
      <c r="B123" s="139" cm="1">
        <f t="array" ref="B123">SUMPRODUCT((BXL!$AA$4:'BXL'!$AA$103=A123)*BXL!$AD$4:$AD$103)+SUMPRODUCT((BXL!$AB$4:'BXL'!$AB$103=A123)*BXL!$AD$4:$AD$103)+SUMPRODUCT((BXL!$AU$4:'BXL'!$AU$103=A123)*BXL!$AX$4:$AX$103)</f>
        <v>0</v>
      </c>
      <c r="C123" s="139" cm="1">
        <f t="array" ref="C123">SUMPRODUCT((BXL!$AA$4:'BXL'!$AA$103=A123)*BXL!$AE$4:$AE$103)+SUMPRODUCT((BXL!$AB$4:'BXL'!$AB$103=A123)*BXL!$AE$4:$AE$103)+SUMPRODUCT((BXL!$AU$4:'BXL'!$AU$103=A123)*BXL!$AY$4:$AY$103)</f>
        <v>0</v>
      </c>
      <c r="D123" s="136" cm="1">
        <f t="array" ref="D123">SUMPRODUCT((BXL!$AA$4:'BXL'!$AA$103=A123)*BXL!$AF$4:$AF$103)+SUMPRODUCT((BXL!$AB$4:'BXL'!$AB$103=A123)*BXL!$AF$4:$AF$103)+SUMPRODUCT((BXL!$AU$4:'BXL'!$AU$103=A123)*BXL!$AV$4:$AV$103)</f>
        <v>0</v>
      </c>
      <c r="E123" s="136" cm="1">
        <f t="array" ref="E123">SUMPRODUCT((BXL!$AA$4:'BXL'!$AA$103=A123)*BXL!$AG$4:$AG$103)+SUMPRODUCT((BXL!$AB$4:'BXL'!$AB$103=A123)*BXL!$AG$4:$AG$103)+SUMPRODUCT((BXL!$AU$4:'BXL'!$AU$103=A123)*BXL!$AW$4:$AW$103)</f>
        <v>0</v>
      </c>
      <c r="F123" s="136" cm="1">
        <f t="array" ref="F123">SUMPRODUCT((BXL!$AA$4:'BXL'!$AA$103=A123)*BXL!$AH$4:$AH$103)+SUMPRODUCT((BXL!$AB$4:'BXL'!$AB$103=A123)*BXL!$AH$4:$AH$103)+SUMPRODUCT((BXL!$AU$4:'BXL'!$AU$103=A123)*BXL!$AZ$4:$AZ$103)</f>
        <v>0</v>
      </c>
      <c r="G123" s="136" cm="1">
        <f t="array" ref="G123">SUMPRODUCT((BXL!$AA$4:'BXL'!$AA$103=A123)*BXL!$AI$4:$AI$103)+SUMPRODUCT((BXL!$AB$4:'BXL'!$AB$103=A123)*BXL!$AI$4:$AI$103)+SUMPRODUCT((BXL!$AU$4:'BXL'!$AU$103=A123)*BXL!$BA$4:$BA$103)</f>
        <v>0</v>
      </c>
      <c r="H123" s="115"/>
      <c r="I123" s="139">
        <f t="shared" si="15"/>
        <v>15386.751969999999</v>
      </c>
      <c r="J123" s="136">
        <f t="shared" si="17"/>
        <v>1368.0108500000001</v>
      </c>
      <c r="K123" s="136">
        <f t="shared" si="17"/>
        <v>14018.741120000001</v>
      </c>
      <c r="L123" s="136">
        <f t="shared" si="17"/>
        <v>1022.4519886315788</v>
      </c>
      <c r="M123" s="136">
        <f t="shared" si="17"/>
        <v>799.4706226666666</v>
      </c>
      <c r="N123" s="115"/>
      <c r="O123" s="131">
        <f>C123*(Hypotheses!H87*Hypotheses!$D$19+Hypotheses!$D$14*(1-Hypotheses!H87))</f>
        <v>0</v>
      </c>
      <c r="P123" s="131">
        <f>C123*(Hypotheses!I87*Hypotheses!$D$19+Hypotheses!$D$14*(1-Hypotheses!I87))</f>
        <v>0</v>
      </c>
      <c r="Q123" s="131">
        <f>C123*(Hypotheses!J87*Hypotheses!$D$19+Hypotheses!$D$14*(1-Hypotheses!J87))</f>
        <v>0</v>
      </c>
      <c r="R123" s="115"/>
      <c r="S123" s="131">
        <f>C123*(Hypotheses!H87*Hypotheses!$D$21+Hypotheses!$D$14*(1-Hypotheses!H87))</f>
        <v>0</v>
      </c>
      <c r="T123" s="131">
        <f>C123*(Hypotheses!I87*Hypotheses!$D$21+Hypotheses!$D$14*(1-Hypotheses!I87))</f>
        <v>0</v>
      </c>
      <c r="U123" s="131">
        <f>C123*(Hypotheses!J87*Hypotheses!$D$21+Hypotheses!$D$14*(1-Hypotheses!J87))</f>
        <v>0</v>
      </c>
      <c r="V123" s="115"/>
      <c r="W123" s="128">
        <f>-C123*Hypotheses!$D$31*Hypotheses!H87</f>
        <v>0</v>
      </c>
      <c r="X123" s="128">
        <f>-C123*Hypotheses!$D$31*Hypotheses!I87</f>
        <v>0</v>
      </c>
      <c r="Y123" s="128">
        <f>-C123*Hypotheses!$D$31*Hypotheses!J87</f>
        <v>0</v>
      </c>
      <c r="Z123" s="126">
        <f>-C123*Hypotheses!$D$30*Hypotheses!H87</f>
        <v>0</v>
      </c>
      <c r="AA123" s="126">
        <f>-C123*Hypotheses!$D$30*Hypotheses!I87</f>
        <v>0</v>
      </c>
      <c r="AB123" s="126">
        <f>-C123*Hypotheses!$D$30*Hypotheses!J87</f>
        <v>0</v>
      </c>
      <c r="AC123" s="115"/>
      <c r="AD123" s="128">
        <f t="shared" si="9"/>
        <v>-717.50534519999997</v>
      </c>
      <c r="AE123" s="128">
        <f t="shared" si="9"/>
        <v>-3304.3903025086101</v>
      </c>
      <c r="AF123" s="128">
        <f t="shared" si="9"/>
        <v>-6537.9964991443721</v>
      </c>
      <c r="AG123" s="126">
        <f t="shared" ref="AG123:AI125" si="18">Z123+AG122</f>
        <v>-179.37633629999999</v>
      </c>
      <c r="AH123" s="126">
        <f t="shared" si="18"/>
        <v>-826.09757562715254</v>
      </c>
      <c r="AI123" s="126">
        <f t="shared" si="18"/>
        <v>-1634.499124786093</v>
      </c>
      <c r="AJ123" s="115"/>
      <c r="AK123" s="131">
        <f t="shared" si="10"/>
        <v>139.91354231399998</v>
      </c>
      <c r="AL123" s="131">
        <f t="shared" si="10"/>
        <v>126.97911752745695</v>
      </c>
      <c r="AM123" s="131">
        <f t="shared" si="10"/>
        <v>110.81108654427813</v>
      </c>
      <c r="AN123" s="115"/>
      <c r="AO123" s="131">
        <f t="shared" si="11"/>
        <v>150.67612249199999</v>
      </c>
      <c r="AP123" s="131">
        <f t="shared" si="11"/>
        <v>176.54497206508609</v>
      </c>
      <c r="AQ123" s="131">
        <f t="shared" si="11"/>
        <v>208.88103403144373</v>
      </c>
      <c r="AR123" s="115"/>
      <c r="AS123" s="126">
        <f t="shared" si="12"/>
        <v>-39.462793986000008</v>
      </c>
      <c r="AT123" s="126">
        <f t="shared" si="12"/>
        <v>-699.11845809969554</v>
      </c>
      <c r="AU123" s="126">
        <f t="shared" si="12"/>
        <v>-1523.6880382418149</v>
      </c>
      <c r="AV123" s="115"/>
      <c r="AW123" s="126">
        <f t="shared" si="13"/>
        <v>-28.700213808000001</v>
      </c>
      <c r="AX123" s="126">
        <f t="shared" si="13"/>
        <v>-649.55260356206645</v>
      </c>
      <c r="AY123" s="126">
        <f t="shared" si="13"/>
        <v>-1425.6180907546493</v>
      </c>
      <c r="AZ123" s="115"/>
    </row>
    <row r="124" spans="1:52" x14ac:dyDescent="0.25">
      <c r="A124" s="94">
        <v>2069</v>
      </c>
      <c r="B124" s="139" cm="1">
        <f t="array" ref="B124">SUMPRODUCT((BXL!$AA$4:'BXL'!$AA$103=A124)*BXL!$AD$4:$AD$103)+SUMPRODUCT((BXL!$AB$4:'BXL'!$AB$103=A124)*BXL!$AD$4:$AD$103)+SUMPRODUCT((BXL!$AU$4:'BXL'!$AU$103=A124)*BXL!$AX$4:$AX$103)</f>
        <v>0</v>
      </c>
      <c r="C124" s="139" cm="1">
        <f t="array" ref="C124">SUMPRODUCT((BXL!$AA$4:'BXL'!$AA$103=A124)*BXL!$AE$4:$AE$103)+SUMPRODUCT((BXL!$AB$4:'BXL'!$AB$103=A124)*BXL!$AE$4:$AE$103)+SUMPRODUCT((BXL!$AU$4:'BXL'!$AU$103=A124)*BXL!$AY$4:$AY$103)</f>
        <v>0</v>
      </c>
      <c r="D124" s="136" cm="1">
        <f t="array" ref="D124">SUMPRODUCT((BXL!$AA$4:'BXL'!$AA$103=A124)*BXL!$AF$4:$AF$103)+SUMPRODUCT((BXL!$AB$4:'BXL'!$AB$103=A124)*BXL!$AF$4:$AF$103)+SUMPRODUCT((BXL!$AU$4:'BXL'!$AU$103=A124)*BXL!$AV$4:$AV$103)</f>
        <v>0</v>
      </c>
      <c r="E124" s="136" cm="1">
        <f t="array" ref="E124">SUMPRODUCT((BXL!$AA$4:'BXL'!$AA$103=A124)*BXL!$AG$4:$AG$103)+SUMPRODUCT((BXL!$AB$4:'BXL'!$AB$103=A124)*BXL!$AG$4:$AG$103)+SUMPRODUCT((BXL!$AU$4:'BXL'!$AU$103=A124)*BXL!$AW$4:$AW$103)</f>
        <v>0</v>
      </c>
      <c r="F124" s="136" cm="1">
        <f t="array" ref="F124">SUMPRODUCT((BXL!$AA$4:'BXL'!$AA$103=A124)*BXL!$AH$4:$AH$103)+SUMPRODUCT((BXL!$AB$4:'BXL'!$AB$103=A124)*BXL!$AH$4:$AH$103)+SUMPRODUCT((BXL!$AU$4:'BXL'!$AU$103=A124)*BXL!$AZ$4:$AZ$103)</f>
        <v>0</v>
      </c>
      <c r="G124" s="136" cm="1">
        <f t="array" ref="G124">SUMPRODUCT((BXL!$AA$4:'BXL'!$AA$103=A124)*BXL!$AI$4:$AI$103)+SUMPRODUCT((BXL!$AB$4:'BXL'!$AB$103=A124)*BXL!$AI$4:$AI$103)+SUMPRODUCT((BXL!$AU$4:'BXL'!$AU$103=A124)*BXL!$BA$4:$BA$103)</f>
        <v>0</v>
      </c>
      <c r="H124" s="115"/>
      <c r="I124" s="139">
        <f t="shared" si="15"/>
        <v>15386.751969999999</v>
      </c>
      <c r="J124" s="136">
        <f t="shared" si="17"/>
        <v>1368.0108500000001</v>
      </c>
      <c r="K124" s="136">
        <f t="shared" si="17"/>
        <v>14018.741120000001</v>
      </c>
      <c r="L124" s="136">
        <f t="shared" si="17"/>
        <v>1022.4519886315788</v>
      </c>
      <c r="M124" s="136">
        <f t="shared" si="17"/>
        <v>799.4706226666666</v>
      </c>
      <c r="N124" s="115"/>
      <c r="O124" s="131">
        <f>C124*(Hypotheses!H88*Hypotheses!$D$19+Hypotheses!$D$14*(1-Hypotheses!H88))</f>
        <v>0</v>
      </c>
      <c r="P124" s="131">
        <f>C124*(Hypotheses!I88*Hypotheses!$D$19+Hypotheses!$D$14*(1-Hypotheses!I88))</f>
        <v>0</v>
      </c>
      <c r="Q124" s="131">
        <f>C124*(Hypotheses!J88*Hypotheses!$D$19+Hypotheses!$D$14*(1-Hypotheses!J88))</f>
        <v>0</v>
      </c>
      <c r="R124" s="115"/>
      <c r="S124" s="131">
        <f>C124*(Hypotheses!H88*Hypotheses!$D$21+Hypotheses!$D$14*(1-Hypotheses!H88))</f>
        <v>0</v>
      </c>
      <c r="T124" s="131">
        <f>C124*(Hypotheses!I88*Hypotheses!$D$21+Hypotheses!$D$14*(1-Hypotheses!I88))</f>
        <v>0</v>
      </c>
      <c r="U124" s="131">
        <f>C124*(Hypotheses!J88*Hypotheses!$D$21+Hypotheses!$D$14*(1-Hypotheses!J88))</f>
        <v>0</v>
      </c>
      <c r="V124" s="115"/>
      <c r="W124" s="128">
        <f>-C124*Hypotheses!$D$31*Hypotheses!H88</f>
        <v>0</v>
      </c>
      <c r="X124" s="128">
        <f>-C124*Hypotheses!$D$31*Hypotheses!I88</f>
        <v>0</v>
      </c>
      <c r="Y124" s="128">
        <f>-C124*Hypotheses!$D$31*Hypotheses!J88</f>
        <v>0</v>
      </c>
      <c r="Z124" s="126">
        <f>-C124*Hypotheses!$D$30*Hypotheses!H88</f>
        <v>0</v>
      </c>
      <c r="AA124" s="126">
        <f>-C124*Hypotheses!$D$30*Hypotheses!I88</f>
        <v>0</v>
      </c>
      <c r="AB124" s="126">
        <f>-C124*Hypotheses!$D$30*Hypotheses!J88</f>
        <v>0</v>
      </c>
      <c r="AC124" s="115"/>
      <c r="AD124" s="128">
        <f t="shared" ref="AD124:AF125" si="19">W124+AD123</f>
        <v>-717.50534519999997</v>
      </c>
      <c r="AE124" s="128">
        <f t="shared" si="19"/>
        <v>-3304.3903025086101</v>
      </c>
      <c r="AF124" s="128">
        <f t="shared" si="19"/>
        <v>-6537.9964991443721</v>
      </c>
      <c r="AG124" s="126">
        <f t="shared" si="18"/>
        <v>-179.37633629999999</v>
      </c>
      <c r="AH124" s="126">
        <f t="shared" si="18"/>
        <v>-826.09757562715254</v>
      </c>
      <c r="AI124" s="126">
        <f t="shared" si="18"/>
        <v>-1634.499124786093</v>
      </c>
      <c r="AJ124" s="115"/>
      <c r="AK124" s="131">
        <f t="shared" si="10"/>
        <v>139.91354231399998</v>
      </c>
      <c r="AL124" s="131">
        <f t="shared" si="10"/>
        <v>126.97911752745695</v>
      </c>
      <c r="AM124" s="131">
        <f t="shared" si="10"/>
        <v>110.81108654427813</v>
      </c>
      <c r="AN124" s="115"/>
      <c r="AO124" s="131">
        <f t="shared" si="11"/>
        <v>150.67612249199999</v>
      </c>
      <c r="AP124" s="131">
        <f t="shared" si="11"/>
        <v>176.54497206508609</v>
      </c>
      <c r="AQ124" s="131">
        <f t="shared" si="11"/>
        <v>208.88103403144373</v>
      </c>
      <c r="AR124" s="115"/>
      <c r="AS124" s="126">
        <f t="shared" si="12"/>
        <v>-39.462793986000008</v>
      </c>
      <c r="AT124" s="126">
        <f t="shared" si="12"/>
        <v>-699.11845809969554</v>
      </c>
      <c r="AU124" s="126">
        <f t="shared" si="12"/>
        <v>-1523.6880382418149</v>
      </c>
      <c r="AV124" s="115"/>
      <c r="AW124" s="126">
        <f t="shared" si="13"/>
        <v>-28.700213808000001</v>
      </c>
      <c r="AX124" s="126">
        <f t="shared" si="13"/>
        <v>-649.55260356206645</v>
      </c>
      <c r="AY124" s="126">
        <f t="shared" si="13"/>
        <v>-1425.6180907546493</v>
      </c>
      <c r="AZ124" s="115"/>
    </row>
    <row r="125" spans="1:52" x14ac:dyDescent="0.25">
      <c r="A125" s="94">
        <v>2070</v>
      </c>
      <c r="B125" s="139" cm="1">
        <f t="array" ref="B125">SUMPRODUCT((BXL!$AA$4:'BXL'!$AA$103=A125)*BXL!$AD$4:$AD$103)+SUMPRODUCT((BXL!$AB$4:'BXL'!$AB$103=A125)*BXL!$AD$4:$AD$103)+SUMPRODUCT((BXL!$AU$4:'BXL'!$AU$103=A125)*BXL!$AX$4:$AX$103)</f>
        <v>0</v>
      </c>
      <c r="C125" s="139" cm="1">
        <f t="array" ref="C125">SUMPRODUCT((BXL!$AA$4:'BXL'!$AA$103=A125)*BXL!$AE$4:$AE$103)+SUMPRODUCT((BXL!$AB$4:'BXL'!$AB$103=A125)*BXL!$AE$4:$AE$103)+SUMPRODUCT((BXL!$AU$4:'BXL'!$AU$103=A125)*BXL!$AY$4:$AY$103)</f>
        <v>0</v>
      </c>
      <c r="D125" s="136" cm="1">
        <f t="array" ref="D125">SUMPRODUCT((BXL!$AA$4:'BXL'!$AA$103=A125)*BXL!$AF$4:$AF$103)+SUMPRODUCT((BXL!$AB$4:'BXL'!$AB$103=A125)*BXL!$AF$4:$AF$103)+SUMPRODUCT((BXL!$AU$4:'BXL'!$AU$103=A125)*BXL!$AV$4:$AV$103)</f>
        <v>0</v>
      </c>
      <c r="E125" s="136" cm="1">
        <f t="array" ref="E125">SUMPRODUCT((BXL!$AA$4:'BXL'!$AA$103=A125)*BXL!$AG$4:$AG$103)+SUMPRODUCT((BXL!$AB$4:'BXL'!$AB$103=A125)*BXL!$AG$4:$AG$103)+SUMPRODUCT((BXL!$AU$4:'BXL'!$AU$103=A125)*BXL!$AW$4:$AW$103)</f>
        <v>0</v>
      </c>
      <c r="F125" s="136" cm="1">
        <f t="array" ref="F125">SUMPRODUCT((BXL!$AA$4:'BXL'!$AA$103=A125)*BXL!$AH$4:$AH$103)+SUMPRODUCT((BXL!$AB$4:'BXL'!$AB$103=A125)*BXL!$AH$4:$AH$103)+SUMPRODUCT((BXL!$AU$4:'BXL'!$AU$103=A125)*BXL!$AZ$4:$AZ$103)</f>
        <v>0</v>
      </c>
      <c r="G125" s="136" cm="1">
        <f t="array" ref="G125">SUMPRODUCT((BXL!$AA$4:'BXL'!$AA$103=A125)*BXL!$AI$4:$AI$103)+SUMPRODUCT((BXL!$AB$4:'BXL'!$AB$103=A125)*BXL!$AI$4:$AI$103)+SUMPRODUCT((BXL!$AU$4:'BXL'!$AU$103=A125)*BXL!$BA$4:$BA$103)</f>
        <v>0</v>
      </c>
      <c r="H125" s="115"/>
      <c r="I125" s="139">
        <f t="shared" si="15"/>
        <v>15386.751969999999</v>
      </c>
      <c r="J125" s="136">
        <f t="shared" si="17"/>
        <v>1368.0108500000001</v>
      </c>
      <c r="K125" s="136">
        <f t="shared" si="17"/>
        <v>14018.741120000001</v>
      </c>
      <c r="L125" s="136">
        <f t="shared" si="17"/>
        <v>1022.4519886315788</v>
      </c>
      <c r="M125" s="136">
        <f t="shared" si="17"/>
        <v>799.4706226666666</v>
      </c>
      <c r="N125" s="115"/>
      <c r="O125" s="131">
        <f>C125*(Hypotheses!H89*Hypotheses!$D$19+Hypotheses!$D$14*(1-Hypotheses!H89))</f>
        <v>0</v>
      </c>
      <c r="P125" s="131">
        <f>C125*(Hypotheses!I89*Hypotheses!$D$19+Hypotheses!$D$14*(1-Hypotheses!I89))</f>
        <v>0</v>
      </c>
      <c r="Q125" s="131">
        <f>C125*(Hypotheses!J89*Hypotheses!$D$19+Hypotheses!$D$14*(1-Hypotheses!J89))</f>
        <v>0</v>
      </c>
      <c r="R125" s="115"/>
      <c r="S125" s="131">
        <f>C125*(Hypotheses!H89*Hypotheses!$D$21+Hypotheses!$D$14*(1-Hypotheses!H89))</f>
        <v>0</v>
      </c>
      <c r="T125" s="131">
        <f>C125*(Hypotheses!I89*Hypotheses!$D$21+Hypotheses!$D$14*(1-Hypotheses!I89))</f>
        <v>0</v>
      </c>
      <c r="U125" s="131">
        <f>C125*(Hypotheses!J89*Hypotheses!$D$21+Hypotheses!$D$14*(1-Hypotheses!J89))</f>
        <v>0</v>
      </c>
      <c r="V125" s="115"/>
      <c r="W125" s="128">
        <f>-C125*Hypotheses!$D$31*Hypotheses!H89</f>
        <v>0</v>
      </c>
      <c r="X125" s="128">
        <f>-C125*Hypotheses!$D$31*Hypotheses!I89</f>
        <v>0</v>
      </c>
      <c r="Y125" s="128">
        <f>-C125*Hypotheses!$D$31*Hypotheses!J89</f>
        <v>0</v>
      </c>
      <c r="Z125" s="126">
        <f>-C125*Hypotheses!$D$30*Hypotheses!H89</f>
        <v>0</v>
      </c>
      <c r="AA125" s="126">
        <f>-C125*Hypotheses!$D$30*Hypotheses!I89</f>
        <v>0</v>
      </c>
      <c r="AB125" s="126">
        <f>-C125*Hypotheses!$D$30*Hypotheses!J89</f>
        <v>0</v>
      </c>
      <c r="AC125" s="115"/>
      <c r="AD125" s="128">
        <f t="shared" si="19"/>
        <v>-717.50534519999997</v>
      </c>
      <c r="AE125" s="128">
        <f t="shared" si="19"/>
        <v>-3304.3903025086101</v>
      </c>
      <c r="AF125" s="128">
        <f t="shared" si="19"/>
        <v>-6537.9964991443721</v>
      </c>
      <c r="AG125" s="126">
        <f t="shared" si="18"/>
        <v>-179.37633629999999</v>
      </c>
      <c r="AH125" s="126">
        <f t="shared" si="18"/>
        <v>-826.09757562715254</v>
      </c>
      <c r="AI125" s="126">
        <f t="shared" si="18"/>
        <v>-1634.499124786093</v>
      </c>
      <c r="AJ125" s="115"/>
      <c r="AK125" s="131">
        <f t="shared" si="10"/>
        <v>139.91354231399998</v>
      </c>
      <c r="AL125" s="131">
        <f t="shared" si="10"/>
        <v>126.97911752745695</v>
      </c>
      <c r="AM125" s="131">
        <f t="shared" si="10"/>
        <v>110.81108654427813</v>
      </c>
      <c r="AN125" s="115"/>
      <c r="AO125" s="131">
        <f t="shared" si="11"/>
        <v>150.67612249199999</v>
      </c>
      <c r="AP125" s="131">
        <f t="shared" si="11"/>
        <v>176.54497206508609</v>
      </c>
      <c r="AQ125" s="131">
        <f t="shared" si="11"/>
        <v>208.88103403144373</v>
      </c>
      <c r="AR125" s="115"/>
      <c r="AS125" s="126">
        <f t="shared" si="12"/>
        <v>-39.462793986000008</v>
      </c>
      <c r="AT125" s="126">
        <f t="shared" si="12"/>
        <v>-699.11845809969554</v>
      </c>
      <c r="AU125" s="126">
        <f t="shared" si="12"/>
        <v>-1523.6880382418149</v>
      </c>
      <c r="AV125" s="115"/>
      <c r="AW125" s="126">
        <f t="shared" si="13"/>
        <v>-28.700213808000001</v>
      </c>
      <c r="AX125" s="126">
        <f t="shared" si="13"/>
        <v>-649.55260356206645</v>
      </c>
      <c r="AY125" s="126">
        <f t="shared" si="13"/>
        <v>-1425.6180907546493</v>
      </c>
      <c r="AZ125" s="115"/>
    </row>
  </sheetData>
  <mergeCells count="19">
    <mergeCell ref="AD2:AI2"/>
    <mergeCell ref="AK2:AM2"/>
    <mergeCell ref="B1:G1"/>
    <mergeCell ref="I1:M1"/>
    <mergeCell ref="O1:Q1"/>
    <mergeCell ref="S1:U1"/>
    <mergeCell ref="W1:AB1"/>
    <mergeCell ref="AD1:AI1"/>
    <mergeCell ref="B2:G2"/>
    <mergeCell ref="I2:M2"/>
    <mergeCell ref="O2:Q2"/>
    <mergeCell ref="S2:U2"/>
    <mergeCell ref="W2:AB2"/>
    <mergeCell ref="AO2:AQ2"/>
    <mergeCell ref="AS2:AU2"/>
    <mergeCell ref="AW2:AY2"/>
    <mergeCell ref="AK1:AM1"/>
    <mergeCell ref="AO1:AQ1"/>
    <mergeCell ref="AS1:AY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B2A12-930C-450A-996F-6F65F65B233E}">
  <dimension ref="A1:AD124"/>
  <sheetViews>
    <sheetView zoomScale="85" zoomScaleNormal="85"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9.140625" style="94"/>
    <col min="2" max="7" width="12.7109375" style="94" customWidth="1"/>
    <col min="8" max="8" width="2.85546875" style="111" customWidth="1"/>
    <col min="9" max="11" width="15" style="94" customWidth="1"/>
    <col min="12" max="12" width="2.85546875" style="111" customWidth="1"/>
    <col min="13" max="18" width="15" style="94" customWidth="1"/>
    <col min="19" max="19" width="2.85546875" style="111" customWidth="1"/>
    <col min="20" max="22" width="15" style="94" customWidth="1"/>
    <col min="23" max="23" width="2.85546875" style="111" customWidth="1"/>
    <col min="24" max="29" width="15" style="94" customWidth="1"/>
    <col min="30" max="30" width="2.85546875" style="111" customWidth="1"/>
    <col min="31" max="16384" width="9.140625" style="94"/>
  </cols>
  <sheetData>
    <row r="1" spans="1:30" x14ac:dyDescent="0.25">
      <c r="B1" s="274" t="s">
        <v>285</v>
      </c>
      <c r="C1" s="274"/>
      <c r="D1" s="274"/>
      <c r="E1" s="274"/>
      <c r="F1" s="274"/>
      <c r="G1" s="274"/>
      <c r="H1" s="109"/>
      <c r="I1" s="274" t="s">
        <v>400</v>
      </c>
      <c r="J1" s="274"/>
      <c r="K1" s="274"/>
      <c r="L1" s="109"/>
      <c r="M1" s="274" t="s">
        <v>284</v>
      </c>
      <c r="N1" s="274"/>
      <c r="O1" s="274"/>
      <c r="P1" s="274"/>
      <c r="Q1" s="274"/>
      <c r="R1" s="274"/>
      <c r="S1" s="109"/>
      <c r="T1" s="274" t="s">
        <v>401</v>
      </c>
      <c r="U1" s="274"/>
      <c r="V1" s="274"/>
      <c r="W1" s="109"/>
      <c r="X1" s="274" t="s">
        <v>283</v>
      </c>
      <c r="Y1" s="274"/>
      <c r="Z1" s="274"/>
      <c r="AA1" s="274"/>
      <c r="AB1" s="274"/>
      <c r="AC1" s="274"/>
      <c r="AD1" s="109"/>
    </row>
    <row r="2" spans="1:30" s="106" customFormat="1" ht="30" x14ac:dyDescent="0.25">
      <c r="B2" s="137" t="s">
        <v>367</v>
      </c>
      <c r="C2" s="137" t="s">
        <v>122</v>
      </c>
      <c r="D2" s="133" t="s">
        <v>254</v>
      </c>
      <c r="E2" s="133" t="s">
        <v>255</v>
      </c>
      <c r="F2" s="134" t="s">
        <v>371</v>
      </c>
      <c r="G2" s="134" t="s">
        <v>233</v>
      </c>
      <c r="H2" s="108"/>
      <c r="I2" s="129" t="s">
        <v>274</v>
      </c>
      <c r="J2" s="129" t="s">
        <v>276</v>
      </c>
      <c r="K2" s="129" t="s">
        <v>275</v>
      </c>
      <c r="L2" s="108"/>
      <c r="M2" s="132" t="s">
        <v>282</v>
      </c>
      <c r="N2" s="132" t="s">
        <v>286</v>
      </c>
      <c r="O2" s="132" t="s">
        <v>287</v>
      </c>
      <c r="P2" s="124" t="s">
        <v>274</v>
      </c>
      <c r="Q2" s="124" t="s">
        <v>276</v>
      </c>
      <c r="R2" s="124" t="s">
        <v>275</v>
      </c>
      <c r="S2" s="108"/>
      <c r="T2" s="129" t="s">
        <v>274</v>
      </c>
      <c r="U2" s="129" t="s">
        <v>276</v>
      </c>
      <c r="V2" s="129" t="s">
        <v>275</v>
      </c>
      <c r="W2" s="108"/>
      <c r="X2" s="132" t="s">
        <v>282</v>
      </c>
      <c r="Y2" s="132" t="s">
        <v>282</v>
      </c>
      <c r="Z2" s="132" t="s">
        <v>282</v>
      </c>
      <c r="AA2" s="124" t="s">
        <v>274</v>
      </c>
      <c r="AB2" s="124" t="s">
        <v>276</v>
      </c>
      <c r="AC2" s="124" t="s">
        <v>275</v>
      </c>
      <c r="AD2" s="108"/>
    </row>
    <row r="3" spans="1:30" s="20" customFormat="1" x14ac:dyDescent="0.25">
      <c r="A3" s="105"/>
      <c r="B3" s="138" t="s">
        <v>7</v>
      </c>
      <c r="C3" s="138" t="s">
        <v>8</v>
      </c>
      <c r="D3" s="135" t="s">
        <v>8</v>
      </c>
      <c r="E3" s="135" t="s">
        <v>8</v>
      </c>
      <c r="F3" s="135" t="s">
        <v>1</v>
      </c>
      <c r="G3" s="135" t="s">
        <v>1</v>
      </c>
      <c r="H3" s="110"/>
      <c r="I3" s="130" t="s">
        <v>8</v>
      </c>
      <c r="J3" s="130" t="s">
        <v>8</v>
      </c>
      <c r="K3" s="130" t="s">
        <v>8</v>
      </c>
      <c r="L3" s="110"/>
      <c r="M3" s="127" t="s">
        <v>8</v>
      </c>
      <c r="N3" s="127" t="s">
        <v>8</v>
      </c>
      <c r="O3" s="127" t="s">
        <v>8</v>
      </c>
      <c r="P3" s="125" t="s">
        <v>8</v>
      </c>
      <c r="Q3" s="125" t="s">
        <v>8</v>
      </c>
      <c r="R3" s="125" t="s">
        <v>8</v>
      </c>
      <c r="S3" s="110"/>
      <c r="T3" s="130" t="s">
        <v>8</v>
      </c>
      <c r="U3" s="130" t="s">
        <v>8</v>
      </c>
      <c r="V3" s="130" t="s">
        <v>8</v>
      </c>
      <c r="W3" s="110"/>
      <c r="X3" s="127" t="s">
        <v>8</v>
      </c>
      <c r="Y3" s="127" t="s">
        <v>8</v>
      </c>
      <c r="Z3" s="127" t="s">
        <v>8</v>
      </c>
      <c r="AA3" s="125" t="s">
        <v>8</v>
      </c>
      <c r="AB3" s="125" t="s">
        <v>8</v>
      </c>
      <c r="AC3" s="125" t="s">
        <v>8</v>
      </c>
      <c r="AD3" s="110"/>
    </row>
    <row r="4" spans="1:30" x14ac:dyDescent="0.25">
      <c r="A4" s="94">
        <v>1950</v>
      </c>
      <c r="B4" s="139">
        <f>Bxl_Inflow!B5-Bxl_Outflow!B5</f>
        <v>0</v>
      </c>
      <c r="C4" s="139">
        <f>Bxl_Inflow!C5-Bxl_Outflow!C5</f>
        <v>0</v>
      </c>
      <c r="D4" s="136">
        <f>Bxl_Inflow!D5-Bxl_Outflow!D5</f>
        <v>0</v>
      </c>
      <c r="E4" s="136">
        <f>Bxl_Inflow!E5-Bxl_Outflow!E5</f>
        <v>0</v>
      </c>
      <c r="F4" s="136">
        <f>Bxl_Inflow!F5-Bxl_Outflow!F5</f>
        <v>0</v>
      </c>
      <c r="G4" s="136">
        <f>Bxl_Inflow!G5-Bxl_Outflow!G5</f>
        <v>0</v>
      </c>
      <c r="H4" s="115"/>
      <c r="I4" s="131"/>
      <c r="J4" s="131"/>
      <c r="K4" s="131"/>
      <c r="L4" s="115"/>
      <c r="M4" s="128"/>
      <c r="N4" s="128"/>
      <c r="O4" s="128"/>
      <c r="P4" s="126"/>
      <c r="Q4" s="126"/>
      <c r="R4" s="126"/>
      <c r="S4" s="115"/>
      <c r="T4" s="131"/>
      <c r="U4" s="131"/>
      <c r="V4" s="131"/>
      <c r="W4" s="115"/>
      <c r="X4" s="128"/>
      <c r="Y4" s="128"/>
      <c r="Z4" s="128"/>
      <c r="AA4" s="126"/>
      <c r="AB4" s="126"/>
      <c r="AC4" s="126"/>
      <c r="AD4" s="115"/>
    </row>
    <row r="5" spans="1:30" x14ac:dyDescent="0.25">
      <c r="A5" s="94">
        <v>1951</v>
      </c>
      <c r="B5" s="139">
        <f>Bxl_Inflow!B6-Bxl_Outflow!B6+B4</f>
        <v>0</v>
      </c>
      <c r="C5" s="139">
        <f>Bxl_Inflow!C6-Bxl_Outflow!C6+C4</f>
        <v>0</v>
      </c>
      <c r="D5" s="136">
        <f>Bxl_Inflow!D6-Bxl_Outflow!D6+D4</f>
        <v>0</v>
      </c>
      <c r="E5" s="136">
        <f>Bxl_Inflow!E6-Bxl_Outflow!E6+E4</f>
        <v>0</v>
      </c>
      <c r="F5" s="136">
        <f>Bxl_Inflow!F6-Bxl_Outflow!F6+F4</f>
        <v>0</v>
      </c>
      <c r="G5" s="136">
        <f>Bxl_Inflow!G6-Bxl_Outflow!G6+G4</f>
        <v>0</v>
      </c>
      <c r="H5" s="115"/>
      <c r="I5" s="131"/>
      <c r="J5" s="131"/>
      <c r="K5" s="131"/>
      <c r="L5" s="115"/>
      <c r="M5" s="128"/>
      <c r="N5" s="128"/>
      <c r="O5" s="128"/>
      <c r="P5" s="126"/>
      <c r="Q5" s="126"/>
      <c r="R5" s="126"/>
      <c r="S5" s="115"/>
      <c r="T5" s="131"/>
      <c r="U5" s="131"/>
      <c r="V5" s="131"/>
      <c r="W5" s="115"/>
      <c r="X5" s="128"/>
      <c r="Y5" s="128"/>
      <c r="Z5" s="128"/>
      <c r="AA5" s="126"/>
      <c r="AB5" s="126"/>
      <c r="AC5" s="126"/>
      <c r="AD5" s="115"/>
    </row>
    <row r="6" spans="1:30" x14ac:dyDescent="0.25">
      <c r="A6" s="94">
        <v>1952</v>
      </c>
      <c r="B6" s="139">
        <f>Bxl_Inflow!B7-Bxl_Outflow!B7+B5</f>
        <v>0</v>
      </c>
      <c r="C6" s="139">
        <f>Bxl_Inflow!C7-Bxl_Outflow!C7+C5</f>
        <v>0</v>
      </c>
      <c r="D6" s="136">
        <f>Bxl_Inflow!D7-Bxl_Outflow!D7+D5</f>
        <v>0</v>
      </c>
      <c r="E6" s="136">
        <f>Bxl_Inflow!E7-Bxl_Outflow!E7+E5</f>
        <v>0</v>
      </c>
      <c r="F6" s="136">
        <f>Bxl_Inflow!F7-Bxl_Outflow!F7+F5</f>
        <v>0</v>
      </c>
      <c r="G6" s="136">
        <f>Bxl_Inflow!G7-Bxl_Outflow!G7+G5</f>
        <v>0</v>
      </c>
      <c r="H6" s="115"/>
      <c r="I6" s="131"/>
      <c r="J6" s="131"/>
      <c r="K6" s="131"/>
      <c r="L6" s="115"/>
      <c r="M6" s="128"/>
      <c r="N6" s="128"/>
      <c r="O6" s="128"/>
      <c r="P6" s="126"/>
      <c r="Q6" s="126"/>
      <c r="R6" s="126"/>
      <c r="S6" s="115"/>
      <c r="T6" s="131"/>
      <c r="U6" s="131"/>
      <c r="V6" s="131"/>
      <c r="W6" s="115"/>
      <c r="X6" s="128"/>
      <c r="Y6" s="128"/>
      <c r="Z6" s="128"/>
      <c r="AA6" s="126"/>
      <c r="AB6" s="126"/>
      <c r="AC6" s="126"/>
      <c r="AD6" s="115"/>
    </row>
    <row r="7" spans="1:30" x14ac:dyDescent="0.25">
      <c r="A7" s="94">
        <v>1953</v>
      </c>
      <c r="B7" s="139">
        <f>Bxl_Inflow!B8-Bxl_Outflow!B8+B6</f>
        <v>0</v>
      </c>
      <c r="C7" s="139">
        <f>Bxl_Inflow!C8-Bxl_Outflow!C8+C6</f>
        <v>0</v>
      </c>
      <c r="D7" s="136">
        <f>Bxl_Inflow!D8-Bxl_Outflow!D8+D6</f>
        <v>0</v>
      </c>
      <c r="E7" s="136">
        <f>Bxl_Inflow!E8-Bxl_Outflow!E8+E6</f>
        <v>0</v>
      </c>
      <c r="F7" s="136">
        <f>Bxl_Inflow!F8-Bxl_Outflow!F8+F6</f>
        <v>0</v>
      </c>
      <c r="G7" s="136">
        <f>Bxl_Inflow!G8-Bxl_Outflow!G8+G6</f>
        <v>0</v>
      </c>
      <c r="H7" s="115"/>
      <c r="I7" s="131"/>
      <c r="J7" s="131"/>
      <c r="K7" s="131"/>
      <c r="L7" s="115"/>
      <c r="M7" s="128"/>
      <c r="N7" s="128"/>
      <c r="O7" s="128"/>
      <c r="P7" s="126"/>
      <c r="Q7" s="126"/>
      <c r="R7" s="126"/>
      <c r="S7" s="115"/>
      <c r="T7" s="131"/>
      <c r="U7" s="131"/>
      <c r="V7" s="131"/>
      <c r="W7" s="115"/>
      <c r="X7" s="128"/>
      <c r="Y7" s="128"/>
      <c r="Z7" s="128"/>
      <c r="AA7" s="126"/>
      <c r="AB7" s="126"/>
      <c r="AC7" s="126"/>
      <c r="AD7" s="115"/>
    </row>
    <row r="8" spans="1:30" x14ac:dyDescent="0.25">
      <c r="A8" s="94">
        <v>1954</v>
      </c>
      <c r="B8" s="139">
        <f>Bxl_Inflow!B9-Bxl_Outflow!B9+B7</f>
        <v>0</v>
      </c>
      <c r="C8" s="139">
        <f>Bxl_Inflow!C9-Bxl_Outflow!C9+C7</f>
        <v>0</v>
      </c>
      <c r="D8" s="136">
        <f>Bxl_Inflow!D9-Bxl_Outflow!D9+D7</f>
        <v>0</v>
      </c>
      <c r="E8" s="136">
        <f>Bxl_Inflow!E9-Bxl_Outflow!E9+E7</f>
        <v>0</v>
      </c>
      <c r="F8" s="136">
        <f>Bxl_Inflow!F9-Bxl_Outflow!F9+F7</f>
        <v>0</v>
      </c>
      <c r="G8" s="136">
        <f>Bxl_Inflow!G9-Bxl_Outflow!G9+G7</f>
        <v>0</v>
      </c>
      <c r="H8" s="115"/>
      <c r="I8" s="131"/>
      <c r="J8" s="131"/>
      <c r="K8" s="131"/>
      <c r="L8" s="115"/>
      <c r="M8" s="128"/>
      <c r="N8" s="128"/>
      <c r="O8" s="128"/>
      <c r="P8" s="126"/>
      <c r="Q8" s="126"/>
      <c r="R8" s="126"/>
      <c r="S8" s="115"/>
      <c r="T8" s="131"/>
      <c r="U8" s="131"/>
      <c r="V8" s="131"/>
      <c r="W8" s="115"/>
      <c r="X8" s="128"/>
      <c r="Y8" s="128"/>
      <c r="Z8" s="128"/>
      <c r="AA8" s="126"/>
      <c r="AB8" s="126"/>
      <c r="AC8" s="126"/>
      <c r="AD8" s="115"/>
    </row>
    <row r="9" spans="1:30" x14ac:dyDescent="0.25">
      <c r="A9" s="94">
        <v>1955</v>
      </c>
      <c r="B9" s="139">
        <f>Bxl_Inflow!B10-Bxl_Outflow!B10+B8</f>
        <v>0</v>
      </c>
      <c r="C9" s="139">
        <f>Bxl_Inflow!C10-Bxl_Outflow!C10+C8</f>
        <v>0</v>
      </c>
      <c r="D9" s="136">
        <f>Bxl_Inflow!D10-Bxl_Outflow!D10+D8</f>
        <v>0</v>
      </c>
      <c r="E9" s="136">
        <f>Bxl_Inflow!E10-Bxl_Outflow!E10+E8</f>
        <v>0</v>
      </c>
      <c r="F9" s="136">
        <f>Bxl_Inflow!F10-Bxl_Outflow!F10+F8</f>
        <v>0</v>
      </c>
      <c r="G9" s="136">
        <f>Bxl_Inflow!G10-Bxl_Outflow!G10+G8</f>
        <v>0</v>
      </c>
      <c r="H9" s="115"/>
      <c r="I9" s="131"/>
      <c r="J9" s="131"/>
      <c r="K9" s="131"/>
      <c r="L9" s="115"/>
      <c r="M9" s="128"/>
      <c r="N9" s="128"/>
      <c r="O9" s="128"/>
      <c r="P9" s="126"/>
      <c r="Q9" s="126"/>
      <c r="R9" s="126"/>
      <c r="S9" s="115"/>
      <c r="T9" s="131"/>
      <c r="U9" s="131"/>
      <c r="V9" s="131"/>
      <c r="W9" s="115"/>
      <c r="X9" s="128"/>
      <c r="Y9" s="128"/>
      <c r="Z9" s="128"/>
      <c r="AA9" s="126"/>
      <c r="AB9" s="126"/>
      <c r="AC9" s="126"/>
      <c r="AD9" s="115"/>
    </row>
    <row r="10" spans="1:30" x14ac:dyDescent="0.25">
      <c r="A10" s="94">
        <v>1956</v>
      </c>
      <c r="B10" s="139">
        <f>Bxl_Inflow!B11-Bxl_Outflow!B11+B9</f>
        <v>0</v>
      </c>
      <c r="C10" s="139">
        <f>Bxl_Inflow!C11-Bxl_Outflow!C11+C9</f>
        <v>0</v>
      </c>
      <c r="D10" s="136">
        <f>Bxl_Inflow!D11-Bxl_Outflow!D11+D9</f>
        <v>0</v>
      </c>
      <c r="E10" s="136">
        <f>Bxl_Inflow!E11-Bxl_Outflow!E11+E9</f>
        <v>0</v>
      </c>
      <c r="F10" s="136">
        <f>Bxl_Inflow!F11-Bxl_Outflow!F11+F9</f>
        <v>0</v>
      </c>
      <c r="G10" s="136">
        <f>Bxl_Inflow!G11-Bxl_Outflow!G11+G9</f>
        <v>0</v>
      </c>
      <c r="H10" s="115"/>
      <c r="I10" s="131"/>
      <c r="J10" s="131"/>
      <c r="K10" s="131"/>
      <c r="L10" s="115"/>
      <c r="M10" s="128"/>
      <c r="N10" s="128"/>
      <c r="O10" s="128"/>
      <c r="P10" s="126"/>
      <c r="Q10" s="126"/>
      <c r="R10" s="126"/>
      <c r="S10" s="115"/>
      <c r="T10" s="131"/>
      <c r="U10" s="131"/>
      <c r="V10" s="131"/>
      <c r="W10" s="115"/>
      <c r="X10" s="128"/>
      <c r="Y10" s="128"/>
      <c r="Z10" s="128"/>
      <c r="AA10" s="126"/>
      <c r="AB10" s="126"/>
      <c r="AC10" s="126"/>
      <c r="AD10" s="115"/>
    </row>
    <row r="11" spans="1:30" x14ac:dyDescent="0.25">
      <c r="A11" s="94">
        <v>1957</v>
      </c>
      <c r="B11" s="139">
        <f>Bxl_Inflow!B12-Bxl_Outflow!B12+B10</f>
        <v>0</v>
      </c>
      <c r="C11" s="139">
        <f>Bxl_Inflow!C12-Bxl_Outflow!C12+C10</f>
        <v>0</v>
      </c>
      <c r="D11" s="136">
        <f>Bxl_Inflow!D12-Bxl_Outflow!D12+D10</f>
        <v>0</v>
      </c>
      <c r="E11" s="136">
        <f>Bxl_Inflow!E12-Bxl_Outflow!E12+E10</f>
        <v>0</v>
      </c>
      <c r="F11" s="136">
        <f>Bxl_Inflow!F12-Bxl_Outflow!F12+F10</f>
        <v>0</v>
      </c>
      <c r="G11" s="136">
        <f>Bxl_Inflow!G12-Bxl_Outflow!G12+G10</f>
        <v>0</v>
      </c>
      <c r="H11" s="115"/>
      <c r="I11" s="131"/>
      <c r="J11" s="131"/>
      <c r="K11" s="131"/>
      <c r="L11" s="115"/>
      <c r="M11" s="128"/>
      <c r="N11" s="128"/>
      <c r="O11" s="128"/>
      <c r="P11" s="126"/>
      <c r="Q11" s="126"/>
      <c r="R11" s="126"/>
      <c r="S11" s="115"/>
      <c r="T11" s="131"/>
      <c r="U11" s="131"/>
      <c r="V11" s="131"/>
      <c r="W11" s="115"/>
      <c r="X11" s="128"/>
      <c r="Y11" s="128"/>
      <c r="Z11" s="128"/>
      <c r="AA11" s="126"/>
      <c r="AB11" s="126"/>
      <c r="AC11" s="126"/>
      <c r="AD11" s="115"/>
    </row>
    <row r="12" spans="1:30" x14ac:dyDescent="0.25">
      <c r="A12" s="94">
        <v>1958</v>
      </c>
      <c r="B12" s="139">
        <f>Bxl_Inflow!B13-Bxl_Outflow!B13+B11</f>
        <v>0</v>
      </c>
      <c r="C12" s="139">
        <f>Bxl_Inflow!C13-Bxl_Outflow!C13+C11</f>
        <v>0</v>
      </c>
      <c r="D12" s="136">
        <f>Bxl_Inflow!D13-Bxl_Outflow!D13+D11</f>
        <v>0</v>
      </c>
      <c r="E12" s="136">
        <f>Bxl_Inflow!E13-Bxl_Outflow!E13+E11</f>
        <v>0</v>
      </c>
      <c r="F12" s="136">
        <f>Bxl_Inflow!F13-Bxl_Outflow!F13+F11</f>
        <v>0</v>
      </c>
      <c r="G12" s="136">
        <f>Bxl_Inflow!G13-Bxl_Outflow!G13+G11</f>
        <v>0</v>
      </c>
      <c r="H12" s="115"/>
      <c r="I12" s="131"/>
      <c r="J12" s="131"/>
      <c r="K12" s="131"/>
      <c r="L12" s="115"/>
      <c r="M12" s="128"/>
      <c r="N12" s="128"/>
      <c r="O12" s="128"/>
      <c r="P12" s="126"/>
      <c r="Q12" s="126"/>
      <c r="R12" s="126"/>
      <c r="S12" s="115"/>
      <c r="T12" s="131"/>
      <c r="U12" s="131"/>
      <c r="V12" s="131"/>
      <c r="W12" s="115"/>
      <c r="X12" s="128"/>
      <c r="Y12" s="128"/>
      <c r="Z12" s="128"/>
      <c r="AA12" s="126"/>
      <c r="AB12" s="126"/>
      <c r="AC12" s="126"/>
      <c r="AD12" s="115"/>
    </row>
    <row r="13" spans="1:30" x14ac:dyDescent="0.25">
      <c r="A13" s="94">
        <v>1959</v>
      </c>
      <c r="B13" s="139">
        <f>Bxl_Inflow!B14-Bxl_Outflow!B14+B12</f>
        <v>0</v>
      </c>
      <c r="C13" s="139">
        <f>Bxl_Inflow!C14-Bxl_Outflow!C14+C12</f>
        <v>0</v>
      </c>
      <c r="D13" s="136">
        <f>Bxl_Inflow!D14-Bxl_Outflow!D14+D12</f>
        <v>0</v>
      </c>
      <c r="E13" s="136">
        <f>Bxl_Inflow!E14-Bxl_Outflow!E14+E12</f>
        <v>0</v>
      </c>
      <c r="F13" s="136">
        <f>Bxl_Inflow!F14-Bxl_Outflow!F14+F12</f>
        <v>0</v>
      </c>
      <c r="G13" s="136">
        <f>Bxl_Inflow!G14-Bxl_Outflow!G14+G12</f>
        <v>0</v>
      </c>
      <c r="H13" s="115"/>
      <c r="I13" s="131"/>
      <c r="J13" s="131"/>
      <c r="K13" s="131"/>
      <c r="L13" s="115"/>
      <c r="M13" s="128"/>
      <c r="N13" s="128"/>
      <c r="O13" s="128"/>
      <c r="P13" s="126"/>
      <c r="Q13" s="126"/>
      <c r="R13" s="126"/>
      <c r="S13" s="115"/>
      <c r="T13" s="131"/>
      <c r="U13" s="131"/>
      <c r="V13" s="131"/>
      <c r="W13" s="115"/>
      <c r="X13" s="128"/>
      <c r="Y13" s="128"/>
      <c r="Z13" s="128"/>
      <c r="AA13" s="126"/>
      <c r="AB13" s="126"/>
      <c r="AC13" s="126"/>
      <c r="AD13" s="115"/>
    </row>
    <row r="14" spans="1:30" x14ac:dyDescent="0.25">
      <c r="A14" s="94">
        <v>1960</v>
      </c>
      <c r="B14" s="139">
        <f>Bxl_Inflow!B15-Bxl_Outflow!B15+B13</f>
        <v>0</v>
      </c>
      <c r="C14" s="139">
        <f>Bxl_Inflow!C15-Bxl_Outflow!C15+C13</f>
        <v>0</v>
      </c>
      <c r="D14" s="136">
        <f>Bxl_Inflow!D15-Bxl_Outflow!D15+D13</f>
        <v>0</v>
      </c>
      <c r="E14" s="136">
        <f>Bxl_Inflow!E15-Bxl_Outflow!E15+E13</f>
        <v>0</v>
      </c>
      <c r="F14" s="136">
        <f>Bxl_Inflow!F15-Bxl_Outflow!F15+F13</f>
        <v>0</v>
      </c>
      <c r="G14" s="136">
        <f>Bxl_Inflow!G15-Bxl_Outflow!G15+G13</f>
        <v>0</v>
      </c>
      <c r="H14" s="115"/>
      <c r="I14" s="131"/>
      <c r="J14" s="131"/>
      <c r="K14" s="131"/>
      <c r="L14" s="115"/>
      <c r="M14" s="128"/>
      <c r="N14" s="128"/>
      <c r="O14" s="128"/>
      <c r="P14" s="126"/>
      <c r="Q14" s="126"/>
      <c r="R14" s="126"/>
      <c r="S14" s="115"/>
      <c r="T14" s="131"/>
      <c r="U14" s="131"/>
      <c r="V14" s="131"/>
      <c r="W14" s="115"/>
      <c r="X14" s="128"/>
      <c r="Y14" s="128"/>
      <c r="Z14" s="128"/>
      <c r="AA14" s="126"/>
      <c r="AB14" s="126"/>
      <c r="AC14" s="126"/>
      <c r="AD14" s="115"/>
    </row>
    <row r="15" spans="1:30" x14ac:dyDescent="0.25">
      <c r="A15" s="94">
        <v>1961</v>
      </c>
      <c r="B15" s="139">
        <f>Bxl_Inflow!B16-Bxl_Outflow!B16+B14</f>
        <v>33526</v>
      </c>
      <c r="C15" s="139">
        <f>Bxl_Inflow!C16-Bxl_Outflow!C16+C14</f>
        <v>726.05</v>
      </c>
      <c r="D15" s="136">
        <f>Bxl_Inflow!D16-Bxl_Outflow!D16+D14</f>
        <v>166.05</v>
      </c>
      <c r="E15" s="136">
        <f>Bxl_Inflow!E16-Bxl_Outflow!E16+E14</f>
        <v>560</v>
      </c>
      <c r="F15" s="136">
        <f>Bxl_Inflow!F16-Bxl_Outflow!F16+F14</f>
        <v>16.961052631578948</v>
      </c>
      <c r="G15" s="136">
        <f>Bxl_Inflow!G16-Bxl_Outflow!G16+G14</f>
        <v>0</v>
      </c>
      <c r="H15" s="115"/>
      <c r="I15" s="131"/>
      <c r="J15" s="131"/>
      <c r="K15" s="131"/>
      <c r="L15" s="115"/>
      <c r="M15" s="128"/>
      <c r="N15" s="128"/>
      <c r="O15" s="128"/>
      <c r="P15" s="126"/>
      <c r="Q15" s="126"/>
      <c r="R15" s="126"/>
      <c r="S15" s="115"/>
      <c r="T15" s="131"/>
      <c r="U15" s="131"/>
      <c r="V15" s="131"/>
      <c r="W15" s="115"/>
      <c r="X15" s="128"/>
      <c r="Y15" s="128"/>
      <c r="Z15" s="128"/>
      <c r="AA15" s="126"/>
      <c r="AB15" s="126"/>
      <c r="AC15" s="126"/>
      <c r="AD15" s="115"/>
    </row>
    <row r="16" spans="1:30" x14ac:dyDescent="0.25">
      <c r="A16" s="94">
        <v>1962</v>
      </c>
      <c r="B16" s="139">
        <f>Bxl_Inflow!B17-Bxl_Outflow!B17+B15</f>
        <v>33526</v>
      </c>
      <c r="C16" s="139">
        <f>Bxl_Inflow!C17-Bxl_Outflow!C17+C15</f>
        <v>726.05</v>
      </c>
      <c r="D16" s="136">
        <f>Bxl_Inflow!D17-Bxl_Outflow!D17+D15</f>
        <v>166.05</v>
      </c>
      <c r="E16" s="136">
        <f>Bxl_Inflow!E17-Bxl_Outflow!E17+E15</f>
        <v>560</v>
      </c>
      <c r="F16" s="136">
        <f>Bxl_Inflow!F17-Bxl_Outflow!F17+F15</f>
        <v>16.961052631578948</v>
      </c>
      <c r="G16" s="136">
        <f>Bxl_Inflow!G17-Bxl_Outflow!G17+G15</f>
        <v>0</v>
      </c>
      <c r="H16" s="115"/>
      <c r="I16" s="131"/>
      <c r="J16" s="131"/>
      <c r="K16" s="131"/>
      <c r="L16" s="115"/>
      <c r="M16" s="128"/>
      <c r="N16" s="128"/>
      <c r="O16" s="128"/>
      <c r="P16" s="126"/>
      <c r="Q16" s="126"/>
      <c r="R16" s="126"/>
      <c r="S16" s="115"/>
      <c r="T16" s="131"/>
      <c r="U16" s="131"/>
      <c r="V16" s="131"/>
      <c r="W16" s="115"/>
      <c r="X16" s="128"/>
      <c r="Y16" s="128"/>
      <c r="Z16" s="128"/>
      <c r="AA16" s="126"/>
      <c r="AB16" s="126"/>
      <c r="AC16" s="126"/>
      <c r="AD16" s="115"/>
    </row>
    <row r="17" spans="1:30" x14ac:dyDescent="0.25">
      <c r="A17" s="94">
        <v>1963</v>
      </c>
      <c r="B17" s="139">
        <f>Bxl_Inflow!B18-Bxl_Outflow!B18+B16</f>
        <v>33526</v>
      </c>
      <c r="C17" s="139">
        <f>Bxl_Inflow!C18-Bxl_Outflow!C18+C16</f>
        <v>726.05</v>
      </c>
      <c r="D17" s="136">
        <f>Bxl_Inflow!D18-Bxl_Outflow!D18+D16</f>
        <v>166.05</v>
      </c>
      <c r="E17" s="136">
        <f>Bxl_Inflow!E18-Bxl_Outflow!E18+E16</f>
        <v>560</v>
      </c>
      <c r="F17" s="136">
        <f>Bxl_Inflow!F18-Bxl_Outflow!F18+F16</f>
        <v>16.961052631578948</v>
      </c>
      <c r="G17" s="136">
        <f>Bxl_Inflow!G18-Bxl_Outflow!G18+G16</f>
        <v>0</v>
      </c>
      <c r="H17" s="115"/>
      <c r="I17" s="131"/>
      <c r="J17" s="131"/>
      <c r="K17" s="131"/>
      <c r="L17" s="115"/>
      <c r="M17" s="128"/>
      <c r="N17" s="128"/>
      <c r="O17" s="128"/>
      <c r="P17" s="126"/>
      <c r="Q17" s="126"/>
      <c r="R17" s="126"/>
      <c r="S17" s="115"/>
      <c r="T17" s="131"/>
      <c r="U17" s="131"/>
      <c r="V17" s="131"/>
      <c r="W17" s="115"/>
      <c r="X17" s="128"/>
      <c r="Y17" s="128"/>
      <c r="Z17" s="128"/>
      <c r="AA17" s="126"/>
      <c r="AB17" s="126"/>
      <c r="AC17" s="126"/>
      <c r="AD17" s="115"/>
    </row>
    <row r="18" spans="1:30" x14ac:dyDescent="0.25">
      <c r="A18" s="94">
        <v>1964</v>
      </c>
      <c r="B18" s="139">
        <f>Bxl_Inflow!B19-Bxl_Outflow!B19+B17</f>
        <v>33526</v>
      </c>
      <c r="C18" s="139">
        <f>Bxl_Inflow!C19-Bxl_Outflow!C19+C17</f>
        <v>726.05</v>
      </c>
      <c r="D18" s="136">
        <f>Bxl_Inflow!D19-Bxl_Outflow!D19+D17</f>
        <v>166.05</v>
      </c>
      <c r="E18" s="136">
        <f>Bxl_Inflow!E19-Bxl_Outflow!E19+E17</f>
        <v>560</v>
      </c>
      <c r="F18" s="136">
        <f>Bxl_Inflow!F19-Bxl_Outflow!F19+F17</f>
        <v>16.961052631578948</v>
      </c>
      <c r="G18" s="136">
        <f>Bxl_Inflow!G19-Bxl_Outflow!G19+G17</f>
        <v>0</v>
      </c>
      <c r="H18" s="115"/>
      <c r="I18" s="131"/>
      <c r="J18" s="131"/>
      <c r="K18" s="131"/>
      <c r="L18" s="115"/>
      <c r="M18" s="128"/>
      <c r="N18" s="128"/>
      <c r="O18" s="128"/>
      <c r="P18" s="126"/>
      <c r="Q18" s="126"/>
      <c r="R18" s="126"/>
      <c r="S18" s="115"/>
      <c r="T18" s="131"/>
      <c r="U18" s="131"/>
      <c r="V18" s="131"/>
      <c r="W18" s="115"/>
      <c r="X18" s="128"/>
      <c r="Y18" s="128"/>
      <c r="Z18" s="128"/>
      <c r="AA18" s="126"/>
      <c r="AB18" s="126"/>
      <c r="AC18" s="126"/>
      <c r="AD18" s="115"/>
    </row>
    <row r="19" spans="1:30" x14ac:dyDescent="0.25">
      <c r="A19" s="94">
        <v>1965</v>
      </c>
      <c r="B19" s="139">
        <f>Bxl_Inflow!B20-Bxl_Outflow!B20+B18</f>
        <v>46205.2</v>
      </c>
      <c r="C19" s="139">
        <f>Bxl_Inflow!C20-Bxl_Outflow!C20+C18</f>
        <v>1030.3507999999999</v>
      </c>
      <c r="D19" s="136">
        <f>Bxl_Inflow!D20-Bxl_Outflow!D20+D18</f>
        <v>185.06880000000001</v>
      </c>
      <c r="E19" s="136">
        <f>Bxl_Inflow!E20-Bxl_Outflow!E20+E18</f>
        <v>845.28199999999993</v>
      </c>
      <c r="F19" s="136">
        <f>Bxl_Inflow!F20-Bxl_Outflow!F20+F18</f>
        <v>37.247772631578954</v>
      </c>
      <c r="G19" s="136">
        <f>Bxl_Inflow!G20-Bxl_Outflow!G20+G18</f>
        <v>15.63768</v>
      </c>
      <c r="H19" s="115"/>
      <c r="I19" s="131"/>
      <c r="J19" s="131"/>
      <c r="K19" s="131"/>
      <c r="L19" s="115"/>
      <c r="M19" s="128"/>
      <c r="N19" s="128"/>
      <c r="O19" s="128"/>
      <c r="P19" s="126"/>
      <c r="Q19" s="126"/>
      <c r="R19" s="126"/>
      <c r="S19" s="115"/>
      <c r="T19" s="131"/>
      <c r="U19" s="131"/>
      <c r="V19" s="131"/>
      <c r="W19" s="115"/>
      <c r="X19" s="128"/>
      <c r="Y19" s="128"/>
      <c r="Z19" s="128"/>
      <c r="AA19" s="126"/>
      <c r="AB19" s="126"/>
      <c r="AC19" s="126"/>
      <c r="AD19" s="115"/>
    </row>
    <row r="20" spans="1:30" x14ac:dyDescent="0.25">
      <c r="A20" s="94">
        <v>1966</v>
      </c>
      <c r="B20" s="139">
        <f>Bxl_Inflow!B21-Bxl_Outflow!B21+B19</f>
        <v>46205.2</v>
      </c>
      <c r="C20" s="139">
        <f>Bxl_Inflow!C21-Bxl_Outflow!C21+C19</f>
        <v>1030.3507999999999</v>
      </c>
      <c r="D20" s="136">
        <f>Bxl_Inflow!D21-Bxl_Outflow!D21+D19</f>
        <v>185.06880000000001</v>
      </c>
      <c r="E20" s="136">
        <f>Bxl_Inflow!E21-Bxl_Outflow!E21+E19</f>
        <v>845.28199999999993</v>
      </c>
      <c r="F20" s="136">
        <f>Bxl_Inflow!F21-Bxl_Outflow!F21+F19</f>
        <v>37.247772631578954</v>
      </c>
      <c r="G20" s="136">
        <f>Bxl_Inflow!G21-Bxl_Outflow!G21+G19</f>
        <v>15.63768</v>
      </c>
      <c r="H20" s="115"/>
      <c r="I20" s="131"/>
      <c r="J20" s="131"/>
      <c r="K20" s="131"/>
      <c r="L20" s="115"/>
      <c r="M20" s="128"/>
      <c r="N20" s="128"/>
      <c r="O20" s="128"/>
      <c r="P20" s="126"/>
      <c r="Q20" s="126"/>
      <c r="R20" s="126"/>
      <c r="S20" s="115"/>
      <c r="T20" s="131"/>
      <c r="U20" s="131"/>
      <c r="V20" s="131"/>
      <c r="W20" s="115"/>
      <c r="X20" s="128"/>
      <c r="Y20" s="128"/>
      <c r="Z20" s="128"/>
      <c r="AA20" s="126"/>
      <c r="AB20" s="126"/>
      <c r="AC20" s="126"/>
      <c r="AD20" s="115"/>
    </row>
    <row r="21" spans="1:30" x14ac:dyDescent="0.25">
      <c r="A21" s="94">
        <v>1967</v>
      </c>
      <c r="B21" s="139">
        <f>Bxl_Inflow!B22-Bxl_Outflow!B22+B20</f>
        <v>46205.2</v>
      </c>
      <c r="C21" s="139">
        <f>Bxl_Inflow!C22-Bxl_Outflow!C22+C20</f>
        <v>1030.3507999999999</v>
      </c>
      <c r="D21" s="136">
        <f>Bxl_Inflow!D22-Bxl_Outflow!D22+D20</f>
        <v>185.06880000000001</v>
      </c>
      <c r="E21" s="136">
        <f>Bxl_Inflow!E22-Bxl_Outflow!E22+E20</f>
        <v>845.28199999999993</v>
      </c>
      <c r="F21" s="136">
        <f>Bxl_Inflow!F22-Bxl_Outflow!F22+F20</f>
        <v>37.247772631578954</v>
      </c>
      <c r="G21" s="136">
        <f>Bxl_Inflow!G22-Bxl_Outflow!G22+G20</f>
        <v>15.63768</v>
      </c>
      <c r="H21" s="115"/>
      <c r="I21" s="131"/>
      <c r="J21" s="131"/>
      <c r="K21" s="131"/>
      <c r="L21" s="115"/>
      <c r="M21" s="128"/>
      <c r="N21" s="128"/>
      <c r="O21" s="128"/>
      <c r="P21" s="126"/>
      <c r="Q21" s="126"/>
      <c r="R21" s="126"/>
      <c r="S21" s="115"/>
      <c r="T21" s="131"/>
      <c r="U21" s="131"/>
      <c r="V21" s="131"/>
      <c r="W21" s="115"/>
      <c r="X21" s="128"/>
      <c r="Y21" s="128"/>
      <c r="Z21" s="128"/>
      <c r="AA21" s="126"/>
      <c r="AB21" s="126"/>
      <c r="AC21" s="126"/>
      <c r="AD21" s="115"/>
    </row>
    <row r="22" spans="1:30" x14ac:dyDescent="0.25">
      <c r="A22" s="94">
        <v>1968</v>
      </c>
      <c r="B22" s="139">
        <f>Bxl_Inflow!B23-Bxl_Outflow!B23+B21</f>
        <v>46205.2</v>
      </c>
      <c r="C22" s="139">
        <f>Bxl_Inflow!C23-Bxl_Outflow!C23+C21</f>
        <v>1030.3507999999999</v>
      </c>
      <c r="D22" s="136">
        <f>Bxl_Inflow!D23-Bxl_Outflow!D23+D21</f>
        <v>185.06880000000001</v>
      </c>
      <c r="E22" s="136">
        <f>Bxl_Inflow!E23-Bxl_Outflow!E23+E21</f>
        <v>845.28199999999993</v>
      </c>
      <c r="F22" s="136">
        <f>Bxl_Inflow!F23-Bxl_Outflow!F23+F21</f>
        <v>37.247772631578954</v>
      </c>
      <c r="G22" s="136">
        <f>Bxl_Inflow!G23-Bxl_Outflow!G23+G21</f>
        <v>15.63768</v>
      </c>
      <c r="H22" s="115"/>
      <c r="I22" s="131"/>
      <c r="J22" s="131"/>
      <c r="K22" s="131"/>
      <c r="L22" s="115"/>
      <c r="M22" s="128"/>
      <c r="N22" s="128"/>
      <c r="O22" s="128"/>
      <c r="P22" s="126"/>
      <c r="Q22" s="126"/>
      <c r="R22" s="126"/>
      <c r="S22" s="115"/>
      <c r="T22" s="131"/>
      <c r="U22" s="131"/>
      <c r="V22" s="131"/>
      <c r="W22" s="115"/>
      <c r="X22" s="128"/>
      <c r="Y22" s="128"/>
      <c r="Z22" s="128"/>
      <c r="AA22" s="126"/>
      <c r="AB22" s="126"/>
      <c r="AC22" s="126"/>
      <c r="AD22" s="115"/>
    </row>
    <row r="23" spans="1:30" x14ac:dyDescent="0.25">
      <c r="A23" s="94">
        <v>1969</v>
      </c>
      <c r="B23" s="139">
        <f>Bxl_Inflow!B24-Bxl_Outflow!B24+B22</f>
        <v>46205.2</v>
      </c>
      <c r="C23" s="139">
        <f>Bxl_Inflow!C24-Bxl_Outflow!C24+C22</f>
        <v>1030.3507999999999</v>
      </c>
      <c r="D23" s="136">
        <f>Bxl_Inflow!D24-Bxl_Outflow!D24+D22</f>
        <v>185.06880000000001</v>
      </c>
      <c r="E23" s="136">
        <f>Bxl_Inflow!E24-Bxl_Outflow!E24+E22</f>
        <v>845.28199999999993</v>
      </c>
      <c r="F23" s="136">
        <f>Bxl_Inflow!F24-Bxl_Outflow!F24+F22</f>
        <v>37.247772631578954</v>
      </c>
      <c r="G23" s="136">
        <f>Bxl_Inflow!G24-Bxl_Outflow!G24+G22</f>
        <v>15.63768</v>
      </c>
      <c r="H23" s="115"/>
      <c r="I23" s="131"/>
      <c r="J23" s="131"/>
      <c r="K23" s="131"/>
      <c r="L23" s="115"/>
      <c r="M23" s="128"/>
      <c r="N23" s="128"/>
      <c r="O23" s="128"/>
      <c r="P23" s="126"/>
      <c r="Q23" s="126"/>
      <c r="R23" s="126"/>
      <c r="S23" s="115"/>
      <c r="T23" s="131"/>
      <c r="U23" s="131"/>
      <c r="V23" s="131"/>
      <c r="W23" s="115"/>
      <c r="X23" s="128"/>
      <c r="Y23" s="128"/>
      <c r="Z23" s="128"/>
      <c r="AA23" s="126"/>
      <c r="AB23" s="126"/>
      <c r="AC23" s="126"/>
      <c r="AD23" s="115"/>
    </row>
    <row r="24" spans="1:30" x14ac:dyDescent="0.25">
      <c r="A24" s="94">
        <v>1970</v>
      </c>
      <c r="B24" s="139">
        <f>Bxl_Inflow!B25-Bxl_Outflow!B25+B23</f>
        <v>46205.2</v>
      </c>
      <c r="C24" s="139">
        <f>Bxl_Inflow!C25-Bxl_Outflow!C25+C23</f>
        <v>1030.3507999999999</v>
      </c>
      <c r="D24" s="136">
        <f>Bxl_Inflow!D25-Bxl_Outflow!D25+D23</f>
        <v>185.06880000000001</v>
      </c>
      <c r="E24" s="136">
        <f>Bxl_Inflow!E25-Bxl_Outflow!E25+E23</f>
        <v>845.28199999999993</v>
      </c>
      <c r="F24" s="136">
        <f>Bxl_Inflow!F25-Bxl_Outflow!F25+F23</f>
        <v>37.247772631578954</v>
      </c>
      <c r="G24" s="136">
        <f>Bxl_Inflow!G25-Bxl_Outflow!G25+G23</f>
        <v>15.63768</v>
      </c>
      <c r="H24" s="115"/>
      <c r="I24" s="131"/>
      <c r="J24" s="131"/>
      <c r="K24" s="131"/>
      <c r="L24" s="115"/>
      <c r="M24" s="128"/>
      <c r="N24" s="128"/>
      <c r="O24" s="128"/>
      <c r="P24" s="126"/>
      <c r="Q24" s="126"/>
      <c r="R24" s="126"/>
      <c r="S24" s="115"/>
      <c r="T24" s="131"/>
      <c r="U24" s="131"/>
      <c r="V24" s="131"/>
      <c r="W24" s="115"/>
      <c r="X24" s="128"/>
      <c r="Y24" s="128"/>
      <c r="Z24" s="128"/>
      <c r="AA24" s="126"/>
      <c r="AB24" s="126"/>
      <c r="AC24" s="126"/>
      <c r="AD24" s="115"/>
    </row>
    <row r="25" spans="1:30" x14ac:dyDescent="0.25">
      <c r="A25" s="94">
        <v>1971</v>
      </c>
      <c r="B25" s="139">
        <f>Bxl_Inflow!B26-Bxl_Outflow!B26+B24</f>
        <v>46205.2</v>
      </c>
      <c r="C25" s="139">
        <f>Bxl_Inflow!C26-Bxl_Outflow!C26+C24</f>
        <v>1030.3507999999999</v>
      </c>
      <c r="D25" s="136">
        <f>Bxl_Inflow!D26-Bxl_Outflow!D26+D24</f>
        <v>185.06880000000001</v>
      </c>
      <c r="E25" s="136">
        <f>Bxl_Inflow!E26-Bxl_Outflow!E26+E24</f>
        <v>845.28199999999993</v>
      </c>
      <c r="F25" s="136">
        <f>Bxl_Inflow!F26-Bxl_Outflow!F26+F24</f>
        <v>37.247772631578954</v>
      </c>
      <c r="G25" s="136">
        <f>Bxl_Inflow!G26-Bxl_Outflow!G26+G24</f>
        <v>15.63768</v>
      </c>
      <c r="H25" s="115"/>
      <c r="I25" s="131"/>
      <c r="J25" s="131"/>
      <c r="K25" s="131"/>
      <c r="L25" s="115"/>
      <c r="M25" s="128"/>
      <c r="N25" s="128"/>
      <c r="O25" s="128"/>
      <c r="P25" s="126"/>
      <c r="Q25" s="126"/>
      <c r="R25" s="126"/>
      <c r="S25" s="115"/>
      <c r="T25" s="131"/>
      <c r="U25" s="131"/>
      <c r="V25" s="131"/>
      <c r="W25" s="115"/>
      <c r="X25" s="128"/>
      <c r="Y25" s="128"/>
      <c r="Z25" s="128"/>
      <c r="AA25" s="126"/>
      <c r="AB25" s="126"/>
      <c r="AC25" s="126"/>
      <c r="AD25" s="115"/>
    </row>
    <row r="26" spans="1:30" x14ac:dyDescent="0.25">
      <c r="A26" s="94">
        <v>1972</v>
      </c>
      <c r="B26" s="139">
        <f>Bxl_Inflow!B27-Bxl_Outflow!B27+B25</f>
        <v>83639.274999999994</v>
      </c>
      <c r="C26" s="139">
        <f>Bxl_Inflow!C27-Bxl_Outflow!C27+C25</f>
        <v>1862.1532999999999</v>
      </c>
      <c r="D26" s="136">
        <f>Bxl_Inflow!D27-Bxl_Outflow!D27+D25</f>
        <v>268.78230000000002</v>
      </c>
      <c r="E26" s="136">
        <f>Bxl_Inflow!E27-Bxl_Outflow!E27+E25</f>
        <v>1593.3709999999999</v>
      </c>
      <c r="F26" s="136">
        <f>Bxl_Inflow!F27-Bxl_Outflow!F27+F25</f>
        <v>89.266772631578959</v>
      </c>
      <c r="G26" s="136">
        <f>Bxl_Inflow!G27-Bxl_Outflow!G27+G25</f>
        <v>54.014480000000006</v>
      </c>
      <c r="H26" s="115"/>
      <c r="I26" s="131"/>
      <c r="J26" s="131"/>
      <c r="K26" s="131"/>
      <c r="L26" s="115"/>
      <c r="M26" s="128"/>
      <c r="N26" s="128"/>
      <c r="O26" s="128"/>
      <c r="P26" s="126"/>
      <c r="Q26" s="126"/>
      <c r="R26" s="126"/>
      <c r="S26" s="115"/>
      <c r="T26" s="131"/>
      <c r="U26" s="131"/>
      <c r="V26" s="131"/>
      <c r="W26" s="115"/>
      <c r="X26" s="128"/>
      <c r="Y26" s="128"/>
      <c r="Z26" s="128"/>
      <c r="AA26" s="126"/>
      <c r="AB26" s="126"/>
      <c r="AC26" s="126"/>
      <c r="AD26" s="115"/>
    </row>
    <row r="27" spans="1:30" x14ac:dyDescent="0.25">
      <c r="A27" s="94">
        <v>1973</v>
      </c>
      <c r="B27" s="139">
        <f>Bxl_Inflow!B28-Bxl_Outflow!B28+B26</f>
        <v>83639.274999999994</v>
      </c>
      <c r="C27" s="139">
        <f>Bxl_Inflow!C28-Bxl_Outflow!C28+C26</f>
        <v>1862.1532999999999</v>
      </c>
      <c r="D27" s="136">
        <f>Bxl_Inflow!D28-Bxl_Outflow!D28+D26</f>
        <v>268.78230000000002</v>
      </c>
      <c r="E27" s="136">
        <f>Bxl_Inflow!E28-Bxl_Outflow!E28+E26</f>
        <v>1593.3709999999999</v>
      </c>
      <c r="F27" s="136">
        <f>Bxl_Inflow!F28-Bxl_Outflow!F28+F26</f>
        <v>89.266772631578959</v>
      </c>
      <c r="G27" s="136">
        <f>Bxl_Inflow!G28-Bxl_Outflow!G28+G26</f>
        <v>54.014480000000006</v>
      </c>
      <c r="H27" s="115"/>
      <c r="I27" s="131"/>
      <c r="J27" s="131"/>
      <c r="K27" s="131"/>
      <c r="L27" s="115"/>
      <c r="M27" s="128"/>
      <c r="N27" s="128"/>
      <c r="O27" s="128"/>
      <c r="P27" s="126"/>
      <c r="Q27" s="126"/>
      <c r="R27" s="126"/>
      <c r="S27" s="115"/>
      <c r="T27" s="131"/>
      <c r="U27" s="131"/>
      <c r="V27" s="131"/>
      <c r="W27" s="115"/>
      <c r="X27" s="128"/>
      <c r="Y27" s="128"/>
      <c r="Z27" s="128"/>
      <c r="AA27" s="126"/>
      <c r="AB27" s="126"/>
      <c r="AC27" s="126"/>
      <c r="AD27" s="115"/>
    </row>
    <row r="28" spans="1:30" x14ac:dyDescent="0.25">
      <c r="A28" s="94">
        <v>1974</v>
      </c>
      <c r="B28" s="139">
        <f>Bxl_Inflow!B29-Bxl_Outflow!B29+B27</f>
        <v>83639.274999999994</v>
      </c>
      <c r="C28" s="139">
        <f>Bxl_Inflow!C29-Bxl_Outflow!C29+C27</f>
        <v>1862.1532999999999</v>
      </c>
      <c r="D28" s="136">
        <f>Bxl_Inflow!D29-Bxl_Outflow!D29+D27</f>
        <v>268.78230000000002</v>
      </c>
      <c r="E28" s="136">
        <f>Bxl_Inflow!E29-Bxl_Outflow!E29+E27</f>
        <v>1593.3709999999999</v>
      </c>
      <c r="F28" s="136">
        <f>Bxl_Inflow!F29-Bxl_Outflow!F29+F27</f>
        <v>89.266772631578959</v>
      </c>
      <c r="G28" s="136">
        <f>Bxl_Inflow!G29-Bxl_Outflow!G29+G27</f>
        <v>54.014480000000006</v>
      </c>
      <c r="H28" s="115"/>
      <c r="I28" s="131"/>
      <c r="J28" s="131"/>
      <c r="K28" s="131"/>
      <c r="L28" s="115"/>
      <c r="M28" s="128"/>
      <c r="N28" s="128"/>
      <c r="O28" s="128"/>
      <c r="P28" s="126"/>
      <c r="Q28" s="126"/>
      <c r="R28" s="126"/>
      <c r="S28" s="115"/>
      <c r="T28" s="131"/>
      <c r="U28" s="131"/>
      <c r="V28" s="131"/>
      <c r="W28" s="115"/>
      <c r="X28" s="128"/>
      <c r="Y28" s="128"/>
      <c r="Z28" s="128"/>
      <c r="AA28" s="126"/>
      <c r="AB28" s="126"/>
      <c r="AC28" s="126"/>
      <c r="AD28" s="115"/>
    </row>
    <row r="29" spans="1:30" x14ac:dyDescent="0.25">
      <c r="A29" s="94">
        <v>1975</v>
      </c>
      <c r="B29" s="139">
        <f>Bxl_Inflow!B30-Bxl_Outflow!B30+B28</f>
        <v>83639.274999999994</v>
      </c>
      <c r="C29" s="139">
        <f>Bxl_Inflow!C30-Bxl_Outflow!C30+C28</f>
        <v>1862.1532999999999</v>
      </c>
      <c r="D29" s="136">
        <f>Bxl_Inflow!D30-Bxl_Outflow!D30+D28</f>
        <v>268.78230000000002</v>
      </c>
      <c r="E29" s="136">
        <f>Bxl_Inflow!E30-Bxl_Outflow!E30+E28</f>
        <v>1593.3709999999999</v>
      </c>
      <c r="F29" s="136">
        <f>Bxl_Inflow!F30-Bxl_Outflow!F30+F28</f>
        <v>89.266772631578959</v>
      </c>
      <c r="G29" s="136">
        <f>Bxl_Inflow!G30-Bxl_Outflow!G30+G28</f>
        <v>54.014480000000006</v>
      </c>
      <c r="H29" s="115"/>
      <c r="I29" s="131"/>
      <c r="J29" s="131"/>
      <c r="K29" s="131"/>
      <c r="L29" s="115"/>
      <c r="M29" s="128"/>
      <c r="N29" s="128"/>
      <c r="O29" s="128"/>
      <c r="P29" s="126"/>
      <c r="Q29" s="126"/>
      <c r="R29" s="126"/>
      <c r="S29" s="115"/>
      <c r="T29" s="131"/>
      <c r="U29" s="131"/>
      <c r="V29" s="131"/>
      <c r="W29" s="115"/>
      <c r="X29" s="128"/>
      <c r="Y29" s="128"/>
      <c r="Z29" s="128"/>
      <c r="AA29" s="126"/>
      <c r="AB29" s="126"/>
      <c r="AC29" s="126"/>
      <c r="AD29" s="115"/>
    </row>
    <row r="30" spans="1:30" x14ac:dyDescent="0.25">
      <c r="A30" s="94">
        <v>1976</v>
      </c>
      <c r="B30" s="139">
        <f>Bxl_Inflow!B31-Bxl_Outflow!B31+B29</f>
        <v>110872.15</v>
      </c>
      <c r="C30" s="139">
        <f>Bxl_Inflow!C31-Bxl_Outflow!C31+C29</f>
        <v>2478.4620500000001</v>
      </c>
      <c r="D30" s="136">
        <f>Bxl_Inflow!D31-Bxl_Outflow!D31+D29</f>
        <v>386.94105000000002</v>
      </c>
      <c r="E30" s="136">
        <f>Bxl_Inflow!E31-Bxl_Outflow!E31+E29</f>
        <v>2091.5209999999997</v>
      </c>
      <c r="F30" s="136">
        <f>Bxl_Inflow!F31-Bxl_Outflow!F31+F29</f>
        <v>138.56217263157896</v>
      </c>
      <c r="G30" s="136">
        <f>Bxl_Inflow!G31-Bxl_Outflow!G31+G29</f>
        <v>82.183279999999996</v>
      </c>
      <c r="H30" s="115"/>
      <c r="I30" s="131"/>
      <c r="J30" s="131"/>
      <c r="K30" s="131"/>
      <c r="L30" s="115"/>
      <c r="M30" s="128"/>
      <c r="N30" s="128"/>
      <c r="O30" s="128"/>
      <c r="P30" s="126"/>
      <c r="Q30" s="126"/>
      <c r="R30" s="126"/>
      <c r="S30" s="115"/>
      <c r="T30" s="131"/>
      <c r="U30" s="131"/>
      <c r="V30" s="131"/>
      <c r="W30" s="115"/>
      <c r="X30" s="128"/>
      <c r="Y30" s="128"/>
      <c r="Z30" s="128"/>
      <c r="AA30" s="126"/>
      <c r="AB30" s="126"/>
      <c r="AC30" s="126"/>
      <c r="AD30" s="115"/>
    </row>
    <row r="31" spans="1:30" x14ac:dyDescent="0.25">
      <c r="A31" s="94">
        <v>1977</v>
      </c>
      <c r="B31" s="139">
        <f>Bxl_Inflow!B32-Bxl_Outflow!B32+B30</f>
        <v>110872.15</v>
      </c>
      <c r="C31" s="139">
        <f>Bxl_Inflow!C32-Bxl_Outflow!C32+C30</f>
        <v>2478.4620500000001</v>
      </c>
      <c r="D31" s="136">
        <f>Bxl_Inflow!D32-Bxl_Outflow!D32+D30</f>
        <v>386.94105000000002</v>
      </c>
      <c r="E31" s="136">
        <f>Bxl_Inflow!E32-Bxl_Outflow!E32+E30</f>
        <v>2091.5209999999997</v>
      </c>
      <c r="F31" s="136">
        <f>Bxl_Inflow!F32-Bxl_Outflow!F32+F30</f>
        <v>138.56217263157896</v>
      </c>
      <c r="G31" s="136">
        <f>Bxl_Inflow!G32-Bxl_Outflow!G32+G30</f>
        <v>82.183279999999996</v>
      </c>
      <c r="H31" s="115"/>
      <c r="I31" s="131"/>
      <c r="J31" s="131"/>
      <c r="K31" s="131"/>
      <c r="L31" s="115"/>
      <c r="M31" s="128"/>
      <c r="N31" s="128"/>
      <c r="O31" s="128"/>
      <c r="P31" s="126"/>
      <c r="Q31" s="126"/>
      <c r="R31" s="126"/>
      <c r="S31" s="115"/>
      <c r="T31" s="131"/>
      <c r="U31" s="131"/>
      <c r="V31" s="131"/>
      <c r="W31" s="115"/>
      <c r="X31" s="128"/>
      <c r="Y31" s="128"/>
      <c r="Z31" s="128"/>
      <c r="AA31" s="126"/>
      <c r="AB31" s="126"/>
      <c r="AC31" s="126"/>
      <c r="AD31" s="115"/>
    </row>
    <row r="32" spans="1:30" x14ac:dyDescent="0.25">
      <c r="A32" s="94">
        <v>1978</v>
      </c>
      <c r="B32" s="139">
        <f>Bxl_Inflow!B33-Bxl_Outflow!B33+B31</f>
        <v>137437.15</v>
      </c>
      <c r="C32" s="139">
        <f>Bxl_Inflow!C33-Bxl_Outflow!C33+C31</f>
        <v>3009.7620500000003</v>
      </c>
      <c r="D32" s="136">
        <f>Bxl_Inflow!D33-Bxl_Outflow!D33+D31</f>
        <v>386.94105000000002</v>
      </c>
      <c r="E32" s="136">
        <f>Bxl_Inflow!E33-Bxl_Outflow!E33+E31</f>
        <v>2622.8209999999999</v>
      </c>
      <c r="F32" s="136">
        <f>Bxl_Inflow!F33-Bxl_Outflow!F33+F31</f>
        <v>174.78717263157895</v>
      </c>
      <c r="G32" s="136">
        <f>Bxl_Inflow!G33-Bxl_Outflow!G33+G31</f>
        <v>118.40827999999999</v>
      </c>
      <c r="H32" s="115"/>
      <c r="I32" s="131"/>
      <c r="J32" s="131"/>
      <c r="K32" s="131"/>
      <c r="L32" s="115"/>
      <c r="M32" s="128"/>
      <c r="N32" s="128"/>
      <c r="O32" s="128"/>
      <c r="P32" s="126"/>
      <c r="Q32" s="126"/>
      <c r="R32" s="126"/>
      <c r="S32" s="115"/>
      <c r="T32" s="131"/>
      <c r="U32" s="131"/>
      <c r="V32" s="131"/>
      <c r="W32" s="115"/>
      <c r="X32" s="128"/>
      <c r="Y32" s="128"/>
      <c r="Z32" s="128"/>
      <c r="AA32" s="126"/>
      <c r="AB32" s="126"/>
      <c r="AC32" s="126"/>
      <c r="AD32" s="115"/>
    </row>
    <row r="33" spans="1:30" x14ac:dyDescent="0.25">
      <c r="A33" s="94">
        <v>1979</v>
      </c>
      <c r="B33" s="139">
        <f>Bxl_Inflow!B34-Bxl_Outflow!B34+B32</f>
        <v>137437.15</v>
      </c>
      <c r="C33" s="139">
        <f>Bxl_Inflow!C34-Bxl_Outflow!C34+C32</f>
        <v>3009.7620500000003</v>
      </c>
      <c r="D33" s="136">
        <f>Bxl_Inflow!D34-Bxl_Outflow!D34+D32</f>
        <v>386.94105000000002</v>
      </c>
      <c r="E33" s="136">
        <f>Bxl_Inflow!E34-Bxl_Outflow!E34+E32</f>
        <v>2622.8209999999999</v>
      </c>
      <c r="F33" s="136">
        <f>Bxl_Inflow!F34-Bxl_Outflow!F34+F32</f>
        <v>174.78717263157895</v>
      </c>
      <c r="G33" s="136">
        <f>Bxl_Inflow!G34-Bxl_Outflow!G34+G32</f>
        <v>118.40827999999999</v>
      </c>
      <c r="H33" s="115"/>
      <c r="I33" s="131"/>
      <c r="J33" s="131"/>
      <c r="K33" s="131"/>
      <c r="L33" s="115"/>
      <c r="M33" s="128"/>
      <c r="N33" s="128"/>
      <c r="O33" s="128"/>
      <c r="P33" s="126"/>
      <c r="Q33" s="126"/>
      <c r="R33" s="126"/>
      <c r="S33" s="115"/>
      <c r="T33" s="131"/>
      <c r="U33" s="131"/>
      <c r="V33" s="131"/>
      <c r="W33" s="115"/>
      <c r="X33" s="128"/>
      <c r="Y33" s="128"/>
      <c r="Z33" s="128"/>
      <c r="AA33" s="126"/>
      <c r="AB33" s="126"/>
      <c r="AC33" s="126"/>
      <c r="AD33" s="115"/>
    </row>
    <row r="34" spans="1:30" x14ac:dyDescent="0.25">
      <c r="A34" s="94">
        <v>1980</v>
      </c>
      <c r="B34" s="139">
        <f>Bxl_Inflow!B35-Bxl_Outflow!B35+B33</f>
        <v>137437.15</v>
      </c>
      <c r="C34" s="139">
        <f>Bxl_Inflow!C35-Bxl_Outflow!C35+C33</f>
        <v>3009.7620500000003</v>
      </c>
      <c r="D34" s="136">
        <f>Bxl_Inflow!D35-Bxl_Outflow!D35+D33</f>
        <v>386.94105000000002</v>
      </c>
      <c r="E34" s="136">
        <f>Bxl_Inflow!E35-Bxl_Outflow!E35+E33</f>
        <v>2622.8209999999999</v>
      </c>
      <c r="F34" s="136">
        <f>Bxl_Inflow!F35-Bxl_Outflow!F35+F33</f>
        <v>174.78717263157895</v>
      </c>
      <c r="G34" s="136">
        <f>Bxl_Inflow!G35-Bxl_Outflow!G35+G33</f>
        <v>118.40827999999999</v>
      </c>
      <c r="H34" s="115"/>
      <c r="I34" s="131"/>
      <c r="J34" s="131"/>
      <c r="K34" s="131"/>
      <c r="L34" s="115"/>
      <c r="M34" s="128"/>
      <c r="N34" s="128"/>
      <c r="O34" s="128"/>
      <c r="P34" s="126"/>
      <c r="Q34" s="126"/>
      <c r="R34" s="126"/>
      <c r="S34" s="115"/>
      <c r="T34" s="131"/>
      <c r="U34" s="131"/>
      <c r="V34" s="131"/>
      <c r="W34" s="115"/>
      <c r="X34" s="128"/>
      <c r="Y34" s="128"/>
      <c r="Z34" s="128"/>
      <c r="AA34" s="126"/>
      <c r="AB34" s="126"/>
      <c r="AC34" s="126"/>
      <c r="AD34" s="115"/>
    </row>
    <row r="35" spans="1:30" x14ac:dyDescent="0.25">
      <c r="A35" s="94">
        <v>1981</v>
      </c>
      <c r="B35" s="139">
        <f>Bxl_Inflow!B36-Bxl_Outflow!B36+B34</f>
        <v>137437.15</v>
      </c>
      <c r="C35" s="139">
        <f>Bxl_Inflow!C36-Bxl_Outflow!C36+C34</f>
        <v>3009.7620500000003</v>
      </c>
      <c r="D35" s="136">
        <f>Bxl_Inflow!D36-Bxl_Outflow!D36+D34</f>
        <v>386.94105000000002</v>
      </c>
      <c r="E35" s="136">
        <f>Bxl_Inflow!E36-Bxl_Outflow!E36+E34</f>
        <v>2622.8209999999999</v>
      </c>
      <c r="F35" s="136">
        <f>Bxl_Inflow!F36-Bxl_Outflow!F36+F34</f>
        <v>174.78717263157895</v>
      </c>
      <c r="G35" s="136">
        <f>Bxl_Inflow!G36-Bxl_Outflow!G36+G34</f>
        <v>118.40827999999999</v>
      </c>
      <c r="H35" s="115"/>
      <c r="I35" s="131"/>
      <c r="J35" s="131"/>
      <c r="K35" s="131"/>
      <c r="L35" s="115"/>
      <c r="M35" s="128"/>
      <c r="N35" s="128"/>
      <c r="O35" s="128"/>
      <c r="P35" s="126"/>
      <c r="Q35" s="126"/>
      <c r="R35" s="126"/>
      <c r="S35" s="115"/>
      <c r="T35" s="131"/>
      <c r="U35" s="131"/>
      <c r="V35" s="131"/>
      <c r="W35" s="115"/>
      <c r="X35" s="128"/>
      <c r="Y35" s="128"/>
      <c r="Z35" s="128"/>
      <c r="AA35" s="126"/>
      <c r="AB35" s="126"/>
      <c r="AC35" s="126"/>
      <c r="AD35" s="115"/>
    </row>
    <row r="36" spans="1:30" x14ac:dyDescent="0.25">
      <c r="A36" s="94">
        <v>1982</v>
      </c>
      <c r="B36" s="139">
        <f>Bxl_Inflow!B37-Bxl_Outflow!B37+B35</f>
        <v>137437.15</v>
      </c>
      <c r="C36" s="139">
        <f>Bxl_Inflow!C37-Bxl_Outflow!C37+C35</f>
        <v>3009.7620500000003</v>
      </c>
      <c r="D36" s="136">
        <f>Bxl_Inflow!D37-Bxl_Outflow!D37+D35</f>
        <v>386.94105000000002</v>
      </c>
      <c r="E36" s="136">
        <f>Bxl_Inflow!E37-Bxl_Outflow!E37+E35</f>
        <v>2622.8209999999999</v>
      </c>
      <c r="F36" s="136">
        <f>Bxl_Inflow!F37-Bxl_Outflow!F37+F35</f>
        <v>174.78717263157895</v>
      </c>
      <c r="G36" s="136">
        <f>Bxl_Inflow!G37-Bxl_Outflow!G37+G35</f>
        <v>118.40827999999999</v>
      </c>
      <c r="H36" s="115"/>
      <c r="I36" s="131"/>
      <c r="J36" s="131"/>
      <c r="K36" s="131"/>
      <c r="L36" s="115"/>
      <c r="M36" s="128"/>
      <c r="N36" s="128"/>
      <c r="O36" s="128"/>
      <c r="P36" s="126"/>
      <c r="Q36" s="126"/>
      <c r="R36" s="126"/>
      <c r="S36" s="115"/>
      <c r="T36" s="131"/>
      <c r="U36" s="131"/>
      <c r="V36" s="131"/>
      <c r="W36" s="115"/>
      <c r="X36" s="128"/>
      <c r="Y36" s="128"/>
      <c r="Z36" s="128"/>
      <c r="AA36" s="126"/>
      <c r="AB36" s="126"/>
      <c r="AC36" s="126"/>
      <c r="AD36" s="115"/>
    </row>
    <row r="37" spans="1:30" x14ac:dyDescent="0.25">
      <c r="A37" s="94">
        <v>1983</v>
      </c>
      <c r="B37" s="139">
        <f>Bxl_Inflow!B38-Bxl_Outflow!B38+B36</f>
        <v>156505.22500000001</v>
      </c>
      <c r="C37" s="139">
        <f>Bxl_Inflow!C38-Bxl_Outflow!C38+C36</f>
        <v>3428.3295500000004</v>
      </c>
      <c r="D37" s="136">
        <f>Bxl_Inflow!D38-Bxl_Outflow!D38+D36</f>
        <v>470.65455000000003</v>
      </c>
      <c r="E37" s="136">
        <f>Bxl_Inflow!E38-Bxl_Outflow!E38+E36</f>
        <v>2957.6749999999997</v>
      </c>
      <c r="F37" s="136">
        <f>Bxl_Inflow!F38-Bxl_Outflow!F38+F36</f>
        <v>206.61897263157897</v>
      </c>
      <c r="G37" s="136">
        <f>Bxl_Inflow!G38-Bxl_Outflow!G38+G36</f>
        <v>136.59787999999998</v>
      </c>
      <c r="H37" s="115"/>
      <c r="I37" s="131"/>
      <c r="J37" s="131"/>
      <c r="K37" s="131"/>
      <c r="L37" s="115"/>
      <c r="M37" s="128"/>
      <c r="N37" s="128"/>
      <c r="O37" s="128"/>
      <c r="P37" s="126"/>
      <c r="Q37" s="126"/>
      <c r="R37" s="126"/>
      <c r="S37" s="115"/>
      <c r="T37" s="131"/>
      <c r="U37" s="131"/>
      <c r="V37" s="131"/>
      <c r="W37" s="115"/>
      <c r="X37" s="128"/>
      <c r="Y37" s="128"/>
      <c r="Z37" s="128"/>
      <c r="AA37" s="126"/>
      <c r="AB37" s="126"/>
      <c r="AC37" s="126"/>
      <c r="AD37" s="115"/>
    </row>
    <row r="38" spans="1:30" x14ac:dyDescent="0.25">
      <c r="A38" s="94">
        <v>1984</v>
      </c>
      <c r="B38" s="139">
        <f>Bxl_Inflow!B39-Bxl_Outflow!B39+B37</f>
        <v>156505.22500000001</v>
      </c>
      <c r="C38" s="139">
        <f>Bxl_Inflow!C39-Bxl_Outflow!C39+C37</f>
        <v>3428.3295500000004</v>
      </c>
      <c r="D38" s="136">
        <f>Bxl_Inflow!D39-Bxl_Outflow!D39+D37</f>
        <v>470.65455000000003</v>
      </c>
      <c r="E38" s="136">
        <f>Bxl_Inflow!E39-Bxl_Outflow!E39+E37</f>
        <v>2957.6749999999997</v>
      </c>
      <c r="F38" s="136">
        <f>Bxl_Inflow!F39-Bxl_Outflow!F39+F37</f>
        <v>206.61897263157897</v>
      </c>
      <c r="G38" s="136">
        <f>Bxl_Inflow!G39-Bxl_Outflow!G39+G37</f>
        <v>136.59787999999998</v>
      </c>
      <c r="H38" s="115"/>
      <c r="I38" s="131"/>
      <c r="J38" s="131"/>
      <c r="K38" s="131"/>
      <c r="L38" s="115"/>
      <c r="M38" s="128"/>
      <c r="N38" s="128"/>
      <c r="O38" s="128"/>
      <c r="P38" s="126"/>
      <c r="Q38" s="126"/>
      <c r="R38" s="126"/>
      <c r="S38" s="115"/>
      <c r="T38" s="131"/>
      <c r="U38" s="131"/>
      <c r="V38" s="131"/>
      <c r="W38" s="115"/>
      <c r="X38" s="128"/>
      <c r="Y38" s="128"/>
      <c r="Z38" s="128"/>
      <c r="AA38" s="126"/>
      <c r="AB38" s="126"/>
      <c r="AC38" s="126"/>
      <c r="AD38" s="115"/>
    </row>
    <row r="39" spans="1:30" x14ac:dyDescent="0.25">
      <c r="A39" s="94">
        <v>1985</v>
      </c>
      <c r="B39" s="139">
        <f>Bxl_Inflow!B40-Bxl_Outflow!B40+B38</f>
        <v>156505.22500000001</v>
      </c>
      <c r="C39" s="139">
        <f>Bxl_Inflow!C40-Bxl_Outflow!C40+C38</f>
        <v>3428.3295500000004</v>
      </c>
      <c r="D39" s="136">
        <f>Bxl_Inflow!D40-Bxl_Outflow!D40+D38</f>
        <v>470.65455000000003</v>
      </c>
      <c r="E39" s="136">
        <f>Bxl_Inflow!E40-Bxl_Outflow!E40+E38</f>
        <v>2957.6749999999997</v>
      </c>
      <c r="F39" s="136">
        <f>Bxl_Inflow!F40-Bxl_Outflow!F40+F38</f>
        <v>206.61897263157897</v>
      </c>
      <c r="G39" s="136">
        <f>Bxl_Inflow!G40-Bxl_Outflow!G40+G38</f>
        <v>136.59787999999998</v>
      </c>
      <c r="H39" s="115"/>
      <c r="I39" s="131"/>
      <c r="J39" s="131"/>
      <c r="K39" s="131"/>
      <c r="L39" s="115"/>
      <c r="M39" s="128"/>
      <c r="N39" s="128"/>
      <c r="O39" s="128"/>
      <c r="P39" s="126"/>
      <c r="Q39" s="126"/>
      <c r="R39" s="126"/>
      <c r="S39" s="115"/>
      <c r="T39" s="131"/>
      <c r="U39" s="131"/>
      <c r="V39" s="131"/>
      <c r="W39" s="115"/>
      <c r="X39" s="128"/>
      <c r="Y39" s="128"/>
      <c r="Z39" s="128"/>
      <c r="AA39" s="126"/>
      <c r="AB39" s="126"/>
      <c r="AC39" s="126"/>
      <c r="AD39" s="115"/>
    </row>
    <row r="40" spans="1:30" x14ac:dyDescent="0.25">
      <c r="A40" s="94">
        <v>1986</v>
      </c>
      <c r="B40" s="139">
        <f>Bxl_Inflow!B41-Bxl_Outflow!B41+B39</f>
        <v>156505.22500000001</v>
      </c>
      <c r="C40" s="139">
        <f>Bxl_Inflow!C41-Bxl_Outflow!C41+C39</f>
        <v>3428.3295500000004</v>
      </c>
      <c r="D40" s="136">
        <f>Bxl_Inflow!D41-Bxl_Outflow!D41+D39</f>
        <v>470.65455000000003</v>
      </c>
      <c r="E40" s="136">
        <f>Bxl_Inflow!E41-Bxl_Outflow!E41+E39</f>
        <v>2957.6749999999997</v>
      </c>
      <c r="F40" s="136">
        <f>Bxl_Inflow!F41-Bxl_Outflow!F41+F39</f>
        <v>206.61897263157897</v>
      </c>
      <c r="G40" s="136">
        <f>Bxl_Inflow!G41-Bxl_Outflow!G41+G39</f>
        <v>136.59787999999998</v>
      </c>
      <c r="H40" s="115"/>
      <c r="I40" s="131"/>
      <c r="J40" s="131"/>
      <c r="K40" s="131"/>
      <c r="L40" s="115"/>
      <c r="M40" s="128"/>
      <c r="N40" s="128"/>
      <c r="O40" s="128"/>
      <c r="P40" s="126"/>
      <c r="Q40" s="126"/>
      <c r="R40" s="126"/>
      <c r="S40" s="115"/>
      <c r="T40" s="131"/>
      <c r="U40" s="131"/>
      <c r="V40" s="131"/>
      <c r="W40" s="115"/>
      <c r="X40" s="128"/>
      <c r="Y40" s="128"/>
      <c r="Z40" s="128"/>
      <c r="AA40" s="126"/>
      <c r="AB40" s="126"/>
      <c r="AC40" s="126"/>
      <c r="AD40" s="115"/>
    </row>
    <row r="41" spans="1:30" x14ac:dyDescent="0.25">
      <c r="A41" s="94">
        <v>1987</v>
      </c>
      <c r="B41" s="139">
        <f>Bxl_Inflow!B42-Bxl_Outflow!B42+B40</f>
        <v>156505.22500000001</v>
      </c>
      <c r="C41" s="139">
        <f>Bxl_Inflow!C42-Bxl_Outflow!C42+C40</f>
        <v>3428.3295500000004</v>
      </c>
      <c r="D41" s="136">
        <f>Bxl_Inflow!D42-Bxl_Outflow!D42+D40</f>
        <v>470.65455000000003</v>
      </c>
      <c r="E41" s="136">
        <f>Bxl_Inflow!E42-Bxl_Outflow!E42+E40</f>
        <v>2957.6749999999997</v>
      </c>
      <c r="F41" s="136">
        <f>Bxl_Inflow!F42-Bxl_Outflow!F42+F40</f>
        <v>206.61897263157897</v>
      </c>
      <c r="G41" s="136">
        <f>Bxl_Inflow!G42-Bxl_Outflow!G42+G40</f>
        <v>136.59787999999998</v>
      </c>
      <c r="H41" s="115"/>
      <c r="I41" s="131"/>
      <c r="J41" s="131"/>
      <c r="K41" s="131"/>
      <c r="L41" s="115"/>
      <c r="M41" s="128"/>
      <c r="N41" s="128"/>
      <c r="O41" s="128"/>
      <c r="P41" s="126"/>
      <c r="Q41" s="126"/>
      <c r="R41" s="126"/>
      <c r="S41" s="115"/>
      <c r="T41" s="131"/>
      <c r="U41" s="131"/>
      <c r="V41" s="131"/>
      <c r="W41" s="115"/>
      <c r="X41" s="128"/>
      <c r="Y41" s="128"/>
      <c r="Z41" s="128"/>
      <c r="AA41" s="126"/>
      <c r="AB41" s="126"/>
      <c r="AC41" s="126"/>
      <c r="AD41" s="115"/>
    </row>
    <row r="42" spans="1:30" x14ac:dyDescent="0.25">
      <c r="A42" s="94">
        <v>1988</v>
      </c>
      <c r="B42" s="139">
        <f>Bxl_Inflow!B43-Bxl_Outflow!B43+B41</f>
        <v>156505.22500000001</v>
      </c>
      <c r="C42" s="139">
        <f>Bxl_Inflow!C43-Bxl_Outflow!C43+C41</f>
        <v>3428.3295500000004</v>
      </c>
      <c r="D42" s="136">
        <f>Bxl_Inflow!D43-Bxl_Outflow!D43+D41</f>
        <v>470.65455000000003</v>
      </c>
      <c r="E42" s="136">
        <f>Bxl_Inflow!E43-Bxl_Outflow!E43+E41</f>
        <v>2957.6749999999997</v>
      </c>
      <c r="F42" s="136">
        <f>Bxl_Inflow!F43-Bxl_Outflow!F43+F41</f>
        <v>206.61897263157897</v>
      </c>
      <c r="G42" s="136">
        <f>Bxl_Inflow!G43-Bxl_Outflow!G43+G41</f>
        <v>136.59787999999998</v>
      </c>
      <c r="H42" s="115"/>
      <c r="I42" s="131"/>
      <c r="J42" s="131"/>
      <c r="K42" s="131"/>
      <c r="L42" s="115"/>
      <c r="M42" s="128"/>
      <c r="N42" s="128"/>
      <c r="O42" s="128"/>
      <c r="P42" s="126"/>
      <c r="Q42" s="126"/>
      <c r="R42" s="126"/>
      <c r="S42" s="115"/>
      <c r="T42" s="131"/>
      <c r="U42" s="131"/>
      <c r="V42" s="131"/>
      <c r="W42" s="115"/>
      <c r="X42" s="128"/>
      <c r="Y42" s="128"/>
      <c r="Z42" s="128"/>
      <c r="AA42" s="126"/>
      <c r="AB42" s="126"/>
      <c r="AC42" s="126"/>
      <c r="AD42" s="115"/>
    </row>
    <row r="43" spans="1:30" x14ac:dyDescent="0.25">
      <c r="A43" s="94">
        <v>1989</v>
      </c>
      <c r="B43" s="139">
        <f>Bxl_Inflow!B44-Bxl_Outflow!B44+B42</f>
        <v>156505.22500000001</v>
      </c>
      <c r="C43" s="139">
        <f>Bxl_Inflow!C44-Bxl_Outflow!C44+C42</f>
        <v>3428.3295500000004</v>
      </c>
      <c r="D43" s="136">
        <f>Bxl_Inflow!D44-Bxl_Outflow!D44+D42</f>
        <v>470.65455000000003</v>
      </c>
      <c r="E43" s="136">
        <f>Bxl_Inflow!E44-Bxl_Outflow!E44+E42</f>
        <v>2957.6749999999997</v>
      </c>
      <c r="F43" s="136">
        <f>Bxl_Inflow!F44-Bxl_Outflow!F44+F42</f>
        <v>206.61897263157897</v>
      </c>
      <c r="G43" s="136">
        <f>Bxl_Inflow!G44-Bxl_Outflow!G44+G42</f>
        <v>136.59787999999998</v>
      </c>
      <c r="H43" s="115"/>
      <c r="I43" s="131"/>
      <c r="J43" s="131"/>
      <c r="K43" s="131"/>
      <c r="L43" s="115"/>
      <c r="M43" s="128"/>
      <c r="N43" s="128"/>
      <c r="O43" s="128"/>
      <c r="P43" s="126"/>
      <c r="Q43" s="126"/>
      <c r="R43" s="126"/>
      <c r="S43" s="115"/>
      <c r="T43" s="131"/>
      <c r="U43" s="131"/>
      <c r="V43" s="131"/>
      <c r="W43" s="115"/>
      <c r="X43" s="128"/>
      <c r="Y43" s="128"/>
      <c r="Z43" s="128"/>
      <c r="AA43" s="126"/>
      <c r="AB43" s="126"/>
      <c r="AC43" s="126"/>
      <c r="AD43" s="115"/>
    </row>
    <row r="44" spans="1:30" x14ac:dyDescent="0.25">
      <c r="A44" s="94">
        <v>1990</v>
      </c>
      <c r="B44" s="139">
        <f>Bxl_Inflow!B45-Bxl_Outflow!B45+B43</f>
        <v>156505.22500000001</v>
      </c>
      <c r="C44" s="139">
        <f>Bxl_Inflow!C45-Bxl_Outflow!C45+C43</f>
        <v>3428.3295500000004</v>
      </c>
      <c r="D44" s="136">
        <f>Bxl_Inflow!D45-Bxl_Outflow!D45+D43</f>
        <v>470.65455000000003</v>
      </c>
      <c r="E44" s="136">
        <f>Bxl_Inflow!E45-Bxl_Outflow!E45+E43</f>
        <v>2957.6749999999997</v>
      </c>
      <c r="F44" s="136">
        <f>Bxl_Inflow!F45-Bxl_Outflow!F45+F43</f>
        <v>206.61897263157897</v>
      </c>
      <c r="G44" s="136">
        <f>Bxl_Inflow!G45-Bxl_Outflow!G45+G43</f>
        <v>136.59787999999998</v>
      </c>
      <c r="H44" s="115"/>
      <c r="I44" s="131"/>
      <c r="J44" s="131"/>
      <c r="K44" s="131"/>
      <c r="L44" s="115"/>
      <c r="M44" s="128"/>
      <c r="N44" s="128"/>
      <c r="O44" s="128"/>
      <c r="P44" s="126"/>
      <c r="Q44" s="126"/>
      <c r="R44" s="126"/>
      <c r="S44" s="115"/>
      <c r="T44" s="131"/>
      <c r="U44" s="131"/>
      <c r="V44" s="131"/>
      <c r="W44" s="115"/>
      <c r="X44" s="128"/>
      <c r="Y44" s="128"/>
      <c r="Z44" s="128"/>
      <c r="AA44" s="126"/>
      <c r="AB44" s="126"/>
      <c r="AC44" s="126"/>
      <c r="AD44" s="115"/>
    </row>
    <row r="45" spans="1:30" x14ac:dyDescent="0.25">
      <c r="A45" s="94">
        <v>1991</v>
      </c>
      <c r="B45" s="139">
        <f>Bxl_Inflow!B46-Bxl_Outflow!B46+B44</f>
        <v>156505.22500000001</v>
      </c>
      <c r="C45" s="139">
        <f>Bxl_Inflow!C46-Bxl_Outflow!C46+C44</f>
        <v>3428.3295500000004</v>
      </c>
      <c r="D45" s="136">
        <f>Bxl_Inflow!D46-Bxl_Outflow!D46+D44</f>
        <v>470.65455000000003</v>
      </c>
      <c r="E45" s="136">
        <f>Bxl_Inflow!E46-Bxl_Outflow!E46+E44</f>
        <v>2957.6749999999997</v>
      </c>
      <c r="F45" s="136">
        <f>Bxl_Inflow!F46-Bxl_Outflow!F46+F44</f>
        <v>206.61897263157897</v>
      </c>
      <c r="G45" s="136">
        <f>Bxl_Inflow!G46-Bxl_Outflow!G46+G44</f>
        <v>136.59787999999998</v>
      </c>
      <c r="H45" s="115"/>
      <c r="I45" s="131"/>
      <c r="J45" s="131"/>
      <c r="K45" s="131"/>
      <c r="L45" s="115"/>
      <c r="M45" s="128"/>
      <c r="N45" s="128"/>
      <c r="O45" s="128"/>
      <c r="P45" s="126"/>
      <c r="Q45" s="126"/>
      <c r="R45" s="126"/>
      <c r="S45" s="115"/>
      <c r="T45" s="131"/>
      <c r="U45" s="131"/>
      <c r="V45" s="131"/>
      <c r="W45" s="115"/>
      <c r="X45" s="128"/>
      <c r="Y45" s="128"/>
      <c r="Z45" s="128"/>
      <c r="AA45" s="126"/>
      <c r="AB45" s="126"/>
      <c r="AC45" s="126"/>
      <c r="AD45" s="115"/>
    </row>
    <row r="46" spans="1:30" x14ac:dyDescent="0.25">
      <c r="A46" s="94">
        <v>1992</v>
      </c>
      <c r="B46" s="139">
        <f>Bxl_Inflow!B47-Bxl_Outflow!B47+B45</f>
        <v>156505.22500000001</v>
      </c>
      <c r="C46" s="139">
        <f>Bxl_Inflow!C47-Bxl_Outflow!C47+C45</f>
        <v>3428.3295500000004</v>
      </c>
      <c r="D46" s="136">
        <f>Bxl_Inflow!D47-Bxl_Outflow!D47+D45</f>
        <v>470.65455000000003</v>
      </c>
      <c r="E46" s="136">
        <f>Bxl_Inflow!E47-Bxl_Outflow!E47+E45</f>
        <v>2957.6749999999997</v>
      </c>
      <c r="F46" s="136">
        <f>Bxl_Inflow!F47-Bxl_Outflow!F47+F45</f>
        <v>206.61897263157897</v>
      </c>
      <c r="G46" s="136">
        <f>Bxl_Inflow!G47-Bxl_Outflow!G47+G45</f>
        <v>136.59787999999998</v>
      </c>
      <c r="H46" s="115"/>
      <c r="I46" s="131"/>
      <c r="J46" s="131"/>
      <c r="K46" s="131"/>
      <c r="L46" s="115"/>
      <c r="M46" s="128"/>
      <c r="N46" s="128"/>
      <c r="O46" s="128"/>
      <c r="P46" s="126"/>
      <c r="Q46" s="126"/>
      <c r="R46" s="126"/>
      <c r="S46" s="115"/>
      <c r="T46" s="131"/>
      <c r="U46" s="131"/>
      <c r="V46" s="131"/>
      <c r="W46" s="115"/>
      <c r="X46" s="128"/>
      <c r="Y46" s="128"/>
      <c r="Z46" s="128"/>
      <c r="AA46" s="126"/>
      <c r="AB46" s="126"/>
      <c r="AC46" s="126"/>
      <c r="AD46" s="115"/>
    </row>
    <row r="47" spans="1:30" x14ac:dyDescent="0.25">
      <c r="A47" s="94">
        <v>1993</v>
      </c>
      <c r="B47" s="139">
        <f>Bxl_Inflow!B48-Bxl_Outflow!B48+B46</f>
        <v>156505.22500000001</v>
      </c>
      <c r="C47" s="139">
        <f>Bxl_Inflow!C48-Bxl_Outflow!C48+C46</f>
        <v>3428.3295500000004</v>
      </c>
      <c r="D47" s="136">
        <f>Bxl_Inflow!D48-Bxl_Outflow!D48+D46</f>
        <v>470.65455000000003</v>
      </c>
      <c r="E47" s="136">
        <f>Bxl_Inflow!E48-Bxl_Outflow!E48+E46</f>
        <v>2957.6749999999997</v>
      </c>
      <c r="F47" s="136">
        <f>Bxl_Inflow!F48-Bxl_Outflow!F48+F46</f>
        <v>206.61897263157897</v>
      </c>
      <c r="G47" s="136">
        <f>Bxl_Inflow!G48-Bxl_Outflow!G48+G46</f>
        <v>136.59787999999998</v>
      </c>
      <c r="H47" s="115"/>
      <c r="I47" s="131"/>
      <c r="J47" s="131"/>
      <c r="K47" s="131"/>
      <c r="L47" s="115"/>
      <c r="M47" s="128"/>
      <c r="N47" s="128"/>
      <c r="O47" s="128"/>
      <c r="P47" s="126"/>
      <c r="Q47" s="126"/>
      <c r="R47" s="126"/>
      <c r="S47" s="115"/>
      <c r="T47" s="131"/>
      <c r="U47" s="131"/>
      <c r="V47" s="131"/>
      <c r="W47" s="115"/>
      <c r="X47" s="128"/>
      <c r="Y47" s="128"/>
      <c r="Z47" s="128"/>
      <c r="AA47" s="126"/>
      <c r="AB47" s="126"/>
      <c r="AC47" s="126"/>
      <c r="AD47" s="115"/>
    </row>
    <row r="48" spans="1:30" x14ac:dyDescent="0.25">
      <c r="A48" s="94">
        <v>1994</v>
      </c>
      <c r="B48" s="139">
        <f>Bxl_Inflow!B49-Bxl_Outflow!B49+B47</f>
        <v>179070.02499999999</v>
      </c>
      <c r="C48" s="139">
        <f>Bxl_Inflow!C49-Bxl_Outflow!C49+C47</f>
        <v>3879.6255500000002</v>
      </c>
      <c r="D48" s="136">
        <f>Bxl_Inflow!D49-Bxl_Outflow!D49+D47</f>
        <v>470.65455000000003</v>
      </c>
      <c r="E48" s="136">
        <f>Bxl_Inflow!E49-Bxl_Outflow!E49+E47</f>
        <v>3408.9709999999995</v>
      </c>
      <c r="F48" s="136">
        <f>Bxl_Inflow!F49-Bxl_Outflow!F49+F47</f>
        <v>232.94457263157898</v>
      </c>
      <c r="G48" s="136">
        <f>Bxl_Inflow!G49-Bxl_Outflow!G49+G47</f>
        <v>162.92347999999998</v>
      </c>
      <c r="H48" s="115"/>
      <c r="I48" s="131"/>
      <c r="J48" s="131"/>
      <c r="K48" s="131"/>
      <c r="L48" s="115"/>
      <c r="M48" s="128"/>
      <c r="N48" s="128"/>
      <c r="O48" s="128"/>
      <c r="P48" s="126"/>
      <c r="Q48" s="126"/>
      <c r="R48" s="126"/>
      <c r="S48" s="115"/>
      <c r="T48" s="131"/>
      <c r="U48" s="131"/>
      <c r="V48" s="131"/>
      <c r="W48" s="115"/>
      <c r="X48" s="128"/>
      <c r="Y48" s="128"/>
      <c r="Z48" s="128"/>
      <c r="AA48" s="126"/>
      <c r="AB48" s="126"/>
      <c r="AC48" s="126"/>
      <c r="AD48" s="115"/>
    </row>
    <row r="49" spans="1:30" x14ac:dyDescent="0.25">
      <c r="A49" s="94">
        <v>1995</v>
      </c>
      <c r="B49" s="139">
        <f>Bxl_Inflow!B50-Bxl_Outflow!B50+B48</f>
        <v>179070.02499999999</v>
      </c>
      <c r="C49" s="139">
        <f>Bxl_Inflow!C50-Bxl_Outflow!C50+C48</f>
        <v>3879.6255500000002</v>
      </c>
      <c r="D49" s="136">
        <f>Bxl_Inflow!D50-Bxl_Outflow!D50+D48</f>
        <v>470.65455000000003</v>
      </c>
      <c r="E49" s="136">
        <f>Bxl_Inflow!E50-Bxl_Outflow!E50+E48</f>
        <v>3408.9709999999995</v>
      </c>
      <c r="F49" s="136">
        <f>Bxl_Inflow!F50-Bxl_Outflow!F50+F48</f>
        <v>232.94457263157898</v>
      </c>
      <c r="G49" s="136">
        <f>Bxl_Inflow!G50-Bxl_Outflow!G50+G48</f>
        <v>162.92347999999998</v>
      </c>
      <c r="H49" s="115"/>
      <c r="I49" s="131"/>
      <c r="J49" s="131"/>
      <c r="K49" s="131"/>
      <c r="L49" s="115"/>
      <c r="M49" s="128"/>
      <c r="N49" s="128"/>
      <c r="O49" s="128"/>
      <c r="P49" s="126"/>
      <c r="Q49" s="126"/>
      <c r="R49" s="126"/>
      <c r="S49" s="115"/>
      <c r="T49" s="131"/>
      <c r="U49" s="131"/>
      <c r="V49" s="131"/>
      <c r="W49" s="115"/>
      <c r="X49" s="128"/>
      <c r="Y49" s="128"/>
      <c r="Z49" s="128"/>
      <c r="AA49" s="126"/>
      <c r="AB49" s="126"/>
      <c r="AC49" s="126"/>
      <c r="AD49" s="115"/>
    </row>
    <row r="50" spans="1:30" x14ac:dyDescent="0.25">
      <c r="A50" s="94">
        <v>1996</v>
      </c>
      <c r="B50" s="139">
        <f>Bxl_Inflow!B51-Bxl_Outflow!B51+B49</f>
        <v>259204.29700000002</v>
      </c>
      <c r="C50" s="139">
        <f>Bxl_Inflow!C51-Bxl_Outflow!C51+C49</f>
        <v>5682.6466700000001</v>
      </c>
      <c r="D50" s="136">
        <f>Bxl_Inflow!D51-Bxl_Outflow!D51+D49</f>
        <v>470.65455000000003</v>
      </c>
      <c r="E50" s="136">
        <f>Bxl_Inflow!E51-Bxl_Outflow!E51+E49</f>
        <v>5211.9921199999999</v>
      </c>
      <c r="F50" s="136">
        <f>Bxl_Inflow!F51-Bxl_Outflow!F51+F49</f>
        <v>339.79026863157901</v>
      </c>
      <c r="G50" s="136">
        <f>Bxl_Inflow!G51-Bxl_Outflow!G51+G49</f>
        <v>269.76917600000002</v>
      </c>
      <c r="H50" s="115"/>
      <c r="I50" s="131"/>
      <c r="J50" s="131"/>
      <c r="K50" s="131"/>
      <c r="L50" s="115"/>
      <c r="M50" s="128"/>
      <c r="N50" s="128"/>
      <c r="O50" s="128"/>
      <c r="P50" s="126"/>
      <c r="Q50" s="126"/>
      <c r="R50" s="126"/>
      <c r="S50" s="115"/>
      <c r="T50" s="131"/>
      <c r="U50" s="131"/>
      <c r="V50" s="131"/>
      <c r="W50" s="115"/>
      <c r="X50" s="128"/>
      <c r="Y50" s="128"/>
      <c r="Z50" s="128"/>
      <c r="AA50" s="126"/>
      <c r="AB50" s="126"/>
      <c r="AC50" s="126"/>
      <c r="AD50" s="115"/>
    </row>
    <row r="51" spans="1:30" x14ac:dyDescent="0.25">
      <c r="A51" s="94">
        <v>1997</v>
      </c>
      <c r="B51" s="139">
        <f>Bxl_Inflow!B52-Bxl_Outflow!B52+B50</f>
        <v>278989.897</v>
      </c>
      <c r="C51" s="139">
        <f>Bxl_Inflow!C52-Bxl_Outflow!C52+C50</f>
        <v>6078.3586699999996</v>
      </c>
      <c r="D51" s="136">
        <f>Bxl_Inflow!D52-Bxl_Outflow!D52+D50</f>
        <v>470.65455000000003</v>
      </c>
      <c r="E51" s="136">
        <f>Bxl_Inflow!E52-Bxl_Outflow!E52+E50</f>
        <v>5607.7041200000003</v>
      </c>
      <c r="F51" s="136">
        <f>Bxl_Inflow!F52-Bxl_Outflow!F52+F50</f>
        <v>366.17106863157903</v>
      </c>
      <c r="G51" s="136">
        <f>Bxl_Inflow!G52-Bxl_Outflow!G52+G50</f>
        <v>296.14997600000004</v>
      </c>
      <c r="H51" s="115"/>
      <c r="I51" s="131"/>
      <c r="J51" s="131"/>
      <c r="K51" s="131"/>
      <c r="L51" s="115"/>
      <c r="M51" s="128"/>
      <c r="N51" s="128"/>
      <c r="O51" s="128"/>
      <c r="P51" s="126"/>
      <c r="Q51" s="126"/>
      <c r="R51" s="126"/>
      <c r="S51" s="115"/>
      <c r="T51" s="131"/>
      <c r="U51" s="131"/>
      <c r="V51" s="131"/>
      <c r="W51" s="115"/>
      <c r="X51" s="128"/>
      <c r="Y51" s="128"/>
      <c r="Z51" s="128"/>
      <c r="AA51" s="126"/>
      <c r="AB51" s="126"/>
      <c r="AC51" s="126"/>
      <c r="AD51" s="115"/>
    </row>
    <row r="52" spans="1:30" x14ac:dyDescent="0.25">
      <c r="A52" s="94">
        <v>1998</v>
      </c>
      <c r="B52" s="139">
        <f>Bxl_Inflow!B53-Bxl_Outflow!B53+B51</f>
        <v>295017.09700000001</v>
      </c>
      <c r="C52" s="139">
        <f>Bxl_Inflow!C53-Bxl_Outflow!C53+C51</f>
        <v>6398.9026699999995</v>
      </c>
      <c r="D52" s="136">
        <f>Bxl_Inflow!D53-Bxl_Outflow!D53+D51</f>
        <v>470.65455000000003</v>
      </c>
      <c r="E52" s="136">
        <f>Bxl_Inflow!E53-Bxl_Outflow!E53+E51</f>
        <v>5928.2481200000002</v>
      </c>
      <c r="F52" s="136">
        <f>Bxl_Inflow!F53-Bxl_Outflow!F53+F51</f>
        <v>387.54066863157902</v>
      </c>
      <c r="G52" s="136">
        <f>Bxl_Inflow!G53-Bxl_Outflow!G53+G51</f>
        <v>317.51957600000003</v>
      </c>
      <c r="H52" s="115"/>
      <c r="I52" s="131"/>
      <c r="J52" s="131"/>
      <c r="K52" s="131"/>
      <c r="L52" s="115"/>
      <c r="M52" s="128"/>
      <c r="N52" s="128"/>
      <c r="O52" s="128"/>
      <c r="P52" s="126"/>
      <c r="Q52" s="126"/>
      <c r="R52" s="126"/>
      <c r="S52" s="115"/>
      <c r="T52" s="131"/>
      <c r="U52" s="131"/>
      <c r="V52" s="131"/>
      <c r="W52" s="115"/>
      <c r="X52" s="128"/>
      <c r="Y52" s="128"/>
      <c r="Z52" s="128"/>
      <c r="AA52" s="126"/>
      <c r="AB52" s="126"/>
      <c r="AC52" s="126"/>
      <c r="AD52" s="115"/>
    </row>
    <row r="53" spans="1:30" x14ac:dyDescent="0.25">
      <c r="A53" s="94">
        <v>1999</v>
      </c>
      <c r="B53" s="139">
        <f>Bxl_Inflow!B54-Bxl_Outflow!B54+B52</f>
        <v>295017.09700000001</v>
      </c>
      <c r="C53" s="139">
        <f>Bxl_Inflow!C54-Bxl_Outflow!C54+C52</f>
        <v>6398.9026699999995</v>
      </c>
      <c r="D53" s="136">
        <f>Bxl_Inflow!D54-Bxl_Outflow!D54+D52</f>
        <v>470.65455000000003</v>
      </c>
      <c r="E53" s="136">
        <f>Bxl_Inflow!E54-Bxl_Outflow!E54+E52</f>
        <v>5928.2481200000002</v>
      </c>
      <c r="F53" s="136">
        <f>Bxl_Inflow!F54-Bxl_Outflow!F54+F52</f>
        <v>387.54066863157902</v>
      </c>
      <c r="G53" s="136">
        <f>Bxl_Inflow!G54-Bxl_Outflow!G54+G52</f>
        <v>317.51957600000003</v>
      </c>
      <c r="H53" s="115"/>
      <c r="I53" s="131"/>
      <c r="J53" s="131"/>
      <c r="K53" s="131"/>
      <c r="L53" s="115"/>
      <c r="M53" s="128"/>
      <c r="N53" s="128"/>
      <c r="O53" s="128"/>
      <c r="P53" s="126"/>
      <c r="Q53" s="126"/>
      <c r="R53" s="126"/>
      <c r="S53" s="115"/>
      <c r="T53" s="131"/>
      <c r="U53" s="131"/>
      <c r="V53" s="131"/>
      <c r="W53" s="115"/>
      <c r="X53" s="128"/>
      <c r="Y53" s="128"/>
      <c r="Z53" s="128"/>
      <c r="AA53" s="126"/>
      <c r="AB53" s="126"/>
      <c r="AC53" s="126"/>
      <c r="AD53" s="115"/>
    </row>
    <row r="54" spans="1:30" x14ac:dyDescent="0.25">
      <c r="A54" s="94">
        <v>2000</v>
      </c>
      <c r="B54" s="139">
        <f>Bxl_Inflow!B55-Bxl_Outflow!B55+B53</f>
        <v>315061.897</v>
      </c>
      <c r="C54" s="139">
        <f>Bxl_Inflow!C55-Bxl_Outflow!C55+C53</f>
        <v>6799.7986699999992</v>
      </c>
      <c r="D54" s="136">
        <f>Bxl_Inflow!D55-Bxl_Outflow!D55+D53</f>
        <v>470.65455000000003</v>
      </c>
      <c r="E54" s="136">
        <f>Bxl_Inflow!E55-Bxl_Outflow!E55+E53</f>
        <v>6329.1441199999999</v>
      </c>
      <c r="F54" s="136">
        <f>Bxl_Inflow!F55-Bxl_Outflow!F55+F53</f>
        <v>414.26706863157904</v>
      </c>
      <c r="G54" s="136">
        <f>Bxl_Inflow!G55-Bxl_Outflow!G55+G53</f>
        <v>344.24597600000004</v>
      </c>
      <c r="H54" s="115"/>
      <c r="I54" s="131"/>
      <c r="J54" s="131"/>
      <c r="K54" s="131"/>
      <c r="L54" s="115"/>
      <c r="M54" s="128"/>
      <c r="N54" s="128"/>
      <c r="O54" s="128"/>
      <c r="P54" s="126"/>
      <c r="Q54" s="126"/>
      <c r="R54" s="126"/>
      <c r="S54" s="115"/>
      <c r="T54" s="131"/>
      <c r="U54" s="131"/>
      <c r="V54" s="131"/>
      <c r="W54" s="115"/>
      <c r="X54" s="128"/>
      <c r="Y54" s="128"/>
      <c r="Z54" s="128"/>
      <c r="AA54" s="126"/>
      <c r="AB54" s="126"/>
      <c r="AC54" s="126"/>
      <c r="AD54" s="115"/>
    </row>
    <row r="55" spans="1:30" x14ac:dyDescent="0.25">
      <c r="A55" s="94">
        <v>2001</v>
      </c>
      <c r="B55" s="139">
        <f>Bxl_Inflow!B56-Bxl_Outflow!B56+B54</f>
        <v>281535.897</v>
      </c>
      <c r="C55" s="139">
        <f>Bxl_Inflow!C56-Bxl_Outflow!C56+C54</f>
        <v>6073.748669999999</v>
      </c>
      <c r="D55" s="136">
        <f>Bxl_Inflow!D56-Bxl_Outflow!D56+D54</f>
        <v>304.60455000000002</v>
      </c>
      <c r="E55" s="136">
        <f>Bxl_Inflow!E56-Bxl_Outflow!E56+E54</f>
        <v>5769.1441199999999</v>
      </c>
      <c r="F55" s="136">
        <f>Bxl_Inflow!F56-Bxl_Outflow!F56+F54</f>
        <v>397.30601600000011</v>
      </c>
      <c r="G55" s="136">
        <f>Bxl_Inflow!G56-Bxl_Outflow!G56+G54</f>
        <v>344.24597600000004</v>
      </c>
      <c r="H55" s="115"/>
      <c r="I55" s="131"/>
      <c r="J55" s="131"/>
      <c r="K55" s="131"/>
      <c r="L55" s="115"/>
      <c r="M55" s="128"/>
      <c r="N55" s="128"/>
      <c r="O55" s="128"/>
      <c r="P55" s="126"/>
      <c r="Q55" s="126"/>
      <c r="R55" s="126"/>
      <c r="S55" s="115"/>
      <c r="T55" s="131"/>
      <c r="U55" s="131"/>
      <c r="V55" s="131"/>
      <c r="W55" s="115"/>
      <c r="X55" s="128"/>
      <c r="Y55" s="128"/>
      <c r="Z55" s="128"/>
      <c r="AA55" s="126"/>
      <c r="AB55" s="126"/>
      <c r="AC55" s="126"/>
      <c r="AD55" s="115"/>
    </row>
    <row r="56" spans="1:30" x14ac:dyDescent="0.25">
      <c r="A56" s="94">
        <v>2002</v>
      </c>
      <c r="B56" s="139">
        <f>Bxl_Inflow!B57-Bxl_Outflow!B57+B55</f>
        <v>281535.897</v>
      </c>
      <c r="C56" s="139">
        <f>Bxl_Inflow!C57-Bxl_Outflow!C57+C55</f>
        <v>6073.748669999999</v>
      </c>
      <c r="D56" s="136">
        <f>Bxl_Inflow!D57-Bxl_Outflow!D57+D55</f>
        <v>304.60455000000002</v>
      </c>
      <c r="E56" s="136">
        <f>Bxl_Inflow!E57-Bxl_Outflow!E57+E55</f>
        <v>5769.1441199999999</v>
      </c>
      <c r="F56" s="136">
        <f>Bxl_Inflow!F57-Bxl_Outflow!F57+F55</f>
        <v>397.30601600000011</v>
      </c>
      <c r="G56" s="136">
        <f>Bxl_Inflow!G57-Bxl_Outflow!G57+G55</f>
        <v>344.24597600000004</v>
      </c>
      <c r="H56" s="115"/>
      <c r="I56" s="131"/>
      <c r="J56" s="131"/>
      <c r="K56" s="131"/>
      <c r="L56" s="115"/>
      <c r="M56" s="128"/>
      <c r="N56" s="128"/>
      <c r="O56" s="128"/>
      <c r="P56" s="126"/>
      <c r="Q56" s="126"/>
      <c r="R56" s="126"/>
      <c r="S56" s="115"/>
      <c r="T56" s="131"/>
      <c r="U56" s="131"/>
      <c r="V56" s="131"/>
      <c r="W56" s="115"/>
      <c r="X56" s="128"/>
      <c r="Y56" s="128"/>
      <c r="Z56" s="128"/>
      <c r="AA56" s="126"/>
      <c r="AB56" s="126"/>
      <c r="AC56" s="126"/>
      <c r="AD56" s="115"/>
    </row>
    <row r="57" spans="1:30" x14ac:dyDescent="0.25">
      <c r="A57" s="94">
        <v>2003</v>
      </c>
      <c r="B57" s="139">
        <f>Bxl_Inflow!B58-Bxl_Outflow!B58+B56</f>
        <v>281535.897</v>
      </c>
      <c r="C57" s="139">
        <f>Bxl_Inflow!C58-Bxl_Outflow!C58+C56</f>
        <v>6073.748669999999</v>
      </c>
      <c r="D57" s="136">
        <f>Bxl_Inflow!D58-Bxl_Outflow!D58+D56</f>
        <v>304.60455000000002</v>
      </c>
      <c r="E57" s="136">
        <f>Bxl_Inflow!E58-Bxl_Outflow!E58+E56</f>
        <v>5769.1441199999999</v>
      </c>
      <c r="F57" s="136">
        <f>Bxl_Inflow!F58-Bxl_Outflow!F58+F56</f>
        <v>397.30601600000011</v>
      </c>
      <c r="G57" s="136">
        <f>Bxl_Inflow!G58-Bxl_Outflow!G58+G56</f>
        <v>344.24597600000004</v>
      </c>
      <c r="H57" s="115"/>
      <c r="I57" s="131"/>
      <c r="J57" s="131"/>
      <c r="K57" s="131"/>
      <c r="L57" s="115"/>
      <c r="M57" s="128"/>
      <c r="N57" s="128"/>
      <c r="O57" s="128"/>
      <c r="P57" s="126"/>
      <c r="Q57" s="126"/>
      <c r="R57" s="126"/>
      <c r="S57" s="115"/>
      <c r="T57" s="131"/>
      <c r="U57" s="131"/>
      <c r="V57" s="131"/>
      <c r="W57" s="115"/>
      <c r="X57" s="128"/>
      <c r="Y57" s="128"/>
      <c r="Z57" s="128"/>
      <c r="AA57" s="126"/>
      <c r="AB57" s="126"/>
      <c r="AC57" s="126"/>
      <c r="AD57" s="115"/>
    </row>
    <row r="58" spans="1:30" x14ac:dyDescent="0.25">
      <c r="A58" s="94">
        <v>2004</v>
      </c>
      <c r="B58" s="139">
        <f>Bxl_Inflow!B59-Bxl_Outflow!B59+B57</f>
        <v>321549.897</v>
      </c>
      <c r="C58" s="139">
        <f>Bxl_Inflow!C59-Bxl_Outflow!C59+C57</f>
        <v>7009.8368699999992</v>
      </c>
      <c r="D58" s="136">
        <f>Bxl_Inflow!D59-Bxl_Outflow!D59+D57</f>
        <v>528.72974999999997</v>
      </c>
      <c r="E58" s="136">
        <f>Bxl_Inflow!E59-Bxl_Outflow!E59+E57</f>
        <v>6481.1071199999997</v>
      </c>
      <c r="F58" s="136">
        <f>Bxl_Inflow!F59-Bxl_Outflow!F59+F57</f>
        <v>472.51415000000009</v>
      </c>
      <c r="G58" s="136">
        <f>Bxl_Inflow!G59-Bxl_Outflow!G59+G57</f>
        <v>384.75209600000005</v>
      </c>
      <c r="H58" s="115"/>
      <c r="I58" s="131"/>
      <c r="J58" s="131"/>
      <c r="K58" s="131"/>
      <c r="L58" s="115"/>
      <c r="M58" s="128"/>
      <c r="N58" s="128"/>
      <c r="O58" s="128"/>
      <c r="P58" s="126"/>
      <c r="Q58" s="126"/>
      <c r="R58" s="126"/>
      <c r="S58" s="115"/>
      <c r="T58" s="131"/>
      <c r="U58" s="131"/>
      <c r="V58" s="131"/>
      <c r="W58" s="115"/>
      <c r="X58" s="128"/>
      <c r="Y58" s="128"/>
      <c r="Z58" s="128"/>
      <c r="AA58" s="126"/>
      <c r="AB58" s="126"/>
      <c r="AC58" s="126"/>
      <c r="AD58" s="115"/>
    </row>
    <row r="59" spans="1:30" x14ac:dyDescent="0.25">
      <c r="A59" s="94">
        <v>2005</v>
      </c>
      <c r="B59" s="139">
        <f>Bxl_Inflow!B60-Bxl_Outflow!B60+B58</f>
        <v>321549.897</v>
      </c>
      <c r="C59" s="139">
        <f>Bxl_Inflow!C60-Bxl_Outflow!C60+C58</f>
        <v>7009.8368699999992</v>
      </c>
      <c r="D59" s="136">
        <f>Bxl_Inflow!D60-Bxl_Outflow!D60+D58</f>
        <v>528.72974999999997</v>
      </c>
      <c r="E59" s="136">
        <f>Bxl_Inflow!E60-Bxl_Outflow!E60+E58</f>
        <v>6481.1071199999997</v>
      </c>
      <c r="F59" s="136">
        <f>Bxl_Inflow!F60-Bxl_Outflow!F60+F58</f>
        <v>472.51415000000009</v>
      </c>
      <c r="G59" s="136">
        <f>Bxl_Inflow!G60-Bxl_Outflow!G60+G58</f>
        <v>384.75209600000005</v>
      </c>
      <c r="H59" s="115"/>
      <c r="I59" s="131"/>
      <c r="J59" s="131"/>
      <c r="K59" s="131"/>
      <c r="L59" s="115"/>
      <c r="M59" s="128"/>
      <c r="N59" s="128"/>
      <c r="O59" s="128"/>
      <c r="P59" s="126"/>
      <c r="Q59" s="126"/>
      <c r="R59" s="126"/>
      <c r="S59" s="115"/>
      <c r="T59" s="131"/>
      <c r="U59" s="131"/>
      <c r="V59" s="131"/>
      <c r="W59" s="115"/>
      <c r="X59" s="128"/>
      <c r="Y59" s="128"/>
      <c r="Z59" s="128"/>
      <c r="AA59" s="126"/>
      <c r="AB59" s="126"/>
      <c r="AC59" s="126"/>
      <c r="AD59" s="115"/>
    </row>
    <row r="60" spans="1:30" x14ac:dyDescent="0.25">
      <c r="A60" s="94">
        <v>2006</v>
      </c>
      <c r="B60" s="139">
        <f>Bxl_Inflow!B61-Bxl_Outflow!B61+B59</f>
        <v>434674.772</v>
      </c>
      <c r="C60" s="139">
        <f>Bxl_Inflow!C61-Bxl_Outflow!C61+C59</f>
        <v>9272.3343699999987</v>
      </c>
      <c r="D60" s="136">
        <f>Bxl_Inflow!D61-Bxl_Outflow!D61+D59</f>
        <v>873.04724999999996</v>
      </c>
      <c r="E60" s="136">
        <f>Bxl_Inflow!E61-Bxl_Outflow!E61+E59</f>
        <v>8399.287119999999</v>
      </c>
      <c r="F60" s="136">
        <f>Bxl_Inflow!F61-Bxl_Outflow!F61+F59</f>
        <v>628.95841666666672</v>
      </c>
      <c r="G60" s="136">
        <f>Bxl_Inflow!G61-Bxl_Outflow!G61+G59</f>
        <v>500.89846266666672</v>
      </c>
      <c r="H60" s="115"/>
      <c r="I60" s="131"/>
      <c r="J60" s="131"/>
      <c r="K60" s="131"/>
      <c r="L60" s="115"/>
      <c r="M60" s="128"/>
      <c r="N60" s="128"/>
      <c r="O60" s="128"/>
      <c r="P60" s="126"/>
      <c r="Q60" s="126"/>
      <c r="R60" s="126"/>
      <c r="S60" s="115"/>
      <c r="T60" s="131"/>
      <c r="U60" s="131"/>
      <c r="V60" s="131"/>
      <c r="W60" s="115"/>
      <c r="X60" s="128"/>
      <c r="Y60" s="128"/>
      <c r="Z60" s="128"/>
      <c r="AA60" s="126"/>
      <c r="AB60" s="126"/>
      <c r="AC60" s="126"/>
      <c r="AD60" s="115"/>
    </row>
    <row r="61" spans="1:30" x14ac:dyDescent="0.25">
      <c r="A61" s="94">
        <v>2007</v>
      </c>
      <c r="B61" s="139">
        <f>Bxl_Inflow!B62-Bxl_Outflow!B62+B60</f>
        <v>466674.772</v>
      </c>
      <c r="C61" s="139">
        <f>Bxl_Inflow!C62-Bxl_Outflow!C62+C60</f>
        <v>9992.3343699999987</v>
      </c>
      <c r="D61" s="136">
        <f>Bxl_Inflow!D62-Bxl_Outflow!D62+D60</f>
        <v>873.04724999999996</v>
      </c>
      <c r="E61" s="136">
        <f>Bxl_Inflow!E62-Bxl_Outflow!E62+E60</f>
        <v>9119.287119999999</v>
      </c>
      <c r="F61" s="136">
        <f>Bxl_Inflow!F62-Bxl_Outflow!F62+F60</f>
        <v>671.62508333333335</v>
      </c>
      <c r="G61" s="136">
        <f>Bxl_Inflow!G62-Bxl_Outflow!G62+G60</f>
        <v>543.5651293333334</v>
      </c>
      <c r="H61" s="115"/>
      <c r="I61" s="131"/>
      <c r="J61" s="131"/>
      <c r="K61" s="131"/>
      <c r="L61" s="115"/>
      <c r="M61" s="128"/>
      <c r="N61" s="128"/>
      <c r="O61" s="128"/>
      <c r="P61" s="126"/>
      <c r="Q61" s="126"/>
      <c r="R61" s="126"/>
      <c r="S61" s="115"/>
      <c r="T61" s="131"/>
      <c r="U61" s="131"/>
      <c r="V61" s="131"/>
      <c r="W61" s="115"/>
      <c r="X61" s="128"/>
      <c r="Y61" s="128"/>
      <c r="Z61" s="128"/>
      <c r="AA61" s="126"/>
      <c r="AB61" s="126"/>
      <c r="AC61" s="126"/>
      <c r="AD61" s="115"/>
    </row>
    <row r="62" spans="1:30" x14ac:dyDescent="0.25">
      <c r="A62" s="94">
        <v>2008</v>
      </c>
      <c r="B62" s="139">
        <f>Bxl_Inflow!B63-Bxl_Outflow!B63+B61</f>
        <v>466674.772</v>
      </c>
      <c r="C62" s="139">
        <f>Bxl_Inflow!C63-Bxl_Outflow!C63+C61</f>
        <v>9992.3343699999987</v>
      </c>
      <c r="D62" s="136">
        <f>Bxl_Inflow!D63-Bxl_Outflow!D63+D61</f>
        <v>873.04724999999996</v>
      </c>
      <c r="E62" s="136">
        <f>Bxl_Inflow!E63-Bxl_Outflow!E63+E61</f>
        <v>9119.287119999999</v>
      </c>
      <c r="F62" s="136">
        <f>Bxl_Inflow!F63-Bxl_Outflow!F63+F61</f>
        <v>671.62508333333335</v>
      </c>
      <c r="G62" s="136">
        <f>Bxl_Inflow!G63-Bxl_Outflow!G63+G61</f>
        <v>543.5651293333334</v>
      </c>
      <c r="H62" s="115"/>
      <c r="I62" s="131"/>
      <c r="J62" s="131"/>
      <c r="K62" s="131"/>
      <c r="L62" s="115"/>
      <c r="M62" s="128"/>
      <c r="N62" s="128"/>
      <c r="O62" s="128"/>
      <c r="P62" s="126"/>
      <c r="Q62" s="126"/>
      <c r="R62" s="126"/>
      <c r="S62" s="115"/>
      <c r="T62" s="131"/>
      <c r="U62" s="131"/>
      <c r="V62" s="131"/>
      <c r="W62" s="115"/>
      <c r="X62" s="128"/>
      <c r="Y62" s="128"/>
      <c r="Z62" s="128"/>
      <c r="AA62" s="126"/>
      <c r="AB62" s="126"/>
      <c r="AC62" s="126"/>
      <c r="AD62" s="115"/>
    </row>
    <row r="63" spans="1:30" x14ac:dyDescent="0.25">
      <c r="A63" s="94">
        <v>2009</v>
      </c>
      <c r="B63" s="139">
        <f>Bxl_Inflow!B64-Bxl_Outflow!B64+B62</f>
        <v>478950.772</v>
      </c>
      <c r="C63" s="139">
        <f>Bxl_Inflow!C64-Bxl_Outflow!C64+C62</f>
        <v>10237.854369999999</v>
      </c>
      <c r="D63" s="136">
        <f>Bxl_Inflow!D64-Bxl_Outflow!D64+D62</f>
        <v>964.56724999999994</v>
      </c>
      <c r="E63" s="136">
        <f>Bxl_Inflow!E64-Bxl_Outflow!E64+E62</f>
        <v>9273.287119999999</v>
      </c>
      <c r="F63" s="136">
        <f>Bxl_Inflow!F64-Bxl_Outflow!F64+F62</f>
        <v>692.15841666666665</v>
      </c>
      <c r="G63" s="136">
        <f>Bxl_Inflow!G64-Bxl_Outflow!G64+G62</f>
        <v>553.83179600000005</v>
      </c>
      <c r="H63" s="115"/>
      <c r="I63" s="131"/>
      <c r="J63" s="131"/>
      <c r="K63" s="131"/>
      <c r="L63" s="115"/>
      <c r="M63" s="128"/>
      <c r="N63" s="128"/>
      <c r="O63" s="128"/>
      <c r="P63" s="126"/>
      <c r="Q63" s="126"/>
      <c r="R63" s="126"/>
      <c r="S63" s="115"/>
      <c r="T63" s="131"/>
      <c r="U63" s="131"/>
      <c r="V63" s="131"/>
      <c r="W63" s="115"/>
      <c r="X63" s="128"/>
      <c r="Y63" s="128"/>
      <c r="Z63" s="128"/>
      <c r="AA63" s="126"/>
      <c r="AB63" s="126"/>
      <c r="AC63" s="126"/>
      <c r="AD63" s="115"/>
    </row>
    <row r="64" spans="1:30" x14ac:dyDescent="0.25">
      <c r="A64" s="94">
        <v>2010</v>
      </c>
      <c r="B64" s="139">
        <f>Bxl_Inflow!B65-Bxl_Outflow!B65+B63</f>
        <v>478950.772</v>
      </c>
      <c r="C64" s="139">
        <f>Bxl_Inflow!C65-Bxl_Outflow!C65+C63</f>
        <v>10237.854369999999</v>
      </c>
      <c r="D64" s="136">
        <f>Bxl_Inflow!D65-Bxl_Outflow!D65+D63</f>
        <v>964.56724999999994</v>
      </c>
      <c r="E64" s="136">
        <f>Bxl_Inflow!E65-Bxl_Outflow!E65+E63</f>
        <v>9273.287119999999</v>
      </c>
      <c r="F64" s="136">
        <f>Bxl_Inflow!F65-Bxl_Outflow!F65+F63</f>
        <v>692.15841666666665</v>
      </c>
      <c r="G64" s="136">
        <f>Bxl_Inflow!G65-Bxl_Outflow!G65+G63</f>
        <v>553.83179600000005</v>
      </c>
      <c r="H64" s="115"/>
      <c r="I64" s="131"/>
      <c r="J64" s="131"/>
      <c r="K64" s="131"/>
      <c r="L64" s="115"/>
      <c r="M64" s="128"/>
      <c r="N64" s="128"/>
      <c r="O64" s="128"/>
      <c r="P64" s="126"/>
      <c r="Q64" s="126"/>
      <c r="R64" s="126"/>
      <c r="S64" s="115"/>
      <c r="T64" s="131"/>
      <c r="U64" s="131"/>
      <c r="V64" s="131"/>
      <c r="W64" s="115"/>
      <c r="X64" s="128"/>
      <c r="Y64" s="128"/>
      <c r="Z64" s="128"/>
      <c r="AA64" s="126"/>
      <c r="AB64" s="126"/>
      <c r="AC64" s="126"/>
      <c r="AD64" s="115"/>
    </row>
    <row r="65" spans="1:30" x14ac:dyDescent="0.25">
      <c r="A65" s="94">
        <v>2011</v>
      </c>
      <c r="B65" s="139">
        <f>Bxl_Inflow!B66-Bxl_Outflow!B66+B64</f>
        <v>478950.772</v>
      </c>
      <c r="C65" s="139">
        <f>Bxl_Inflow!C66-Bxl_Outflow!C66+C64</f>
        <v>10237.854369999999</v>
      </c>
      <c r="D65" s="136">
        <f>Bxl_Inflow!D66-Bxl_Outflow!D66+D64</f>
        <v>964.56724999999994</v>
      </c>
      <c r="E65" s="136">
        <f>Bxl_Inflow!E66-Bxl_Outflow!E66+E64</f>
        <v>9273.287119999999</v>
      </c>
      <c r="F65" s="136">
        <f>Bxl_Inflow!F66-Bxl_Outflow!F66+F64</f>
        <v>692.15841666666665</v>
      </c>
      <c r="G65" s="136">
        <f>Bxl_Inflow!G66-Bxl_Outflow!G66+G64</f>
        <v>553.83179600000005</v>
      </c>
      <c r="H65" s="115"/>
      <c r="I65" s="131"/>
      <c r="J65" s="131"/>
      <c r="K65" s="131"/>
      <c r="L65" s="115"/>
      <c r="M65" s="128"/>
      <c r="N65" s="128"/>
      <c r="O65" s="128"/>
      <c r="P65" s="126"/>
      <c r="Q65" s="126"/>
      <c r="R65" s="126"/>
      <c r="S65" s="115"/>
      <c r="T65" s="131"/>
      <c r="U65" s="131"/>
      <c r="V65" s="131"/>
      <c r="W65" s="115"/>
      <c r="X65" s="128"/>
      <c r="Y65" s="128"/>
      <c r="Z65" s="128"/>
      <c r="AA65" s="126"/>
      <c r="AB65" s="126"/>
      <c r="AC65" s="126"/>
      <c r="AD65" s="115"/>
    </row>
    <row r="66" spans="1:30" x14ac:dyDescent="0.25">
      <c r="A66" s="94">
        <v>2012</v>
      </c>
      <c r="B66" s="139">
        <f>Bxl_Inflow!B67-Bxl_Outflow!B67+B65</f>
        <v>478950.772</v>
      </c>
      <c r="C66" s="139">
        <f>Bxl_Inflow!C67-Bxl_Outflow!C67+C65</f>
        <v>10237.854369999999</v>
      </c>
      <c r="D66" s="136">
        <f>Bxl_Inflow!D67-Bxl_Outflow!D67+D65</f>
        <v>964.56724999999994</v>
      </c>
      <c r="E66" s="136">
        <f>Bxl_Inflow!E67-Bxl_Outflow!E67+E65</f>
        <v>9273.287119999999</v>
      </c>
      <c r="F66" s="136">
        <f>Bxl_Inflow!F67-Bxl_Outflow!F67+F65</f>
        <v>692.15841666666665</v>
      </c>
      <c r="G66" s="136">
        <f>Bxl_Inflow!G67-Bxl_Outflow!G67+G65</f>
        <v>553.83179600000005</v>
      </c>
      <c r="H66" s="115"/>
      <c r="I66" s="131"/>
      <c r="J66" s="131"/>
      <c r="K66" s="131"/>
      <c r="L66" s="115"/>
      <c r="M66" s="128"/>
      <c r="N66" s="128"/>
      <c r="O66" s="128"/>
      <c r="P66" s="126"/>
      <c r="Q66" s="126"/>
      <c r="R66" s="126"/>
      <c r="S66" s="115"/>
      <c r="T66" s="131"/>
      <c r="U66" s="131"/>
      <c r="V66" s="131"/>
      <c r="W66" s="115"/>
      <c r="X66" s="128"/>
      <c r="Y66" s="128"/>
      <c r="Z66" s="128"/>
      <c r="AA66" s="126"/>
      <c r="AB66" s="126"/>
      <c r="AC66" s="126"/>
      <c r="AD66" s="115"/>
    </row>
    <row r="67" spans="1:30" x14ac:dyDescent="0.25">
      <c r="A67" s="94">
        <v>2013</v>
      </c>
      <c r="B67" s="139">
        <f>Bxl_Inflow!B68-Bxl_Outflow!B68+B66</f>
        <v>510270.772</v>
      </c>
      <c r="C67" s="139">
        <f>Bxl_Inflow!C68-Bxl_Outflow!C68+C66</f>
        <v>10864.254369999999</v>
      </c>
      <c r="D67" s="136">
        <f>Bxl_Inflow!D68-Bxl_Outflow!D68+D66</f>
        <v>964.56724999999994</v>
      </c>
      <c r="E67" s="136">
        <f>Bxl_Inflow!E68-Bxl_Outflow!E68+E66</f>
        <v>9899.6871199999987</v>
      </c>
      <c r="F67" s="136">
        <f>Bxl_Inflow!F68-Bxl_Outflow!F68+F66</f>
        <v>728.69841666666662</v>
      </c>
      <c r="G67" s="136">
        <f>Bxl_Inflow!G68-Bxl_Outflow!G68+G66</f>
        <v>590.37179600000002</v>
      </c>
      <c r="H67" s="115"/>
      <c r="I67" s="131"/>
      <c r="J67" s="131"/>
      <c r="K67" s="131"/>
      <c r="L67" s="115"/>
      <c r="M67" s="128"/>
      <c r="N67" s="128"/>
      <c r="O67" s="128"/>
      <c r="P67" s="126"/>
      <c r="Q67" s="126"/>
      <c r="R67" s="126"/>
      <c r="S67" s="115"/>
      <c r="T67" s="131"/>
      <c r="U67" s="131"/>
      <c r="V67" s="131"/>
      <c r="W67" s="115"/>
      <c r="X67" s="128"/>
      <c r="Y67" s="128"/>
      <c r="Z67" s="128"/>
      <c r="AA67" s="126"/>
      <c r="AB67" s="126"/>
      <c r="AC67" s="126"/>
      <c r="AD67" s="115"/>
    </row>
    <row r="68" spans="1:30" x14ac:dyDescent="0.25">
      <c r="A68" s="94">
        <v>2014</v>
      </c>
      <c r="B68" s="139">
        <f>Bxl_Inflow!B69-Bxl_Outflow!B69+B67</f>
        <v>510270.772</v>
      </c>
      <c r="C68" s="139">
        <f>Bxl_Inflow!C69-Bxl_Outflow!C69+C67</f>
        <v>10864.254369999999</v>
      </c>
      <c r="D68" s="136">
        <f>Bxl_Inflow!D69-Bxl_Outflow!D69+D67</f>
        <v>964.56724999999994</v>
      </c>
      <c r="E68" s="136">
        <f>Bxl_Inflow!E69-Bxl_Outflow!E69+E67</f>
        <v>9899.6871199999987</v>
      </c>
      <c r="F68" s="136">
        <f>Bxl_Inflow!F69-Bxl_Outflow!F69+F67</f>
        <v>728.69841666666662</v>
      </c>
      <c r="G68" s="136">
        <f>Bxl_Inflow!G69-Bxl_Outflow!G69+G67</f>
        <v>590.37179600000002</v>
      </c>
      <c r="H68" s="115"/>
      <c r="I68" s="131"/>
      <c r="J68" s="131"/>
      <c r="K68" s="131"/>
      <c r="L68" s="115"/>
      <c r="M68" s="128"/>
      <c r="N68" s="128"/>
      <c r="O68" s="128"/>
      <c r="P68" s="126"/>
      <c r="Q68" s="126"/>
      <c r="R68" s="126"/>
      <c r="S68" s="115"/>
      <c r="T68" s="131"/>
      <c r="U68" s="131"/>
      <c r="V68" s="131"/>
      <c r="W68" s="115"/>
      <c r="X68" s="128"/>
      <c r="Y68" s="128"/>
      <c r="Z68" s="128"/>
      <c r="AA68" s="126"/>
      <c r="AB68" s="126"/>
      <c r="AC68" s="126"/>
      <c r="AD68" s="115"/>
    </row>
    <row r="69" spans="1:30" x14ac:dyDescent="0.25">
      <c r="A69" s="94">
        <v>2015</v>
      </c>
      <c r="B69" s="139">
        <f>Bxl_Inflow!B70-Bxl_Outflow!B70+B68</f>
        <v>510270.772</v>
      </c>
      <c r="C69" s="139">
        <f>Bxl_Inflow!C70-Bxl_Outflow!C70+C68</f>
        <v>10864.254369999999</v>
      </c>
      <c r="D69" s="136">
        <f>Bxl_Inflow!D70-Bxl_Outflow!D70+D68</f>
        <v>964.56724999999994</v>
      </c>
      <c r="E69" s="136">
        <f>Bxl_Inflow!E70-Bxl_Outflow!E70+E68</f>
        <v>9899.6871199999987</v>
      </c>
      <c r="F69" s="136">
        <f>Bxl_Inflow!F70-Bxl_Outflow!F70+F68</f>
        <v>728.69841666666662</v>
      </c>
      <c r="G69" s="136">
        <f>Bxl_Inflow!G70-Bxl_Outflow!G70+G68</f>
        <v>590.37179600000002</v>
      </c>
      <c r="H69" s="115"/>
      <c r="I69" s="131"/>
      <c r="J69" s="131"/>
      <c r="K69" s="131"/>
      <c r="L69" s="115"/>
      <c r="M69" s="128"/>
      <c r="N69" s="128"/>
      <c r="O69" s="128"/>
      <c r="P69" s="126"/>
      <c r="Q69" s="126"/>
      <c r="R69" s="126"/>
      <c r="S69" s="115"/>
      <c r="T69" s="131"/>
      <c r="U69" s="131"/>
      <c r="V69" s="131"/>
      <c r="W69" s="115"/>
      <c r="X69" s="128"/>
      <c r="Y69" s="128"/>
      <c r="Z69" s="128"/>
      <c r="AA69" s="126"/>
      <c r="AB69" s="126"/>
      <c r="AC69" s="126"/>
      <c r="AD69" s="115"/>
    </row>
    <row r="70" spans="1:30" x14ac:dyDescent="0.25">
      <c r="A70" s="94">
        <v>2016</v>
      </c>
      <c r="B70" s="139">
        <f>Bxl_Inflow!B71-Bxl_Outflow!B71+B69</f>
        <v>510270.772</v>
      </c>
      <c r="C70" s="139">
        <f>Bxl_Inflow!C71-Bxl_Outflow!C71+C69</f>
        <v>10864.254369999999</v>
      </c>
      <c r="D70" s="136">
        <f>Bxl_Inflow!D71-Bxl_Outflow!D71+D69</f>
        <v>964.56724999999994</v>
      </c>
      <c r="E70" s="136">
        <f>Bxl_Inflow!E71-Bxl_Outflow!E71+E69</f>
        <v>9899.6871199999987</v>
      </c>
      <c r="F70" s="136">
        <f>Bxl_Inflow!F71-Bxl_Outflow!F71+F69</f>
        <v>728.69841666666662</v>
      </c>
      <c r="G70" s="136">
        <f>Bxl_Inflow!G71-Bxl_Outflow!G71+G69</f>
        <v>590.37179600000002</v>
      </c>
      <c r="H70" s="115"/>
      <c r="I70" s="131"/>
      <c r="J70" s="131"/>
      <c r="K70" s="131"/>
      <c r="L70" s="115"/>
      <c r="M70" s="128"/>
      <c r="N70" s="128"/>
      <c r="O70" s="128"/>
      <c r="P70" s="126"/>
      <c r="Q70" s="126"/>
      <c r="R70" s="126"/>
      <c r="S70" s="115"/>
      <c r="T70" s="131"/>
      <c r="U70" s="131"/>
      <c r="V70" s="131"/>
      <c r="W70" s="115"/>
      <c r="X70" s="128"/>
      <c r="Y70" s="128"/>
      <c r="Z70" s="128"/>
      <c r="AA70" s="126"/>
      <c r="AB70" s="126"/>
      <c r="AC70" s="126"/>
      <c r="AD70" s="115"/>
    </row>
    <row r="71" spans="1:30" x14ac:dyDescent="0.25">
      <c r="A71" s="94">
        <v>2017</v>
      </c>
      <c r="B71" s="139">
        <f>Bxl_Inflow!B72-Bxl_Outflow!B72+B70</f>
        <v>502105.97200000001</v>
      </c>
      <c r="C71" s="139">
        <f>Bxl_Inflow!C72-Bxl_Outflow!C72+C70</f>
        <v>10666.51312</v>
      </c>
      <c r="D71" s="136">
        <f>Bxl_Inflow!D72-Bxl_Outflow!D72+D70</f>
        <v>930.12199999999996</v>
      </c>
      <c r="E71" s="136">
        <f>Bxl_Inflow!E72-Bxl_Outflow!E72+E70</f>
        <v>9736.3911199999984</v>
      </c>
      <c r="F71" s="136">
        <f>Bxl_Inflow!F72-Bxl_Outflow!F72+F70</f>
        <v>711.23481666666657</v>
      </c>
      <c r="G71" s="136">
        <f>Bxl_Inflow!G72-Bxl_Outflow!G72+G70</f>
        <v>580.39259600000003</v>
      </c>
      <c r="H71" s="115"/>
      <c r="I71" s="131"/>
      <c r="J71" s="131"/>
      <c r="K71" s="131"/>
      <c r="L71" s="115"/>
      <c r="M71" s="128"/>
      <c r="N71" s="128"/>
      <c r="O71" s="128"/>
      <c r="P71" s="126"/>
      <c r="Q71" s="126"/>
      <c r="R71" s="126"/>
      <c r="S71" s="115"/>
      <c r="T71" s="131"/>
      <c r="U71" s="131"/>
      <c r="V71" s="131"/>
      <c r="W71" s="115"/>
      <c r="X71" s="128"/>
      <c r="Y71" s="128"/>
      <c r="Z71" s="128"/>
      <c r="AA71" s="126"/>
      <c r="AB71" s="126"/>
      <c r="AC71" s="126"/>
      <c r="AD71" s="115"/>
    </row>
    <row r="72" spans="1:30" x14ac:dyDescent="0.25">
      <c r="A72" s="94">
        <v>2018</v>
      </c>
      <c r="B72" s="139">
        <f>Bxl_Inflow!B73-Bxl_Outflow!B73+B71</f>
        <v>502105.97200000001</v>
      </c>
      <c r="C72" s="139">
        <f>Bxl_Inflow!C73-Bxl_Outflow!C73+C71</f>
        <v>10666.51312</v>
      </c>
      <c r="D72" s="136">
        <f>Bxl_Inflow!D73-Bxl_Outflow!D73+D71</f>
        <v>930.12199999999996</v>
      </c>
      <c r="E72" s="136">
        <f>Bxl_Inflow!E73-Bxl_Outflow!E73+E71</f>
        <v>9736.3911199999984</v>
      </c>
      <c r="F72" s="136">
        <f>Bxl_Inflow!F73-Bxl_Outflow!F73+F71</f>
        <v>711.23481666666657</v>
      </c>
      <c r="G72" s="136">
        <f>Bxl_Inflow!G73-Bxl_Outflow!G73+G71</f>
        <v>580.39259600000003</v>
      </c>
      <c r="H72" s="115"/>
      <c r="I72" s="131"/>
      <c r="J72" s="131"/>
      <c r="K72" s="131"/>
      <c r="L72" s="115"/>
      <c r="M72" s="128"/>
      <c r="N72" s="128"/>
      <c r="O72" s="128"/>
      <c r="P72" s="126"/>
      <c r="Q72" s="126"/>
      <c r="R72" s="126"/>
      <c r="S72" s="115"/>
      <c r="T72" s="131"/>
      <c r="U72" s="131"/>
      <c r="V72" s="131"/>
      <c r="W72" s="115"/>
      <c r="X72" s="128"/>
      <c r="Y72" s="128"/>
      <c r="Z72" s="128"/>
      <c r="AA72" s="126"/>
      <c r="AB72" s="126"/>
      <c r="AC72" s="126"/>
      <c r="AD72" s="115"/>
    </row>
    <row r="73" spans="1:30" x14ac:dyDescent="0.25">
      <c r="A73" s="94">
        <v>2019</v>
      </c>
      <c r="B73" s="139">
        <f>Bxl_Inflow!B74-Bxl_Outflow!B74+B72</f>
        <v>502105.97200000001</v>
      </c>
      <c r="C73" s="139">
        <f>Bxl_Inflow!C74-Bxl_Outflow!C74+C72</f>
        <v>10666.51312</v>
      </c>
      <c r="D73" s="136">
        <f>Bxl_Inflow!D74-Bxl_Outflow!D74+D72</f>
        <v>930.12199999999996</v>
      </c>
      <c r="E73" s="136">
        <f>Bxl_Inflow!E74-Bxl_Outflow!E74+E72</f>
        <v>9736.3911199999984</v>
      </c>
      <c r="F73" s="136">
        <f>Bxl_Inflow!F74-Bxl_Outflow!F74+F72</f>
        <v>711.23481666666657</v>
      </c>
      <c r="G73" s="136">
        <f>Bxl_Inflow!G74-Bxl_Outflow!G74+G72</f>
        <v>580.39259600000003</v>
      </c>
      <c r="H73" s="115"/>
      <c r="I73" s="131"/>
      <c r="J73" s="131"/>
      <c r="K73" s="131"/>
      <c r="L73" s="115"/>
      <c r="M73" s="128"/>
      <c r="N73" s="128"/>
      <c r="O73" s="128"/>
      <c r="P73" s="126"/>
      <c r="Q73" s="126"/>
      <c r="R73" s="126"/>
      <c r="S73" s="115"/>
      <c r="T73" s="131"/>
      <c r="U73" s="131"/>
      <c r="V73" s="131"/>
      <c r="W73" s="115"/>
      <c r="X73" s="128"/>
      <c r="Y73" s="128"/>
      <c r="Z73" s="128"/>
      <c r="AA73" s="126"/>
      <c r="AB73" s="126"/>
      <c r="AC73" s="126"/>
      <c r="AD73" s="115"/>
    </row>
    <row r="74" spans="1:30" x14ac:dyDescent="0.25">
      <c r="A74" s="94">
        <v>2020</v>
      </c>
      <c r="B74" s="139">
        <f>Bxl_Inflow!B75-Bxl_Outflow!B75+B73</f>
        <v>513829.82199999999</v>
      </c>
      <c r="C74" s="139">
        <f>Bxl_Inflow!C75-Bxl_Outflow!C75+C73</f>
        <v>10876.97812</v>
      </c>
      <c r="D74" s="136">
        <f>Bxl_Inflow!D75-Bxl_Outflow!D75+D73</f>
        <v>762.69499999999994</v>
      </c>
      <c r="E74" s="136">
        <f>Bxl_Inflow!E75-Bxl_Outflow!E75+E73</f>
        <v>10114.283119999998</v>
      </c>
      <c r="F74" s="136">
        <f>Bxl_Inflow!F75-Bxl_Outflow!F75+F73</f>
        <v>704.80041666666659</v>
      </c>
      <c r="G74" s="136">
        <f>Bxl_Inflow!G75-Bxl_Outflow!G75+G73</f>
        <v>601.24259600000005</v>
      </c>
      <c r="H74" s="115"/>
      <c r="I74" s="131"/>
      <c r="J74" s="131"/>
      <c r="K74" s="131"/>
      <c r="L74" s="115"/>
      <c r="M74" s="128"/>
      <c r="N74" s="128"/>
      <c r="O74" s="128"/>
      <c r="P74" s="126"/>
      <c r="Q74" s="126"/>
      <c r="R74" s="126"/>
      <c r="S74" s="115"/>
      <c r="T74" s="131"/>
      <c r="U74" s="131"/>
      <c r="V74" s="131"/>
      <c r="W74" s="115"/>
      <c r="X74" s="128"/>
      <c r="Y74" s="128"/>
      <c r="Z74" s="128"/>
      <c r="AA74" s="126"/>
      <c r="AB74" s="126"/>
      <c r="AC74" s="126"/>
      <c r="AD74" s="115"/>
    </row>
    <row r="75" spans="1:30" x14ac:dyDescent="0.25">
      <c r="A75" s="94">
        <v>2021</v>
      </c>
      <c r="B75" s="139">
        <f>Bxl_Inflow!B76-Bxl_Outflow!B76+B74</f>
        <v>533989.82199999993</v>
      </c>
      <c r="C75" s="139">
        <f>Bxl_Inflow!C76-Bxl_Outflow!C76+C74</f>
        <v>11330.57812</v>
      </c>
      <c r="D75" s="136">
        <f>Bxl_Inflow!D76-Bxl_Outflow!D76+D74</f>
        <v>762.69499999999994</v>
      </c>
      <c r="E75" s="136">
        <f>Bxl_Inflow!E76-Bxl_Outflow!E76+E74</f>
        <v>10567.883119999999</v>
      </c>
      <c r="F75" s="136">
        <f>Bxl_Inflow!F76-Bxl_Outflow!F76+F74</f>
        <v>727.37961666666661</v>
      </c>
      <c r="G75" s="136">
        <f>Bxl_Inflow!G76-Bxl_Outflow!G76+G74</f>
        <v>623.82179600000006</v>
      </c>
      <c r="H75" s="115"/>
      <c r="I75" s="131"/>
      <c r="J75" s="131"/>
      <c r="K75" s="131"/>
      <c r="L75" s="115"/>
      <c r="M75" s="128"/>
      <c r="N75" s="128"/>
      <c r="O75" s="128"/>
      <c r="P75" s="126"/>
      <c r="Q75" s="126"/>
      <c r="R75" s="126"/>
      <c r="S75" s="115"/>
      <c r="T75" s="131"/>
      <c r="U75" s="131"/>
      <c r="V75" s="131"/>
      <c r="W75" s="115"/>
      <c r="X75" s="128"/>
      <c r="Y75" s="128"/>
      <c r="Z75" s="128"/>
      <c r="AA75" s="126"/>
      <c r="AB75" s="126"/>
      <c r="AC75" s="126"/>
      <c r="AD75" s="115"/>
    </row>
    <row r="76" spans="1:30" x14ac:dyDescent="0.25">
      <c r="A76" s="94">
        <v>2022</v>
      </c>
      <c r="B76" s="139">
        <f>Bxl_Inflow!B77-Bxl_Outflow!B77+B75</f>
        <v>520707.32199999993</v>
      </c>
      <c r="C76" s="139">
        <f>Bxl_Inflow!C77-Bxl_Outflow!C77+C75</f>
        <v>11330.57812</v>
      </c>
      <c r="D76" s="136">
        <f>Bxl_Inflow!D77-Bxl_Outflow!D77+D75</f>
        <v>762.69499999999994</v>
      </c>
      <c r="E76" s="136">
        <f>Bxl_Inflow!E77-Bxl_Outflow!E77+E75</f>
        <v>10567.883119999999</v>
      </c>
      <c r="F76" s="136">
        <f>Bxl_Inflow!F77-Bxl_Outflow!F77+F75</f>
        <v>723.74601666666661</v>
      </c>
      <c r="G76" s="136">
        <f>Bxl_Inflow!G77-Bxl_Outflow!G77+G75</f>
        <v>620.18819600000006</v>
      </c>
      <c r="H76" s="115"/>
      <c r="I76" s="131"/>
      <c r="J76" s="131"/>
      <c r="K76" s="131"/>
      <c r="L76" s="115"/>
      <c r="M76" s="128"/>
      <c r="N76" s="128"/>
      <c r="O76" s="128"/>
      <c r="P76" s="126"/>
      <c r="Q76" s="126"/>
      <c r="R76" s="126"/>
      <c r="S76" s="115"/>
      <c r="T76" s="131"/>
      <c r="U76" s="131"/>
      <c r="V76" s="131"/>
      <c r="W76" s="115"/>
      <c r="X76" s="128"/>
      <c r="Y76" s="128"/>
      <c r="Z76" s="128"/>
      <c r="AA76" s="126"/>
      <c r="AB76" s="126"/>
      <c r="AC76" s="126"/>
      <c r="AD76" s="115"/>
    </row>
    <row r="77" spans="1:30" x14ac:dyDescent="0.25">
      <c r="A77" s="94">
        <v>2023</v>
      </c>
      <c r="B77" s="139">
        <f>Bxl_Inflow!B78-Bxl_Outflow!B78+B76</f>
        <v>575266.12199999997</v>
      </c>
      <c r="C77" s="139">
        <f>Bxl_Inflow!C78-Bxl_Outflow!C78+C76</f>
        <v>12570.57812</v>
      </c>
      <c r="D77" s="136">
        <f>Bxl_Inflow!D78-Bxl_Outflow!D78+D76</f>
        <v>1002.6949999999999</v>
      </c>
      <c r="E77" s="136">
        <f>Bxl_Inflow!E78-Bxl_Outflow!E78+E76</f>
        <v>11567.883119999999</v>
      </c>
      <c r="F77" s="136">
        <f>Bxl_Inflow!F78-Bxl_Outflow!F78+F76</f>
        <v>857.07934999999998</v>
      </c>
      <c r="G77" s="136">
        <f>Bxl_Inflow!G78-Bxl_Outflow!G78+G76</f>
        <v>686.85486266666669</v>
      </c>
      <c r="H77" s="115"/>
      <c r="I77" s="131"/>
      <c r="J77" s="131"/>
      <c r="K77" s="131"/>
      <c r="L77" s="115"/>
      <c r="M77" s="128"/>
      <c r="N77" s="128"/>
      <c r="O77" s="128"/>
      <c r="P77" s="126"/>
      <c r="Q77" s="126"/>
      <c r="R77" s="126"/>
      <c r="S77" s="115"/>
      <c r="T77" s="131"/>
      <c r="U77" s="131"/>
      <c r="V77" s="131"/>
      <c r="W77" s="115"/>
      <c r="X77" s="128"/>
      <c r="Y77" s="128"/>
      <c r="Z77" s="128"/>
      <c r="AA77" s="126"/>
      <c r="AB77" s="126"/>
      <c r="AC77" s="126"/>
      <c r="AD77" s="115"/>
    </row>
    <row r="78" spans="1:30" x14ac:dyDescent="0.25">
      <c r="A78" s="94">
        <v>2024</v>
      </c>
      <c r="B78" s="139">
        <f>Bxl_Inflow!B79-Bxl_Outflow!B79+B77</f>
        <v>575266.12199999997</v>
      </c>
      <c r="C78" s="139">
        <f>Bxl_Inflow!C79-Bxl_Outflow!C79+C77</f>
        <v>12570.57812</v>
      </c>
      <c r="D78" s="136">
        <f>Bxl_Inflow!D79-Bxl_Outflow!D79+D77</f>
        <v>1002.6949999999999</v>
      </c>
      <c r="E78" s="136">
        <f>Bxl_Inflow!E79-Bxl_Outflow!E79+E77</f>
        <v>11567.883119999999</v>
      </c>
      <c r="F78" s="136">
        <f>Bxl_Inflow!F79-Bxl_Outflow!F79+F77</f>
        <v>857.07934999999998</v>
      </c>
      <c r="G78" s="136">
        <f>Bxl_Inflow!G79-Bxl_Outflow!G79+G77</f>
        <v>686.85486266666669</v>
      </c>
      <c r="H78" s="115"/>
      <c r="I78" s="131"/>
      <c r="J78" s="131"/>
      <c r="K78" s="131"/>
      <c r="L78" s="115"/>
      <c r="M78" s="128"/>
      <c r="N78" s="128"/>
      <c r="O78" s="128"/>
      <c r="P78" s="126"/>
      <c r="Q78" s="126"/>
      <c r="R78" s="126"/>
      <c r="S78" s="115"/>
      <c r="T78" s="131"/>
      <c r="U78" s="131"/>
      <c r="V78" s="131"/>
      <c r="W78" s="115"/>
      <c r="X78" s="128"/>
      <c r="Y78" s="128"/>
      <c r="Z78" s="128"/>
      <c r="AA78" s="126"/>
      <c r="AB78" s="126"/>
      <c r="AC78" s="126"/>
      <c r="AD78" s="115"/>
    </row>
    <row r="79" spans="1:30" x14ac:dyDescent="0.25">
      <c r="A79" s="94">
        <v>2025</v>
      </c>
      <c r="B79" s="139">
        <f>Bxl_Inflow!B80-Bxl_Outflow!B80+B78</f>
        <v>571440.43449999997</v>
      </c>
      <c r="C79" s="139">
        <f>Bxl_Inflow!C80-Bxl_Outflow!C80+C78</f>
        <v>12811.657182500001</v>
      </c>
      <c r="D79" s="136">
        <f>Bxl_Inflow!D80-Bxl_Outflow!D80+D78</f>
        <v>1002.6949999999999</v>
      </c>
      <c r="E79" s="136">
        <f>Bxl_Inflow!E80-Bxl_Outflow!E80+E78</f>
        <v>11808.962182499999</v>
      </c>
      <c r="F79" s="136">
        <f>Bxl_Inflow!F80-Bxl_Outflow!F80+F78</f>
        <v>869.48354999999992</v>
      </c>
      <c r="G79" s="136">
        <f>Bxl_Inflow!G80-Bxl_Outflow!G80+G78</f>
        <v>699.25906266666664</v>
      </c>
      <c r="H79" s="115"/>
      <c r="I79" s="131"/>
      <c r="J79" s="131"/>
      <c r="K79" s="131"/>
      <c r="L79" s="115"/>
      <c r="M79" s="128"/>
      <c r="N79" s="128"/>
      <c r="O79" s="128"/>
      <c r="P79" s="126"/>
      <c r="Q79" s="126"/>
      <c r="R79" s="126"/>
      <c r="S79" s="115"/>
      <c r="T79" s="131"/>
      <c r="U79" s="131"/>
      <c r="V79" s="131"/>
      <c r="W79" s="115"/>
      <c r="X79" s="128"/>
      <c r="Y79" s="128"/>
      <c r="Z79" s="128"/>
      <c r="AA79" s="126"/>
      <c r="AB79" s="126"/>
      <c r="AC79" s="126"/>
      <c r="AD79" s="115"/>
    </row>
    <row r="80" spans="1:30" x14ac:dyDescent="0.25">
      <c r="A80" s="94">
        <v>2026</v>
      </c>
      <c r="B80" s="139">
        <f>Bxl_Inflow!B81-Bxl_Outflow!B81+B79</f>
        <v>571440.43449999997</v>
      </c>
      <c r="C80" s="139">
        <f>Bxl_Inflow!C81-Bxl_Outflow!C81+C79</f>
        <v>12811.657182500001</v>
      </c>
      <c r="D80" s="136">
        <f>Bxl_Inflow!D81-Bxl_Outflow!D81+D79</f>
        <v>1002.6949999999999</v>
      </c>
      <c r="E80" s="136">
        <f>Bxl_Inflow!E81-Bxl_Outflow!E81+E79</f>
        <v>11808.962182499999</v>
      </c>
      <c r="F80" s="136">
        <f>Bxl_Inflow!F81-Bxl_Outflow!F81+F79</f>
        <v>869.48354999999992</v>
      </c>
      <c r="G80" s="136">
        <f>Bxl_Inflow!G81-Bxl_Outflow!G81+G79</f>
        <v>699.25906266666664</v>
      </c>
      <c r="H80" s="115"/>
      <c r="I80" s="131">
        <f>C80*Hypotheses!$D$19/1000</f>
        <v>7.6869943095000004E-2</v>
      </c>
      <c r="J80" s="131">
        <f>C80*Hypotheses!$D$20/1000</f>
        <v>0.15373988619000001</v>
      </c>
      <c r="K80" s="131">
        <f>C80*Hypotheses!$D$21/1000</f>
        <v>0.30747977238000002</v>
      </c>
      <c r="L80" s="115"/>
      <c r="M80" s="128">
        <f>C80*Hypotheses!$D$31*Hypotheses!H45</f>
        <v>768.69943095000008</v>
      </c>
      <c r="N80" s="128">
        <f>C80*Hypotheses!$D$31*Hypotheses!I45</f>
        <v>802.48205714206915</v>
      </c>
      <c r="O80" s="128">
        <f>C80*Hypotheses!$D$31*Hypotheses!J45</f>
        <v>844.71033988215549</v>
      </c>
      <c r="P80" s="126">
        <f>C80*Hypotheses!$D$30*Hypotheses!H45</f>
        <v>192.17485773750002</v>
      </c>
      <c r="Q80" s="126">
        <f>C80*Hypotheses!$D$30*Hypotheses!I45</f>
        <v>200.62051428551729</v>
      </c>
      <c r="R80" s="126">
        <f>C80*Hypotheses!$D$30*Hypotheses!J45</f>
        <v>211.17758497053887</v>
      </c>
      <c r="S80" s="115"/>
      <c r="T80" s="131">
        <f t="shared" ref="T80:V95" si="0">I80+T79</f>
        <v>7.6869943095000004E-2</v>
      </c>
      <c r="U80" s="131">
        <f t="shared" si="0"/>
        <v>0.15373988619000001</v>
      </c>
      <c r="V80" s="131">
        <f t="shared" si="0"/>
        <v>0.30747977238000002</v>
      </c>
      <c r="W80" s="115"/>
      <c r="X80" s="128">
        <f t="shared" ref="X80:AC95" si="1">M80+X79</f>
        <v>768.69943095000008</v>
      </c>
      <c r="Y80" s="128">
        <f t="shared" si="1"/>
        <v>802.48205714206915</v>
      </c>
      <c r="Z80" s="128">
        <f t="shared" si="1"/>
        <v>844.71033988215549</v>
      </c>
      <c r="AA80" s="126">
        <f t="shared" si="1"/>
        <v>192.17485773750002</v>
      </c>
      <c r="AB80" s="126">
        <f t="shared" si="1"/>
        <v>200.62051428551729</v>
      </c>
      <c r="AC80" s="126">
        <f t="shared" si="1"/>
        <v>211.17758497053887</v>
      </c>
      <c r="AD80" s="115"/>
    </row>
    <row r="81" spans="1:30" x14ac:dyDescent="0.25">
      <c r="A81" s="94">
        <v>2027</v>
      </c>
      <c r="B81" s="139">
        <f>Bxl_Inflow!B82-Bxl_Outflow!B82+B80</f>
        <v>571440.43449999997</v>
      </c>
      <c r="C81" s="139">
        <f>Bxl_Inflow!C82-Bxl_Outflow!C82+C80</f>
        <v>12811.657182500001</v>
      </c>
      <c r="D81" s="136">
        <f>Bxl_Inflow!D82-Bxl_Outflow!D82+D80</f>
        <v>1002.6949999999999</v>
      </c>
      <c r="E81" s="136">
        <f>Bxl_Inflow!E82-Bxl_Outflow!E82+E80</f>
        <v>11808.962182499999</v>
      </c>
      <c r="F81" s="136">
        <f>Bxl_Inflow!F82-Bxl_Outflow!F82+F80</f>
        <v>869.48354999999992</v>
      </c>
      <c r="G81" s="136">
        <f>Bxl_Inflow!G82-Bxl_Outflow!G82+G80</f>
        <v>699.25906266666664</v>
      </c>
      <c r="H81" s="115"/>
      <c r="I81" s="131">
        <f>C81*Hypotheses!$D$19/1000</f>
        <v>7.6869943095000004E-2</v>
      </c>
      <c r="J81" s="131">
        <f>C81*Hypotheses!$D$20/1000</f>
        <v>0.15373988619000001</v>
      </c>
      <c r="K81" s="131">
        <f>C81*Hypotheses!$D$21/1000</f>
        <v>0.30747977238000002</v>
      </c>
      <c r="L81" s="115"/>
      <c r="M81" s="128">
        <f>C81*Hypotheses!$D$31*Hypotheses!H46</f>
        <v>768.69943095000008</v>
      </c>
      <c r="N81" s="128">
        <f>C81*Hypotheses!$D$31*Hypotheses!I46</f>
        <v>824.00338840122811</v>
      </c>
      <c r="O81" s="128">
        <f>C81*Hypotheses!$D$31*Hypotheses!J46</f>
        <v>893.13333521526306</v>
      </c>
      <c r="P81" s="126">
        <f>C81*Hypotheses!$D$30*Hypotheses!H46</f>
        <v>192.17485773750002</v>
      </c>
      <c r="Q81" s="126">
        <f>C81*Hypotheses!$D$30*Hypotheses!I46</f>
        <v>206.00084710030703</v>
      </c>
      <c r="R81" s="126">
        <f>C81*Hypotheses!$D$30*Hypotheses!J46</f>
        <v>223.28333380381576</v>
      </c>
      <c r="S81" s="115"/>
      <c r="T81" s="131">
        <f t="shared" si="0"/>
        <v>0.15373988619000001</v>
      </c>
      <c r="U81" s="131">
        <f t="shared" si="0"/>
        <v>0.30747977238000002</v>
      </c>
      <c r="V81" s="131">
        <f t="shared" si="0"/>
        <v>0.61495954476000003</v>
      </c>
      <c r="W81" s="115"/>
      <c r="X81" s="128">
        <f t="shared" si="1"/>
        <v>1537.3988619000002</v>
      </c>
      <c r="Y81" s="128">
        <f t="shared" si="1"/>
        <v>1626.4854455432974</v>
      </c>
      <c r="Z81" s="128">
        <f t="shared" si="1"/>
        <v>1737.8436750974186</v>
      </c>
      <c r="AA81" s="126">
        <f t="shared" si="1"/>
        <v>384.34971547500004</v>
      </c>
      <c r="AB81" s="126">
        <f t="shared" si="1"/>
        <v>406.62136138582434</v>
      </c>
      <c r="AC81" s="126">
        <f t="shared" si="1"/>
        <v>434.46091877435464</v>
      </c>
      <c r="AD81" s="115"/>
    </row>
    <row r="82" spans="1:30" x14ac:dyDescent="0.25">
      <c r="A82" s="94">
        <v>2028</v>
      </c>
      <c r="B82" s="139">
        <f>Bxl_Inflow!B83-Bxl_Outflow!B83+B81</f>
        <v>571440.43449999997</v>
      </c>
      <c r="C82" s="139">
        <f>Bxl_Inflow!C83-Bxl_Outflow!C83+C81</f>
        <v>12811.657182500001</v>
      </c>
      <c r="D82" s="136">
        <f>Bxl_Inflow!D83-Bxl_Outflow!D83+D81</f>
        <v>1002.6949999999999</v>
      </c>
      <c r="E82" s="136">
        <f>Bxl_Inflow!E83-Bxl_Outflow!E83+E81</f>
        <v>11808.962182499999</v>
      </c>
      <c r="F82" s="136">
        <f>Bxl_Inflow!F83-Bxl_Outflow!F83+F81</f>
        <v>869.48354999999992</v>
      </c>
      <c r="G82" s="136">
        <f>Bxl_Inflow!G83-Bxl_Outflow!G83+G81</f>
        <v>699.25906266666664</v>
      </c>
      <c r="H82" s="115"/>
      <c r="I82" s="131">
        <f>C82*Hypotheses!$D$19/1000</f>
        <v>7.6869943095000004E-2</v>
      </c>
      <c r="J82" s="131">
        <f>C82*Hypotheses!$D$20/1000</f>
        <v>0.15373988619000001</v>
      </c>
      <c r="K82" s="131">
        <f>C82*Hypotheses!$D$21/1000</f>
        <v>0.30747977238000002</v>
      </c>
      <c r="L82" s="115"/>
      <c r="M82" s="128">
        <f>C82*Hypotheses!$D$31*Hypotheses!H47</f>
        <v>768.69943095000008</v>
      </c>
      <c r="N82" s="128">
        <f>C82*Hypotheses!$D$31*Hypotheses!I47</f>
        <v>858.82861134377072</v>
      </c>
      <c r="O82" s="128">
        <f>C82*Hypotheses!$D$31*Hypotheses!J47</f>
        <v>971.49008683598413</v>
      </c>
      <c r="P82" s="126">
        <f>C82*Hypotheses!$D$30*Hypotheses!H47</f>
        <v>192.17485773750002</v>
      </c>
      <c r="Q82" s="126">
        <f>C82*Hypotheses!$D$30*Hypotheses!I47</f>
        <v>214.70715283594268</v>
      </c>
      <c r="R82" s="126">
        <f>C82*Hypotheses!$D$30*Hypotheses!J47</f>
        <v>242.87252170899603</v>
      </c>
      <c r="S82" s="115"/>
      <c r="T82" s="131">
        <f t="shared" si="0"/>
        <v>0.23060982928500001</v>
      </c>
      <c r="U82" s="131">
        <f t="shared" si="0"/>
        <v>0.46121965857000002</v>
      </c>
      <c r="V82" s="131">
        <f t="shared" si="0"/>
        <v>0.92243931714000005</v>
      </c>
      <c r="W82" s="115"/>
      <c r="X82" s="128">
        <f t="shared" si="1"/>
        <v>2306.0982928500002</v>
      </c>
      <c r="Y82" s="128">
        <f t="shared" si="1"/>
        <v>2485.3140568870681</v>
      </c>
      <c r="Z82" s="128">
        <f t="shared" si="1"/>
        <v>2709.3337619334025</v>
      </c>
      <c r="AA82" s="126">
        <f t="shared" si="1"/>
        <v>576.52457321250006</v>
      </c>
      <c r="AB82" s="126">
        <f t="shared" si="1"/>
        <v>621.32851422176702</v>
      </c>
      <c r="AC82" s="126">
        <f t="shared" si="1"/>
        <v>677.33344048335061</v>
      </c>
      <c r="AD82" s="115"/>
    </row>
    <row r="83" spans="1:30" x14ac:dyDescent="0.25">
      <c r="A83" s="94">
        <v>2029</v>
      </c>
      <c r="B83" s="139">
        <f>Bxl_Inflow!B84-Bxl_Outflow!B84+B82</f>
        <v>571440.43449999997</v>
      </c>
      <c r="C83" s="139">
        <f>Bxl_Inflow!C84-Bxl_Outflow!C84+C82</f>
        <v>12811.657182500001</v>
      </c>
      <c r="D83" s="136">
        <f>Bxl_Inflow!D84-Bxl_Outflow!D84+D82</f>
        <v>1002.6949999999999</v>
      </c>
      <c r="E83" s="136">
        <f>Bxl_Inflow!E84-Bxl_Outflow!E84+E82</f>
        <v>11808.962182499999</v>
      </c>
      <c r="F83" s="136">
        <f>Bxl_Inflow!F84-Bxl_Outflow!F84+F82</f>
        <v>869.48354999999992</v>
      </c>
      <c r="G83" s="136">
        <f>Bxl_Inflow!G84-Bxl_Outflow!G84+G82</f>
        <v>699.25906266666664</v>
      </c>
      <c r="H83" s="115"/>
      <c r="I83" s="131">
        <f>C83*Hypotheses!$D$19/1000</f>
        <v>7.6869943095000004E-2</v>
      </c>
      <c r="J83" s="131">
        <f>C83*Hypotheses!$D$20/1000</f>
        <v>0.15373988619000001</v>
      </c>
      <c r="K83" s="131">
        <f>C83*Hypotheses!$D$21/1000</f>
        <v>0.30747977238000002</v>
      </c>
      <c r="L83" s="115"/>
      <c r="M83" s="128">
        <f>C83*Hypotheses!$D$31*Hypotheses!H48</f>
        <v>768.69943095000008</v>
      </c>
      <c r="N83" s="128">
        <f>C83*Hypotheses!$D$31*Hypotheses!I48</f>
        <v>914.52439784560988</v>
      </c>
      <c r="O83" s="128">
        <f>C83*Hypotheses!$D$31*Hypotheses!J48</f>
        <v>1096.8056064651221</v>
      </c>
      <c r="P83" s="126">
        <f>C83*Hypotheses!$D$30*Hypotheses!H48</f>
        <v>192.17485773750002</v>
      </c>
      <c r="Q83" s="126">
        <f>C83*Hypotheses!$D$30*Hypotheses!I48</f>
        <v>228.63109946140247</v>
      </c>
      <c r="R83" s="126">
        <f>C83*Hypotheses!$D$30*Hypotheses!J48</f>
        <v>274.20140161628052</v>
      </c>
      <c r="S83" s="115"/>
      <c r="T83" s="131">
        <f t="shared" si="0"/>
        <v>0.30747977238000002</v>
      </c>
      <c r="U83" s="131">
        <f t="shared" si="0"/>
        <v>0.61495954476000003</v>
      </c>
      <c r="V83" s="131">
        <f t="shared" si="0"/>
        <v>1.2299190895200001</v>
      </c>
      <c r="W83" s="115"/>
      <c r="X83" s="128">
        <f t="shared" si="1"/>
        <v>3074.7977238000003</v>
      </c>
      <c r="Y83" s="128">
        <f t="shared" si="1"/>
        <v>3399.8384547326777</v>
      </c>
      <c r="Z83" s="128">
        <f t="shared" si="1"/>
        <v>3806.1393683985243</v>
      </c>
      <c r="AA83" s="126">
        <f t="shared" si="1"/>
        <v>768.69943095000008</v>
      </c>
      <c r="AB83" s="126">
        <f t="shared" si="1"/>
        <v>849.95961368316944</v>
      </c>
      <c r="AC83" s="126">
        <f t="shared" si="1"/>
        <v>951.53484209963108</v>
      </c>
      <c r="AD83" s="115"/>
    </row>
    <row r="84" spans="1:30" x14ac:dyDescent="0.25">
      <c r="A84" s="94">
        <v>2030</v>
      </c>
      <c r="B84" s="139">
        <f>Bxl_Inflow!B85-Bxl_Outflow!B85+B83</f>
        <v>571440.43449999997</v>
      </c>
      <c r="C84" s="139">
        <f>Bxl_Inflow!C85-Bxl_Outflow!C85+C83</f>
        <v>12811.657182500001</v>
      </c>
      <c r="D84" s="136">
        <f>Bxl_Inflow!D85-Bxl_Outflow!D85+D83</f>
        <v>1002.6949999999999</v>
      </c>
      <c r="E84" s="136">
        <f>Bxl_Inflow!E85-Bxl_Outflow!E85+E83</f>
        <v>11808.962182499999</v>
      </c>
      <c r="F84" s="136">
        <f>Bxl_Inflow!F85-Bxl_Outflow!F85+F83</f>
        <v>869.48354999999992</v>
      </c>
      <c r="G84" s="136">
        <f>Bxl_Inflow!G85-Bxl_Outflow!G85+G83</f>
        <v>699.25906266666664</v>
      </c>
      <c r="H84" s="115"/>
      <c r="I84" s="131">
        <f>C84*Hypotheses!$D$19/1000</f>
        <v>7.6869943095000004E-2</v>
      </c>
      <c r="J84" s="131">
        <f>C84*Hypotheses!$D$20/1000</f>
        <v>0.15373988619000001</v>
      </c>
      <c r="K84" s="131">
        <f>C84*Hypotheses!$D$21/1000</f>
        <v>0.30747977238000002</v>
      </c>
      <c r="L84" s="115"/>
      <c r="M84" s="128">
        <f>C84*Hypotheses!$D$31*Hypotheses!H49</f>
        <v>768.69943095000008</v>
      </c>
      <c r="N84" s="128">
        <f>C84*Hypotheses!$D$31*Hypotheses!I49</f>
        <v>1001.9479902109304</v>
      </c>
      <c r="O84" s="128">
        <f>C84*Hypotheses!$D$31*Hypotheses!J49</f>
        <v>1293.5086892870934</v>
      </c>
      <c r="P84" s="126">
        <f>C84*Hypotheses!$D$30*Hypotheses!H49</f>
        <v>192.17485773750002</v>
      </c>
      <c r="Q84" s="126">
        <f>C84*Hypotheses!$D$30*Hypotheses!I49</f>
        <v>250.48699755273259</v>
      </c>
      <c r="R84" s="126">
        <f>C84*Hypotheses!$D$30*Hypotheses!J49</f>
        <v>323.37717232177334</v>
      </c>
      <c r="S84" s="115"/>
      <c r="T84" s="131">
        <f t="shared" si="0"/>
        <v>0.38434971547500002</v>
      </c>
      <c r="U84" s="131">
        <f t="shared" si="0"/>
        <v>0.76869943095000004</v>
      </c>
      <c r="V84" s="131">
        <f t="shared" si="0"/>
        <v>1.5373988619000001</v>
      </c>
      <c r="W84" s="115"/>
      <c r="X84" s="128">
        <f t="shared" si="1"/>
        <v>3843.4971547500004</v>
      </c>
      <c r="Y84" s="128">
        <f t="shared" si="1"/>
        <v>4401.7864449436083</v>
      </c>
      <c r="Z84" s="128">
        <f t="shared" si="1"/>
        <v>5099.6480576856175</v>
      </c>
      <c r="AA84" s="126">
        <f t="shared" si="1"/>
        <v>960.8742886875001</v>
      </c>
      <c r="AB84" s="126">
        <f t="shared" si="1"/>
        <v>1100.4466112359021</v>
      </c>
      <c r="AC84" s="126">
        <f t="shared" si="1"/>
        <v>1274.9120144214044</v>
      </c>
      <c r="AD84" s="115"/>
    </row>
    <row r="85" spans="1:30" x14ac:dyDescent="0.25">
      <c r="A85" s="94">
        <v>2031</v>
      </c>
      <c r="B85" s="139">
        <f>Bxl_Inflow!B86-Bxl_Outflow!B86+B84</f>
        <v>571440.43449999997</v>
      </c>
      <c r="C85" s="139">
        <f>Bxl_Inflow!C86-Bxl_Outflow!C86+C84</f>
        <v>12811.657182500001</v>
      </c>
      <c r="D85" s="136">
        <f>Bxl_Inflow!D86-Bxl_Outflow!D86+D84</f>
        <v>1002.6949999999999</v>
      </c>
      <c r="E85" s="136">
        <f>Bxl_Inflow!E86-Bxl_Outflow!E86+E84</f>
        <v>11808.962182499999</v>
      </c>
      <c r="F85" s="136">
        <f>Bxl_Inflow!F86-Bxl_Outflow!F86+F84</f>
        <v>869.48354999999992</v>
      </c>
      <c r="G85" s="136">
        <f>Bxl_Inflow!G86-Bxl_Outflow!G86+G84</f>
        <v>699.25906266666664</v>
      </c>
      <c r="H85" s="115"/>
      <c r="I85" s="131">
        <f>C85*Hypotheses!$D$19/1000</f>
        <v>7.6869943095000004E-2</v>
      </c>
      <c r="J85" s="131">
        <f>C85*Hypotheses!$D$20/1000</f>
        <v>0.15373988619000001</v>
      </c>
      <c r="K85" s="131">
        <f>C85*Hypotheses!$D$21/1000</f>
        <v>0.30747977238000002</v>
      </c>
      <c r="L85" s="115"/>
      <c r="M85" s="128">
        <f>C85*Hypotheses!$D$31*Hypotheses!H50</f>
        <v>768.69943095000008</v>
      </c>
      <c r="N85" s="128">
        <f>C85*Hypotheses!$D$31*Hypotheses!I50</f>
        <v>1135.224304253916</v>
      </c>
      <c r="O85" s="128">
        <f>C85*Hypotheses!$D$31*Hypotheses!J50</f>
        <v>1593.3803958838109</v>
      </c>
      <c r="P85" s="126">
        <f>C85*Hypotheses!$D$30*Hypotheses!H50</f>
        <v>192.17485773750002</v>
      </c>
      <c r="Q85" s="126">
        <f>C85*Hypotheses!$D$30*Hypotheses!I50</f>
        <v>283.806076063479</v>
      </c>
      <c r="R85" s="126">
        <f>C85*Hypotheses!$D$30*Hypotheses!J50</f>
        <v>398.34509897095273</v>
      </c>
      <c r="S85" s="115"/>
      <c r="T85" s="131">
        <f t="shared" si="0"/>
        <v>0.46121965857000002</v>
      </c>
      <c r="U85" s="131">
        <f t="shared" si="0"/>
        <v>0.92243931714000005</v>
      </c>
      <c r="V85" s="131">
        <f t="shared" si="0"/>
        <v>1.8448786342800001</v>
      </c>
      <c r="W85" s="115"/>
      <c r="X85" s="128">
        <f t="shared" si="1"/>
        <v>4612.1965857000005</v>
      </c>
      <c r="Y85" s="128">
        <f t="shared" si="1"/>
        <v>5537.0107491975241</v>
      </c>
      <c r="Z85" s="128">
        <f t="shared" si="1"/>
        <v>6693.0284535694282</v>
      </c>
      <c r="AA85" s="126">
        <f t="shared" si="1"/>
        <v>1153.0491464250001</v>
      </c>
      <c r="AB85" s="126">
        <f t="shared" si="1"/>
        <v>1384.252687299381</v>
      </c>
      <c r="AC85" s="126">
        <f t="shared" si="1"/>
        <v>1673.257113392357</v>
      </c>
      <c r="AD85" s="115"/>
    </row>
    <row r="86" spans="1:30" x14ac:dyDescent="0.25">
      <c r="A86" s="94">
        <v>2032</v>
      </c>
      <c r="B86" s="139">
        <f>Bxl_Inflow!B87-Bxl_Outflow!B87+B85</f>
        <v>571440.43449999997</v>
      </c>
      <c r="C86" s="139">
        <f>Bxl_Inflow!C87-Bxl_Outflow!C87+C85</f>
        <v>12811.657182500001</v>
      </c>
      <c r="D86" s="136">
        <f>Bxl_Inflow!D87-Bxl_Outflow!D87+D85</f>
        <v>1002.6949999999999</v>
      </c>
      <c r="E86" s="136">
        <f>Bxl_Inflow!E87-Bxl_Outflow!E87+E85</f>
        <v>11808.962182499999</v>
      </c>
      <c r="F86" s="136">
        <f>Bxl_Inflow!F87-Bxl_Outflow!F87+F85</f>
        <v>869.48354999999992</v>
      </c>
      <c r="G86" s="136">
        <f>Bxl_Inflow!G87-Bxl_Outflow!G87+G85</f>
        <v>699.25906266666664</v>
      </c>
      <c r="H86" s="115"/>
      <c r="I86" s="131">
        <f>C86*Hypotheses!$D$19/1000</f>
        <v>7.6869943095000004E-2</v>
      </c>
      <c r="J86" s="131">
        <f>C86*Hypotheses!$D$20/1000</f>
        <v>0.15373988619000001</v>
      </c>
      <c r="K86" s="131">
        <f>C86*Hypotheses!$D$21/1000</f>
        <v>0.30747977238000002</v>
      </c>
      <c r="L86" s="115"/>
      <c r="M86" s="128">
        <f>C86*Hypotheses!$D$31*Hypotheses!H51</f>
        <v>768.69943095000008</v>
      </c>
      <c r="N86" s="128">
        <f>C86*Hypotheses!$D$31*Hypotheses!I51</f>
        <v>1329.6210163128073</v>
      </c>
      <c r="O86" s="128">
        <f>C86*Hypotheses!$D$31*Hypotheses!J51</f>
        <v>2030.7729980163163</v>
      </c>
      <c r="P86" s="126">
        <f>C86*Hypotheses!$D$30*Hypotheses!H51</f>
        <v>192.17485773750002</v>
      </c>
      <c r="Q86" s="126">
        <f>C86*Hypotheses!$D$30*Hypotheses!I51</f>
        <v>332.40525407820184</v>
      </c>
      <c r="R86" s="126">
        <f>C86*Hypotheses!$D$30*Hypotheses!J51</f>
        <v>507.69324950407906</v>
      </c>
      <c r="S86" s="115"/>
      <c r="T86" s="131">
        <f t="shared" si="0"/>
        <v>0.53808960166500008</v>
      </c>
      <c r="U86" s="131">
        <f t="shared" si="0"/>
        <v>1.0761792033300002</v>
      </c>
      <c r="V86" s="131">
        <f t="shared" si="0"/>
        <v>2.1523584066600003</v>
      </c>
      <c r="W86" s="115"/>
      <c r="X86" s="128">
        <f t="shared" si="1"/>
        <v>5380.8960166500001</v>
      </c>
      <c r="Y86" s="128">
        <f t="shared" si="1"/>
        <v>6866.6317655103312</v>
      </c>
      <c r="Z86" s="128">
        <f t="shared" si="1"/>
        <v>8723.8014515857449</v>
      </c>
      <c r="AA86" s="126">
        <f t="shared" si="1"/>
        <v>1345.2240041625</v>
      </c>
      <c r="AB86" s="126">
        <f t="shared" si="1"/>
        <v>1716.6579413775828</v>
      </c>
      <c r="AC86" s="126">
        <f t="shared" si="1"/>
        <v>2180.9503628964362</v>
      </c>
      <c r="AD86" s="115"/>
    </row>
    <row r="87" spans="1:30" x14ac:dyDescent="0.25">
      <c r="A87" s="94">
        <v>2033</v>
      </c>
      <c r="B87" s="139">
        <f>Bxl_Inflow!B88-Bxl_Outflow!B88+B86</f>
        <v>571440.43449999997</v>
      </c>
      <c r="C87" s="139">
        <f>Bxl_Inflow!C88-Bxl_Outflow!C88+C86</f>
        <v>12811.657182500001</v>
      </c>
      <c r="D87" s="136">
        <f>Bxl_Inflow!D88-Bxl_Outflow!D88+D86</f>
        <v>1002.6949999999999</v>
      </c>
      <c r="E87" s="136">
        <f>Bxl_Inflow!E88-Bxl_Outflow!E88+E86</f>
        <v>11808.962182499999</v>
      </c>
      <c r="F87" s="136">
        <f>Bxl_Inflow!F88-Bxl_Outflow!F88+F86</f>
        <v>869.48354999999992</v>
      </c>
      <c r="G87" s="136">
        <f>Bxl_Inflow!G88-Bxl_Outflow!G88+G86</f>
        <v>699.25906266666664</v>
      </c>
      <c r="H87" s="115"/>
      <c r="I87" s="131">
        <f>C87*Hypotheses!$D$19/1000</f>
        <v>7.6869943095000004E-2</v>
      </c>
      <c r="J87" s="131">
        <f>C87*Hypotheses!$D$20/1000</f>
        <v>0.15373988619000001</v>
      </c>
      <c r="K87" s="131">
        <f>C87*Hypotheses!$D$21/1000</f>
        <v>0.30747977238000002</v>
      </c>
      <c r="L87" s="115"/>
      <c r="M87" s="128">
        <f>C87*Hypotheses!$D$31*Hypotheses!H52</f>
        <v>768.69943095000008</v>
      </c>
      <c r="N87" s="128">
        <f>C87*Hypotheses!$D$31*Hypotheses!I52</f>
        <v>1595.6399012139977</v>
      </c>
      <c r="O87" s="128">
        <f>C87*Hypotheses!$D$31*Hypotheses!J52</f>
        <v>2629.3154890439946</v>
      </c>
      <c r="P87" s="126">
        <f>C87*Hypotheses!$D$30*Hypotheses!H52</f>
        <v>192.17485773750002</v>
      </c>
      <c r="Q87" s="126">
        <f>C87*Hypotheses!$D$30*Hypotheses!I52</f>
        <v>398.90997530349944</v>
      </c>
      <c r="R87" s="126">
        <f>C87*Hypotheses!$D$30*Hypotheses!J52</f>
        <v>657.32887226099865</v>
      </c>
      <c r="S87" s="115"/>
      <c r="T87" s="131">
        <f t="shared" si="0"/>
        <v>0.61495954476000003</v>
      </c>
      <c r="U87" s="131">
        <f t="shared" si="0"/>
        <v>1.2299190895200001</v>
      </c>
      <c r="V87" s="131">
        <f t="shared" si="0"/>
        <v>2.4598381790400001</v>
      </c>
      <c r="W87" s="115"/>
      <c r="X87" s="128">
        <f t="shared" si="1"/>
        <v>6149.5954476000006</v>
      </c>
      <c r="Y87" s="128">
        <f t="shared" si="1"/>
        <v>8462.2716667243294</v>
      </c>
      <c r="Z87" s="128">
        <f t="shared" si="1"/>
        <v>11353.116940629739</v>
      </c>
      <c r="AA87" s="126">
        <f t="shared" si="1"/>
        <v>1537.3988619000002</v>
      </c>
      <c r="AB87" s="126">
        <f t="shared" si="1"/>
        <v>2115.5679166810824</v>
      </c>
      <c r="AC87" s="126">
        <f t="shared" si="1"/>
        <v>2838.2792351574349</v>
      </c>
      <c r="AD87" s="115"/>
    </row>
    <row r="88" spans="1:30" x14ac:dyDescent="0.25">
      <c r="A88" s="94">
        <v>2034</v>
      </c>
      <c r="B88" s="139">
        <f>Bxl_Inflow!B89-Bxl_Outflow!B89+B87</f>
        <v>560158.03449999995</v>
      </c>
      <c r="C88" s="139">
        <f>Bxl_Inflow!C89-Bxl_Outflow!C89+C87</f>
        <v>12811.657182500001</v>
      </c>
      <c r="D88" s="136">
        <f>Bxl_Inflow!D89-Bxl_Outflow!D89+D87</f>
        <v>1002.6949999999999</v>
      </c>
      <c r="E88" s="136">
        <f>Bxl_Inflow!E89-Bxl_Outflow!E89+E87</f>
        <v>11808.962182499999</v>
      </c>
      <c r="F88" s="136">
        <f>Bxl_Inflow!F89-Bxl_Outflow!F89+F87</f>
        <v>869.48354999999992</v>
      </c>
      <c r="G88" s="136">
        <f>Bxl_Inflow!G89-Bxl_Outflow!G89+G87</f>
        <v>699.25906266666664</v>
      </c>
      <c r="H88" s="115"/>
      <c r="I88" s="131">
        <f>C88*Hypotheses!$D$19/1000</f>
        <v>7.6869943095000004E-2</v>
      </c>
      <c r="J88" s="131">
        <f>C88*Hypotheses!$D$20/1000</f>
        <v>0.15373988619000001</v>
      </c>
      <c r="K88" s="131">
        <f>C88*Hypotheses!$D$21/1000</f>
        <v>0.30747977238000002</v>
      </c>
      <c r="L88" s="115"/>
      <c r="M88" s="128">
        <f>C88*Hypotheses!$D$31*Hypotheses!H53</f>
        <v>768.69943095000008</v>
      </c>
      <c r="N88" s="128">
        <f>C88*Hypotheses!$D$31*Hypotheses!I53</f>
        <v>1929.5606200124676</v>
      </c>
      <c r="O88" s="128">
        <f>C88*Hypotheses!$D$31*Hypotheses!J53</f>
        <v>3380.6371063405509</v>
      </c>
      <c r="P88" s="126">
        <f>C88*Hypotheses!$D$30*Hypotheses!H53</f>
        <v>192.17485773750002</v>
      </c>
      <c r="Q88" s="126">
        <f>C88*Hypotheses!$D$30*Hypotheses!I53</f>
        <v>482.39015500311689</v>
      </c>
      <c r="R88" s="126">
        <f>C88*Hypotheses!$D$30*Hypotheses!J53</f>
        <v>845.15927658513772</v>
      </c>
      <c r="S88" s="115"/>
      <c r="T88" s="131">
        <f t="shared" si="0"/>
        <v>0.69182948785499998</v>
      </c>
      <c r="U88" s="131">
        <f t="shared" si="0"/>
        <v>1.38365897571</v>
      </c>
      <c r="V88" s="131">
        <f t="shared" si="0"/>
        <v>2.7673179514199999</v>
      </c>
      <c r="W88" s="115"/>
      <c r="X88" s="128">
        <f t="shared" si="1"/>
        <v>6918.2948785500012</v>
      </c>
      <c r="Y88" s="128">
        <f t="shared" si="1"/>
        <v>10391.832286736797</v>
      </c>
      <c r="Z88" s="128">
        <f t="shared" si="1"/>
        <v>14733.754046970291</v>
      </c>
      <c r="AA88" s="126">
        <f t="shared" si="1"/>
        <v>1729.5737196375003</v>
      </c>
      <c r="AB88" s="126">
        <f t="shared" si="1"/>
        <v>2597.9580716841992</v>
      </c>
      <c r="AC88" s="126">
        <f t="shared" si="1"/>
        <v>3683.4385117425727</v>
      </c>
      <c r="AD88" s="115"/>
    </row>
    <row r="89" spans="1:30" x14ac:dyDescent="0.25">
      <c r="A89" s="94">
        <v>2035</v>
      </c>
      <c r="B89" s="139">
        <f>Bxl_Inflow!B90-Bxl_Outflow!B90+B88</f>
        <v>560158.03449999995</v>
      </c>
      <c r="C89" s="139">
        <f>Bxl_Inflow!C90-Bxl_Outflow!C90+C88</f>
        <v>12811.657182500001</v>
      </c>
      <c r="D89" s="136">
        <f>Bxl_Inflow!D90-Bxl_Outflow!D90+D88</f>
        <v>1002.6949999999999</v>
      </c>
      <c r="E89" s="136">
        <f>Bxl_Inflow!E90-Bxl_Outflow!E90+E88</f>
        <v>11808.962182499999</v>
      </c>
      <c r="F89" s="136">
        <f>Bxl_Inflow!F90-Bxl_Outflow!F90+F88</f>
        <v>869.48354999999992</v>
      </c>
      <c r="G89" s="136">
        <f>Bxl_Inflow!G90-Bxl_Outflow!G90+G88</f>
        <v>699.25906266666664</v>
      </c>
      <c r="H89" s="115"/>
      <c r="I89" s="131">
        <f>C89*Hypotheses!$D$19/1000</f>
        <v>7.6869943095000004E-2</v>
      </c>
      <c r="J89" s="131">
        <f>C89*Hypotheses!$D$20/1000</f>
        <v>0.15373988619000001</v>
      </c>
      <c r="K89" s="131">
        <f>C89*Hypotheses!$D$21/1000</f>
        <v>0.30747977238000002</v>
      </c>
      <c r="L89" s="115"/>
      <c r="M89" s="128">
        <f>C89*Hypotheses!$D$31*Hypotheses!H54</f>
        <v>768.69943095000008</v>
      </c>
      <c r="N89" s="128">
        <f>C89*Hypotheses!$D$31*Hypotheses!I54</f>
        <v>2306.0982928500002</v>
      </c>
      <c r="O89" s="128">
        <f>C89*Hypotheses!$D$31*Hypotheses!J54</f>
        <v>4227.8468702250002</v>
      </c>
      <c r="P89" s="126">
        <f>C89*Hypotheses!$D$30*Hypotheses!H54</f>
        <v>192.17485773750002</v>
      </c>
      <c r="Q89" s="126">
        <f>C89*Hypotheses!$D$30*Hypotheses!I54</f>
        <v>576.52457321250006</v>
      </c>
      <c r="R89" s="126">
        <f>C89*Hypotheses!$D$30*Hypotheses!J54</f>
        <v>1056.9617175562501</v>
      </c>
      <c r="S89" s="115"/>
      <c r="T89" s="131">
        <f t="shared" si="0"/>
        <v>0.76869943094999993</v>
      </c>
      <c r="U89" s="131">
        <f t="shared" si="0"/>
        <v>1.5373988618999999</v>
      </c>
      <c r="V89" s="131">
        <f t="shared" si="0"/>
        <v>3.0747977237999997</v>
      </c>
      <c r="W89" s="115"/>
      <c r="X89" s="128">
        <f t="shared" si="1"/>
        <v>7686.9943095000017</v>
      </c>
      <c r="Y89" s="128">
        <f t="shared" si="1"/>
        <v>12697.930579586797</v>
      </c>
      <c r="Z89" s="128">
        <f t="shared" si="1"/>
        <v>18961.60091719529</v>
      </c>
      <c r="AA89" s="126">
        <f t="shared" si="1"/>
        <v>1921.7485773750004</v>
      </c>
      <c r="AB89" s="126">
        <f t="shared" si="1"/>
        <v>3174.4826448966992</v>
      </c>
      <c r="AC89" s="126">
        <f t="shared" si="1"/>
        <v>4740.4002292988225</v>
      </c>
      <c r="AD89" s="115"/>
    </row>
    <row r="90" spans="1:30" x14ac:dyDescent="0.25">
      <c r="A90" s="94">
        <v>2036</v>
      </c>
      <c r="B90" s="139">
        <f>Bxl_Inflow!B91-Bxl_Outflow!B91+B89</f>
        <v>520090.89849999995</v>
      </c>
      <c r="C90" s="139">
        <f>Bxl_Inflow!C91-Bxl_Outflow!C91+C89</f>
        <v>12811.657182500001</v>
      </c>
      <c r="D90" s="136">
        <f>Bxl_Inflow!D91-Bxl_Outflow!D91+D89</f>
        <v>1002.6949999999999</v>
      </c>
      <c r="E90" s="136">
        <f>Bxl_Inflow!E91-Bxl_Outflow!E91+E89</f>
        <v>11808.962182499999</v>
      </c>
      <c r="F90" s="136">
        <f>Bxl_Inflow!F91-Bxl_Outflow!F91+F89</f>
        <v>869.48354999999992</v>
      </c>
      <c r="G90" s="136">
        <f>Bxl_Inflow!G91-Bxl_Outflow!G91+G89</f>
        <v>699.25906266666664</v>
      </c>
      <c r="H90" s="115"/>
      <c r="I90" s="131">
        <f>C90*Hypotheses!$D$19/1000</f>
        <v>7.6869943095000004E-2</v>
      </c>
      <c r="J90" s="131">
        <f>C90*Hypotheses!$D$20/1000</f>
        <v>0.15373988619000001</v>
      </c>
      <c r="K90" s="131">
        <f>C90*Hypotheses!$D$21/1000</f>
        <v>0.30747977238000002</v>
      </c>
      <c r="L90" s="115"/>
      <c r="M90" s="128">
        <f>C90*Hypotheses!$D$31*Hypotheses!H55</f>
        <v>768.69943095000008</v>
      </c>
      <c r="N90" s="128">
        <f>C90*Hypotheses!$D$31*Hypotheses!I55</f>
        <v>2682.6359656875329</v>
      </c>
      <c r="O90" s="128">
        <f>C90*Hypotheses!$D$31*Hypotheses!J55</f>
        <v>5075.0566341094491</v>
      </c>
      <c r="P90" s="126">
        <f>C90*Hypotheses!$D$30*Hypotheses!H55</f>
        <v>192.17485773750002</v>
      </c>
      <c r="Q90" s="126">
        <f>C90*Hypotheses!$D$30*Hypotheses!I55</f>
        <v>670.65899142188323</v>
      </c>
      <c r="R90" s="126">
        <f>C90*Hypotheses!$D$30*Hypotheses!J55</f>
        <v>1268.7641585273623</v>
      </c>
      <c r="S90" s="115"/>
      <c r="T90" s="131">
        <f t="shared" si="0"/>
        <v>0.84556937404499988</v>
      </c>
      <c r="U90" s="131">
        <f t="shared" si="0"/>
        <v>1.6911387480899998</v>
      </c>
      <c r="V90" s="131">
        <f t="shared" si="0"/>
        <v>3.3822774961799995</v>
      </c>
      <c r="W90" s="115"/>
      <c r="X90" s="128">
        <f t="shared" si="1"/>
        <v>8455.6937404500022</v>
      </c>
      <c r="Y90" s="128">
        <f t="shared" si="1"/>
        <v>15380.566545274331</v>
      </c>
      <c r="Z90" s="128">
        <f t="shared" si="1"/>
        <v>24036.657551304739</v>
      </c>
      <c r="AA90" s="126">
        <f t="shared" si="1"/>
        <v>2113.9234351125006</v>
      </c>
      <c r="AB90" s="126">
        <f t="shared" si="1"/>
        <v>3845.1416363185826</v>
      </c>
      <c r="AC90" s="126">
        <f t="shared" si="1"/>
        <v>6009.1643878261848</v>
      </c>
      <c r="AD90" s="115"/>
    </row>
    <row r="91" spans="1:30" x14ac:dyDescent="0.25">
      <c r="A91" s="94">
        <v>2037</v>
      </c>
      <c r="B91" s="139">
        <f>Bxl_Inflow!B92-Bxl_Outflow!B92+B90</f>
        <v>510198.09849999996</v>
      </c>
      <c r="C91" s="139">
        <f>Bxl_Inflow!C92-Bxl_Outflow!C92+C90</f>
        <v>12811.657182500001</v>
      </c>
      <c r="D91" s="136">
        <f>Bxl_Inflow!D92-Bxl_Outflow!D92+D90</f>
        <v>1002.6949999999999</v>
      </c>
      <c r="E91" s="136">
        <f>Bxl_Inflow!E92-Bxl_Outflow!E92+E90</f>
        <v>11808.962182499999</v>
      </c>
      <c r="F91" s="136">
        <f>Bxl_Inflow!F92-Bxl_Outflow!F92+F90</f>
        <v>869.48354999999992</v>
      </c>
      <c r="G91" s="136">
        <f>Bxl_Inflow!G92-Bxl_Outflow!G92+G90</f>
        <v>699.25906266666664</v>
      </c>
      <c r="H91" s="115"/>
      <c r="I91" s="131">
        <f>C91*Hypotheses!$D$19/1000</f>
        <v>7.6869943095000004E-2</v>
      </c>
      <c r="J91" s="131">
        <f>C91*Hypotheses!$D$20/1000</f>
        <v>0.15373988619000001</v>
      </c>
      <c r="K91" s="131">
        <f>C91*Hypotheses!$D$21/1000</f>
        <v>0.30747977238000002</v>
      </c>
      <c r="L91" s="115"/>
      <c r="M91" s="128">
        <f>C91*Hypotheses!$D$31*Hypotheses!H56</f>
        <v>768.69943095000008</v>
      </c>
      <c r="N91" s="128">
        <f>C91*Hypotheses!$D$31*Hypotheses!I56</f>
        <v>3016.5566844860027</v>
      </c>
      <c r="O91" s="128">
        <f>C91*Hypotheses!$D$31*Hypotheses!J56</f>
        <v>5826.3782514060049</v>
      </c>
      <c r="P91" s="126">
        <f>C91*Hypotheses!$D$30*Hypotheses!H56</f>
        <v>192.17485773750002</v>
      </c>
      <c r="Q91" s="126">
        <f>C91*Hypotheses!$D$30*Hypotheses!I56</f>
        <v>754.13917112150068</v>
      </c>
      <c r="R91" s="126">
        <f>C91*Hypotheses!$D$30*Hypotheses!J56</f>
        <v>1456.5945628515012</v>
      </c>
      <c r="S91" s="115"/>
      <c r="T91" s="131">
        <f t="shared" si="0"/>
        <v>0.92243931713999983</v>
      </c>
      <c r="U91" s="131">
        <f t="shared" si="0"/>
        <v>1.8448786342799997</v>
      </c>
      <c r="V91" s="131">
        <f t="shared" si="0"/>
        <v>3.6897572685599993</v>
      </c>
      <c r="W91" s="115"/>
      <c r="X91" s="128">
        <f t="shared" si="1"/>
        <v>9224.3931714000028</v>
      </c>
      <c r="Y91" s="128">
        <f t="shared" si="1"/>
        <v>18397.123229760335</v>
      </c>
      <c r="Z91" s="128">
        <f t="shared" si="1"/>
        <v>29863.035802710743</v>
      </c>
      <c r="AA91" s="126">
        <f t="shared" si="1"/>
        <v>2306.0982928500007</v>
      </c>
      <c r="AB91" s="126">
        <f t="shared" si="1"/>
        <v>4599.2808074400837</v>
      </c>
      <c r="AC91" s="126">
        <f t="shared" si="1"/>
        <v>7465.7589506776858</v>
      </c>
      <c r="AD91" s="115"/>
    </row>
    <row r="92" spans="1:30" x14ac:dyDescent="0.25">
      <c r="A92" s="94">
        <v>2038</v>
      </c>
      <c r="B92" s="139">
        <f>Bxl_Inflow!B93-Bxl_Outflow!B93+B91</f>
        <v>502184.49849999999</v>
      </c>
      <c r="C92" s="139">
        <f>Bxl_Inflow!C93-Bxl_Outflow!C93+C91</f>
        <v>12811.657182500001</v>
      </c>
      <c r="D92" s="136">
        <f>Bxl_Inflow!D93-Bxl_Outflow!D93+D91</f>
        <v>1002.6949999999999</v>
      </c>
      <c r="E92" s="136">
        <f>Bxl_Inflow!E93-Bxl_Outflow!E93+E91</f>
        <v>11808.962182499999</v>
      </c>
      <c r="F92" s="136">
        <f>Bxl_Inflow!F93-Bxl_Outflow!F93+F91</f>
        <v>869.48354999999992</v>
      </c>
      <c r="G92" s="136">
        <f>Bxl_Inflow!G93-Bxl_Outflow!G93+G91</f>
        <v>699.25906266666664</v>
      </c>
      <c r="H92" s="115"/>
      <c r="I92" s="131">
        <f>C92*Hypotheses!$D$19/1000</f>
        <v>7.6869943095000004E-2</v>
      </c>
      <c r="J92" s="131">
        <f>C92*Hypotheses!$D$20/1000</f>
        <v>0.15373988619000001</v>
      </c>
      <c r="K92" s="131">
        <f>C92*Hypotheses!$D$21/1000</f>
        <v>0.30747977238000002</v>
      </c>
      <c r="L92" s="115"/>
      <c r="M92" s="128">
        <f>C92*Hypotheses!$D$31*Hypotheses!H57</f>
        <v>768.69943095000008</v>
      </c>
      <c r="N92" s="128">
        <f>C92*Hypotheses!$D$31*Hypotheses!I57</f>
        <v>3282.5755693871929</v>
      </c>
      <c r="O92" s="128">
        <f>C92*Hypotheses!$D$31*Hypotheses!J57</f>
        <v>6424.9207424336837</v>
      </c>
      <c r="P92" s="126">
        <f>C92*Hypotheses!$D$30*Hypotheses!H57</f>
        <v>192.17485773750002</v>
      </c>
      <c r="Q92" s="126">
        <f>C92*Hypotheses!$D$30*Hypotheses!I57</f>
        <v>820.64389234679822</v>
      </c>
      <c r="R92" s="126">
        <f>C92*Hypotheses!$D$30*Hypotheses!J57</f>
        <v>1606.2301856084209</v>
      </c>
      <c r="S92" s="115"/>
      <c r="T92" s="131">
        <f t="shared" si="0"/>
        <v>0.99930926023499977</v>
      </c>
      <c r="U92" s="131">
        <f t="shared" si="0"/>
        <v>1.9986185204699995</v>
      </c>
      <c r="V92" s="131">
        <f t="shared" si="0"/>
        <v>3.9972370409399991</v>
      </c>
      <c r="W92" s="115"/>
      <c r="X92" s="128">
        <f t="shared" si="1"/>
        <v>9993.0926023500033</v>
      </c>
      <c r="Y92" s="128">
        <f t="shared" si="1"/>
        <v>21679.698799147529</v>
      </c>
      <c r="Z92" s="128">
        <f t="shared" si="1"/>
        <v>36287.956545144429</v>
      </c>
      <c r="AA92" s="126">
        <f t="shared" si="1"/>
        <v>2498.2731505875008</v>
      </c>
      <c r="AB92" s="126">
        <f t="shared" si="1"/>
        <v>5419.9246997868822</v>
      </c>
      <c r="AC92" s="126">
        <f t="shared" si="1"/>
        <v>9071.9891362861072</v>
      </c>
      <c r="AD92" s="115"/>
    </row>
    <row r="93" spans="1:30" x14ac:dyDescent="0.25">
      <c r="A93" s="94">
        <v>2039</v>
      </c>
      <c r="B93" s="139">
        <f>Bxl_Inflow!B94-Bxl_Outflow!B94+B92</f>
        <v>502184.49849999999</v>
      </c>
      <c r="C93" s="139">
        <f>Bxl_Inflow!C94-Bxl_Outflow!C94+C92</f>
        <v>12811.657182500001</v>
      </c>
      <c r="D93" s="136">
        <f>Bxl_Inflow!D94-Bxl_Outflow!D94+D92</f>
        <v>1002.6949999999999</v>
      </c>
      <c r="E93" s="136">
        <f>Bxl_Inflow!E94-Bxl_Outflow!E94+E92</f>
        <v>11808.962182499999</v>
      </c>
      <c r="F93" s="136">
        <f>Bxl_Inflow!F94-Bxl_Outflow!F94+F92</f>
        <v>869.48354999999992</v>
      </c>
      <c r="G93" s="136">
        <f>Bxl_Inflow!G94-Bxl_Outflow!G94+G92</f>
        <v>699.25906266666664</v>
      </c>
      <c r="H93" s="115"/>
      <c r="I93" s="131">
        <f>C93*Hypotheses!$D$19/1000</f>
        <v>7.6869943095000004E-2</v>
      </c>
      <c r="J93" s="131">
        <f>C93*Hypotheses!$D$20/1000</f>
        <v>0.15373988619000001</v>
      </c>
      <c r="K93" s="131">
        <f>C93*Hypotheses!$D$21/1000</f>
        <v>0.30747977238000002</v>
      </c>
      <c r="L93" s="115"/>
      <c r="M93" s="128">
        <f>C93*Hypotheses!$D$31*Hypotheses!H58</f>
        <v>768.69943095000008</v>
      </c>
      <c r="N93" s="128">
        <f>C93*Hypotheses!$D$31*Hypotheses!I58</f>
        <v>3476.9722814460833</v>
      </c>
      <c r="O93" s="128">
        <f>C93*Hypotheses!$D$31*Hypotheses!J58</f>
        <v>6862.3133445661888</v>
      </c>
      <c r="P93" s="126">
        <f>C93*Hypotheses!$D$30*Hypotheses!H58</f>
        <v>192.17485773750002</v>
      </c>
      <c r="Q93" s="126">
        <f>C93*Hypotheses!$D$30*Hypotheses!I58</f>
        <v>869.24307036152084</v>
      </c>
      <c r="R93" s="126">
        <f>C93*Hypotheses!$D$30*Hypotheses!J58</f>
        <v>1715.5783361415472</v>
      </c>
      <c r="S93" s="115"/>
      <c r="T93" s="131">
        <f t="shared" si="0"/>
        <v>1.0761792033299997</v>
      </c>
      <c r="U93" s="131">
        <f t="shared" si="0"/>
        <v>2.1523584066599994</v>
      </c>
      <c r="V93" s="131">
        <f t="shared" si="0"/>
        <v>4.3047168133199989</v>
      </c>
      <c r="W93" s="115"/>
      <c r="X93" s="128">
        <f t="shared" si="1"/>
        <v>10761.792033300004</v>
      </c>
      <c r="Y93" s="128">
        <f t="shared" si="1"/>
        <v>25156.671080593613</v>
      </c>
      <c r="Z93" s="128">
        <f t="shared" si="1"/>
        <v>43150.269889710617</v>
      </c>
      <c r="AA93" s="126">
        <f t="shared" si="1"/>
        <v>2690.448008325001</v>
      </c>
      <c r="AB93" s="126">
        <f t="shared" si="1"/>
        <v>6289.1677701484032</v>
      </c>
      <c r="AC93" s="126">
        <f t="shared" si="1"/>
        <v>10787.567472427654</v>
      </c>
      <c r="AD93" s="115"/>
    </row>
    <row r="94" spans="1:30" x14ac:dyDescent="0.25">
      <c r="A94" s="94">
        <v>2040</v>
      </c>
      <c r="B94" s="139">
        <f>Bxl_Inflow!B95-Bxl_Outflow!B95+B93</f>
        <v>492162.09849999996</v>
      </c>
      <c r="C94" s="139">
        <f>Bxl_Inflow!C95-Bxl_Outflow!C95+C93</f>
        <v>12811.657182500001</v>
      </c>
      <c r="D94" s="136">
        <f>Bxl_Inflow!D95-Bxl_Outflow!D95+D93</f>
        <v>1002.6949999999999</v>
      </c>
      <c r="E94" s="136">
        <f>Bxl_Inflow!E95-Bxl_Outflow!E95+E93</f>
        <v>11808.962182499999</v>
      </c>
      <c r="F94" s="136">
        <f>Bxl_Inflow!F95-Bxl_Outflow!F95+F93</f>
        <v>869.48354999999992</v>
      </c>
      <c r="G94" s="136">
        <f>Bxl_Inflow!G95-Bxl_Outflow!G95+G93</f>
        <v>699.25906266666664</v>
      </c>
      <c r="H94" s="115"/>
      <c r="I94" s="131">
        <f>C94*Hypotheses!$D$19/1000</f>
        <v>7.6869943095000004E-2</v>
      </c>
      <c r="J94" s="131">
        <f>C94*Hypotheses!$D$20/1000</f>
        <v>0.15373988619000001</v>
      </c>
      <c r="K94" s="131">
        <f>C94*Hypotheses!$D$21/1000</f>
        <v>0.30747977238000002</v>
      </c>
      <c r="L94" s="115"/>
      <c r="M94" s="128">
        <f>C94*Hypotheses!$D$31*Hypotheses!H59</f>
        <v>768.69943095000008</v>
      </c>
      <c r="N94" s="128">
        <f>C94*Hypotheses!$D$31*Hypotheses!I59</f>
        <v>3610.2485954890699</v>
      </c>
      <c r="O94" s="128">
        <f>C94*Hypotheses!$D$31*Hypotheses!J59</f>
        <v>7162.1850511629073</v>
      </c>
      <c r="P94" s="126">
        <f>C94*Hypotheses!$D$30*Hypotheses!H59</f>
        <v>192.17485773750002</v>
      </c>
      <c r="Q94" s="126">
        <f>C94*Hypotheses!$D$30*Hypotheses!I59</f>
        <v>902.56214887226747</v>
      </c>
      <c r="R94" s="126">
        <f>C94*Hypotheses!$D$30*Hypotheses!J59</f>
        <v>1790.5462627907268</v>
      </c>
      <c r="S94" s="115"/>
      <c r="T94" s="131">
        <f t="shared" si="0"/>
        <v>1.1530491464249997</v>
      </c>
      <c r="U94" s="131">
        <f t="shared" si="0"/>
        <v>2.3060982928499993</v>
      </c>
      <c r="V94" s="131">
        <f t="shared" si="0"/>
        <v>4.6121965856999987</v>
      </c>
      <c r="W94" s="115"/>
      <c r="X94" s="128">
        <f t="shared" si="1"/>
        <v>11530.491464250004</v>
      </c>
      <c r="Y94" s="128">
        <f t="shared" si="1"/>
        <v>28766.919676082682</v>
      </c>
      <c r="Z94" s="128">
        <f t="shared" si="1"/>
        <v>50312.454940873526</v>
      </c>
      <c r="AA94" s="126">
        <f t="shared" si="1"/>
        <v>2882.6228660625011</v>
      </c>
      <c r="AB94" s="126">
        <f t="shared" si="1"/>
        <v>7191.7299190206704</v>
      </c>
      <c r="AC94" s="126">
        <f t="shared" si="1"/>
        <v>12578.113735218381</v>
      </c>
      <c r="AD94" s="115"/>
    </row>
    <row r="95" spans="1:30" x14ac:dyDescent="0.25">
      <c r="A95" s="94">
        <v>2041</v>
      </c>
      <c r="B95" s="139">
        <f>Bxl_Inflow!B96-Bxl_Outflow!B96+B94</f>
        <v>492162.09849999996</v>
      </c>
      <c r="C95" s="139">
        <f>Bxl_Inflow!C96-Bxl_Outflow!C96+C94</f>
        <v>12811.657182500001</v>
      </c>
      <c r="D95" s="136">
        <f>Bxl_Inflow!D96-Bxl_Outflow!D96+D94</f>
        <v>1002.6949999999999</v>
      </c>
      <c r="E95" s="136">
        <f>Bxl_Inflow!E96-Bxl_Outflow!E96+E94</f>
        <v>11808.962182499999</v>
      </c>
      <c r="F95" s="136">
        <f>Bxl_Inflow!F96-Bxl_Outflow!F96+F94</f>
        <v>869.48354999999992</v>
      </c>
      <c r="G95" s="136">
        <f>Bxl_Inflow!G96-Bxl_Outflow!G96+G94</f>
        <v>699.25906266666664</v>
      </c>
      <c r="H95" s="115"/>
      <c r="I95" s="131">
        <f>C95*Hypotheses!$D$19/1000</f>
        <v>7.6869943095000004E-2</v>
      </c>
      <c r="J95" s="131">
        <f>C95*Hypotheses!$D$20/1000</f>
        <v>0.15373988619000001</v>
      </c>
      <c r="K95" s="131">
        <f>C95*Hypotheses!$D$21/1000</f>
        <v>0.30747977238000002</v>
      </c>
      <c r="L95" s="115"/>
      <c r="M95" s="128">
        <f>C95*Hypotheses!$D$31*Hypotheses!H60</f>
        <v>768.69943095000008</v>
      </c>
      <c r="N95" s="128">
        <f>C95*Hypotheses!$D$31*Hypotheses!I60</f>
        <v>3697.6721878543913</v>
      </c>
      <c r="O95" s="128">
        <f>C95*Hypotheses!$D$31*Hypotheses!J60</f>
        <v>7358.8881339848786</v>
      </c>
      <c r="P95" s="126">
        <f>C95*Hypotheses!$D$30*Hypotheses!H60</f>
        <v>192.17485773750002</v>
      </c>
      <c r="Q95" s="126">
        <f>C95*Hypotheses!$D$30*Hypotheses!I60</f>
        <v>924.41804696359782</v>
      </c>
      <c r="R95" s="126">
        <f>C95*Hypotheses!$D$30*Hypotheses!J60</f>
        <v>1839.7220334962196</v>
      </c>
      <c r="S95" s="115"/>
      <c r="T95" s="131">
        <f t="shared" si="0"/>
        <v>1.2299190895199996</v>
      </c>
      <c r="U95" s="131">
        <f t="shared" si="0"/>
        <v>2.4598381790399992</v>
      </c>
      <c r="V95" s="131">
        <f t="shared" si="0"/>
        <v>4.9196763580799985</v>
      </c>
      <c r="W95" s="115"/>
      <c r="X95" s="128">
        <f t="shared" si="1"/>
        <v>12299.190895200005</v>
      </c>
      <c r="Y95" s="128">
        <f t="shared" si="1"/>
        <v>32464.591863937072</v>
      </c>
      <c r="Z95" s="128">
        <f t="shared" si="1"/>
        <v>57671.343074858407</v>
      </c>
      <c r="AA95" s="126">
        <f t="shared" si="1"/>
        <v>3074.7977238000012</v>
      </c>
      <c r="AB95" s="126">
        <f t="shared" si="1"/>
        <v>8116.147965984268</v>
      </c>
      <c r="AC95" s="126">
        <f t="shared" si="1"/>
        <v>14417.835768714602</v>
      </c>
      <c r="AD95" s="115"/>
    </row>
    <row r="96" spans="1:30" x14ac:dyDescent="0.25">
      <c r="A96" s="94">
        <v>2042</v>
      </c>
      <c r="B96" s="139">
        <f>Bxl_Inflow!B97-Bxl_Outflow!B97+B95</f>
        <v>492162.09849999996</v>
      </c>
      <c r="C96" s="139">
        <f>Bxl_Inflow!C97-Bxl_Outflow!C97+C95</f>
        <v>12811.657182500001</v>
      </c>
      <c r="D96" s="136">
        <f>Bxl_Inflow!D97-Bxl_Outflow!D97+D95</f>
        <v>1002.6949999999999</v>
      </c>
      <c r="E96" s="136">
        <f>Bxl_Inflow!E97-Bxl_Outflow!E97+E95</f>
        <v>11808.962182499999</v>
      </c>
      <c r="F96" s="136">
        <f>Bxl_Inflow!F97-Bxl_Outflow!F97+F95</f>
        <v>869.48354999999992</v>
      </c>
      <c r="G96" s="136">
        <f>Bxl_Inflow!G97-Bxl_Outflow!G97+G95</f>
        <v>699.25906266666664</v>
      </c>
      <c r="H96" s="115"/>
      <c r="I96" s="131">
        <f>C96*Hypotheses!$D$19/1000</f>
        <v>7.6869943095000004E-2</v>
      </c>
      <c r="J96" s="131">
        <f>C96*Hypotheses!$D$20/1000</f>
        <v>0.15373988619000001</v>
      </c>
      <c r="K96" s="131">
        <f>C96*Hypotheses!$D$21/1000</f>
        <v>0.30747977238000002</v>
      </c>
      <c r="L96" s="115"/>
      <c r="M96" s="128">
        <f>C96*Hypotheses!$D$31*Hypotheses!H61</f>
        <v>768.69943095000008</v>
      </c>
      <c r="N96" s="128">
        <f>C96*Hypotheses!$D$31*Hypotheses!I61</f>
        <v>3753.3679743562293</v>
      </c>
      <c r="O96" s="128">
        <f>C96*Hypotheses!$D$31*Hypotheses!J61</f>
        <v>7484.2036536140149</v>
      </c>
      <c r="P96" s="126">
        <f>C96*Hypotheses!$D$30*Hypotheses!H61</f>
        <v>192.17485773750002</v>
      </c>
      <c r="Q96" s="126">
        <f>C96*Hypotheses!$D$30*Hypotheses!I61</f>
        <v>938.34199358905732</v>
      </c>
      <c r="R96" s="126">
        <f>C96*Hypotheses!$D$30*Hypotheses!J61</f>
        <v>1871.0509134035037</v>
      </c>
      <c r="S96" s="115"/>
      <c r="T96" s="131">
        <f t="shared" ref="T96:V111" si="2">I96+T95</f>
        <v>1.3067890326149996</v>
      </c>
      <c r="U96" s="131">
        <f t="shared" si="2"/>
        <v>2.6135780652299991</v>
      </c>
      <c r="V96" s="131">
        <f t="shared" si="2"/>
        <v>5.2271561304599983</v>
      </c>
      <c r="W96" s="115"/>
      <c r="X96" s="128">
        <f t="shared" ref="X96:AC111" si="3">M96+X95</f>
        <v>13067.890326150005</v>
      </c>
      <c r="Y96" s="128">
        <f t="shared" si="3"/>
        <v>36217.959838293304</v>
      </c>
      <c r="Z96" s="128">
        <f t="shared" si="3"/>
        <v>65155.546728472422</v>
      </c>
      <c r="AA96" s="126">
        <f t="shared" si="3"/>
        <v>3266.9725815375014</v>
      </c>
      <c r="AB96" s="126">
        <f t="shared" si="3"/>
        <v>9054.4899595733259</v>
      </c>
      <c r="AC96" s="126">
        <f t="shared" si="3"/>
        <v>16288.886682118105</v>
      </c>
      <c r="AD96" s="115"/>
    </row>
    <row r="97" spans="1:30" x14ac:dyDescent="0.25">
      <c r="A97" s="94">
        <v>2043</v>
      </c>
      <c r="B97" s="139">
        <f>Bxl_Inflow!B98-Bxl_Outflow!B98+B96</f>
        <v>492162.09849999996</v>
      </c>
      <c r="C97" s="139">
        <f>Bxl_Inflow!C98-Bxl_Outflow!C98+C96</f>
        <v>12811.657182500001</v>
      </c>
      <c r="D97" s="136">
        <f>Bxl_Inflow!D98-Bxl_Outflow!D98+D96</f>
        <v>1002.6949999999999</v>
      </c>
      <c r="E97" s="136">
        <f>Bxl_Inflow!E98-Bxl_Outflow!E98+E96</f>
        <v>11808.962182499999</v>
      </c>
      <c r="F97" s="136">
        <f>Bxl_Inflow!F98-Bxl_Outflow!F98+F96</f>
        <v>869.48354999999992</v>
      </c>
      <c r="G97" s="136">
        <f>Bxl_Inflow!G98-Bxl_Outflow!G98+G96</f>
        <v>699.25906266666664</v>
      </c>
      <c r="H97" s="115"/>
      <c r="I97" s="131">
        <f>C97*Hypotheses!$D$19/1000</f>
        <v>7.6869943095000004E-2</v>
      </c>
      <c r="J97" s="131">
        <f>C97*Hypotheses!$D$20/1000</f>
        <v>0.15373988619000001</v>
      </c>
      <c r="K97" s="131">
        <f>C97*Hypotheses!$D$21/1000</f>
        <v>0.30747977238000002</v>
      </c>
      <c r="L97" s="115"/>
      <c r="M97" s="128">
        <f>C97*Hypotheses!$D$31*Hypotheses!H62</f>
        <v>768.69943095000008</v>
      </c>
      <c r="N97" s="128">
        <f>C97*Hypotheses!$D$31*Hypotheses!I62</f>
        <v>3788.1931972987722</v>
      </c>
      <c r="O97" s="128">
        <f>C97*Hypotheses!$D$31*Hypotheses!J62</f>
        <v>7562.5604052347371</v>
      </c>
      <c r="P97" s="126">
        <f>C97*Hypotheses!$D$30*Hypotheses!H62</f>
        <v>192.17485773750002</v>
      </c>
      <c r="Q97" s="126">
        <f>C97*Hypotheses!$D$30*Hypotheses!I62</f>
        <v>947.04829932469306</v>
      </c>
      <c r="R97" s="126">
        <f>C97*Hypotheses!$D$30*Hypotheses!J62</f>
        <v>1890.6401013086843</v>
      </c>
      <c r="S97" s="115"/>
      <c r="T97" s="131">
        <f t="shared" si="2"/>
        <v>1.3836589757099995</v>
      </c>
      <c r="U97" s="131">
        <f t="shared" si="2"/>
        <v>2.767317951419999</v>
      </c>
      <c r="V97" s="131">
        <f t="shared" si="2"/>
        <v>5.5346359028399981</v>
      </c>
      <c r="W97" s="115"/>
      <c r="X97" s="128">
        <f t="shared" si="3"/>
        <v>13836.589757100006</v>
      </c>
      <c r="Y97" s="128">
        <f t="shared" si="3"/>
        <v>40006.153035592077</v>
      </c>
      <c r="Z97" s="128">
        <f t="shared" si="3"/>
        <v>72718.107133707163</v>
      </c>
      <c r="AA97" s="126">
        <f t="shared" si="3"/>
        <v>3459.1474392750015</v>
      </c>
      <c r="AB97" s="126">
        <f t="shared" si="3"/>
        <v>10001.538258898019</v>
      </c>
      <c r="AC97" s="126">
        <f t="shared" si="3"/>
        <v>18179.526783426791</v>
      </c>
      <c r="AD97" s="115"/>
    </row>
    <row r="98" spans="1:30" x14ac:dyDescent="0.25">
      <c r="A98" s="94">
        <v>2044</v>
      </c>
      <c r="B98" s="139">
        <f>Bxl_Inflow!B99-Bxl_Outflow!B99+B97</f>
        <v>478176.09849999996</v>
      </c>
      <c r="C98" s="139">
        <f>Bxl_Inflow!C99-Bxl_Outflow!C99+C97</f>
        <v>13005.245382500001</v>
      </c>
      <c r="D98" s="136">
        <f>Bxl_Inflow!D99-Bxl_Outflow!D99+D97</f>
        <v>1024.3201999999999</v>
      </c>
      <c r="E98" s="136">
        <f>Bxl_Inflow!E99-Bxl_Outflow!E99+E97</f>
        <v>11980.925182499999</v>
      </c>
      <c r="F98" s="136">
        <f>Bxl_Inflow!F99-Bxl_Outflow!F99+F97</f>
        <v>882.53168399999993</v>
      </c>
      <c r="G98" s="136">
        <f>Bxl_Inflow!G99-Bxl_Outflow!G99+G97</f>
        <v>708.68518266666661</v>
      </c>
      <c r="H98" s="115"/>
      <c r="I98" s="131">
        <f>C98*Hypotheses!$D$19/1000</f>
        <v>7.8031472295000015E-2</v>
      </c>
      <c r="J98" s="131">
        <f>C98*Hypotheses!$D$20/1000</f>
        <v>0.15606294459000003</v>
      </c>
      <c r="K98" s="131">
        <f>C98*Hypotheses!$D$21/1000</f>
        <v>0.31212588918000006</v>
      </c>
      <c r="L98" s="115"/>
      <c r="M98" s="128">
        <f>C98*Hypotheses!$D$31*Hypotheses!H63</f>
        <v>780.31472295000003</v>
      </c>
      <c r="N98" s="128">
        <f>C98*Hypotheses!$D$31*Hypotheses!I63</f>
        <v>3867.280522370565</v>
      </c>
      <c r="O98" s="128">
        <f>C98*Hypotheses!$D$31*Hypotheses!J63</f>
        <v>7725.9877716462706</v>
      </c>
      <c r="P98" s="126">
        <f>C98*Hypotheses!$D$30*Hypotheses!H63</f>
        <v>195.07868073750001</v>
      </c>
      <c r="Q98" s="126">
        <f>C98*Hypotheses!$D$30*Hypotheses!I63</f>
        <v>966.82013059264125</v>
      </c>
      <c r="R98" s="126">
        <f>C98*Hypotheses!$D$30*Hypotheses!J63</f>
        <v>1931.4969429115677</v>
      </c>
      <c r="S98" s="115"/>
      <c r="T98" s="131">
        <f t="shared" si="2"/>
        <v>1.4616904480049995</v>
      </c>
      <c r="U98" s="131">
        <f t="shared" si="2"/>
        <v>2.923380896009999</v>
      </c>
      <c r="V98" s="131">
        <f t="shared" si="2"/>
        <v>5.8467617920199979</v>
      </c>
      <c r="W98" s="115"/>
      <c r="X98" s="128">
        <f t="shared" si="3"/>
        <v>14616.904480050005</v>
      </c>
      <c r="Y98" s="128">
        <f t="shared" si="3"/>
        <v>43873.433557962642</v>
      </c>
      <c r="Z98" s="128">
        <f t="shared" si="3"/>
        <v>80444.094905353428</v>
      </c>
      <c r="AA98" s="126">
        <f t="shared" si="3"/>
        <v>3654.2261200125013</v>
      </c>
      <c r="AB98" s="126">
        <f t="shared" si="3"/>
        <v>10968.358389490661</v>
      </c>
      <c r="AC98" s="126">
        <f t="shared" si="3"/>
        <v>20111.023726338357</v>
      </c>
      <c r="AD98" s="115"/>
    </row>
    <row r="99" spans="1:30" x14ac:dyDescent="0.25">
      <c r="A99" s="94">
        <v>2045</v>
      </c>
      <c r="B99" s="139">
        <f>Bxl_Inflow!B100-Bxl_Outflow!B100+B98</f>
        <v>478176.09849999996</v>
      </c>
      <c r="C99" s="139">
        <f>Bxl_Inflow!C100-Bxl_Outflow!C100+C98</f>
        <v>13005.245382500001</v>
      </c>
      <c r="D99" s="136">
        <f>Bxl_Inflow!D100-Bxl_Outflow!D100+D98</f>
        <v>1024.3201999999999</v>
      </c>
      <c r="E99" s="136">
        <f>Bxl_Inflow!E100-Bxl_Outflow!E100+E98</f>
        <v>11980.925182499999</v>
      </c>
      <c r="F99" s="136">
        <f>Bxl_Inflow!F100-Bxl_Outflow!F100+F98</f>
        <v>882.53168399999993</v>
      </c>
      <c r="G99" s="136">
        <f>Bxl_Inflow!G100-Bxl_Outflow!G100+G98</f>
        <v>708.68518266666661</v>
      </c>
      <c r="H99" s="115"/>
      <c r="I99" s="131">
        <f>C99*Hypotheses!$D$19/1000</f>
        <v>7.8031472295000015E-2</v>
      </c>
      <c r="J99" s="131">
        <f>C99*Hypotheses!$D$20/1000</f>
        <v>0.15606294459000003</v>
      </c>
      <c r="K99" s="131">
        <f>C99*Hypotheses!$D$21/1000</f>
        <v>0.31212588918000006</v>
      </c>
      <c r="L99" s="115"/>
      <c r="M99" s="128">
        <f>C99*Hypotheses!$D$31*Hypotheses!H64</f>
        <v>780.31472295000003</v>
      </c>
      <c r="N99" s="128">
        <f>C99*Hypotheses!$D$31*Hypotheses!I64</f>
        <v>3880.6834942910846</v>
      </c>
      <c r="O99" s="128">
        <f>C99*Hypotheses!$D$31*Hypotheses!J64</f>
        <v>7756.14445846744</v>
      </c>
      <c r="P99" s="126">
        <f>C99*Hypotheses!$D$30*Hypotheses!H64</f>
        <v>195.07868073750001</v>
      </c>
      <c r="Q99" s="126">
        <f>C99*Hypotheses!$D$30*Hypotheses!I64</f>
        <v>970.17087357277114</v>
      </c>
      <c r="R99" s="126">
        <f>C99*Hypotheses!$D$30*Hypotheses!J64</f>
        <v>1939.03611461686</v>
      </c>
      <c r="S99" s="115"/>
      <c r="T99" s="131">
        <f t="shared" si="2"/>
        <v>1.5397219202999994</v>
      </c>
      <c r="U99" s="131">
        <f t="shared" si="2"/>
        <v>3.0794438405999989</v>
      </c>
      <c r="V99" s="131">
        <f t="shared" si="2"/>
        <v>6.1588876811999977</v>
      </c>
      <c r="W99" s="115"/>
      <c r="X99" s="128">
        <f t="shared" si="3"/>
        <v>15397.219203000004</v>
      </c>
      <c r="Y99" s="128">
        <f t="shared" si="3"/>
        <v>47754.117052253729</v>
      </c>
      <c r="Z99" s="128">
        <f t="shared" si="3"/>
        <v>88200.239363820874</v>
      </c>
      <c r="AA99" s="126">
        <f t="shared" si="3"/>
        <v>3849.304800750001</v>
      </c>
      <c r="AB99" s="126">
        <f t="shared" si="3"/>
        <v>11938.529263063432</v>
      </c>
      <c r="AC99" s="126">
        <f t="shared" si="3"/>
        <v>22050.059840955219</v>
      </c>
      <c r="AD99" s="115"/>
    </row>
    <row r="100" spans="1:30" x14ac:dyDescent="0.25">
      <c r="A100" s="94">
        <v>2046</v>
      </c>
      <c r="B100" s="139">
        <f>Bxl_Inflow!B101-Bxl_Outflow!B101+B99</f>
        <v>430221.59849999996</v>
      </c>
      <c r="C100" s="139">
        <f>Bxl_Inflow!C101-Bxl_Outflow!C101+C99</f>
        <v>13005.245382500001</v>
      </c>
      <c r="D100" s="136">
        <f>Bxl_Inflow!D101-Bxl_Outflow!D101+D99</f>
        <v>1024.3201999999999</v>
      </c>
      <c r="E100" s="136">
        <f>Bxl_Inflow!E101-Bxl_Outflow!E101+E99</f>
        <v>11980.925182499999</v>
      </c>
      <c r="F100" s="136">
        <f>Bxl_Inflow!F101-Bxl_Outflow!F101+F99</f>
        <v>882.53168399999993</v>
      </c>
      <c r="G100" s="136">
        <f>Bxl_Inflow!G101-Bxl_Outflow!G101+G99</f>
        <v>708.68518266666661</v>
      </c>
      <c r="H100" s="115"/>
      <c r="I100" s="131">
        <f>C100*Hypotheses!$D$19/1000</f>
        <v>7.8031472295000015E-2</v>
      </c>
      <c r="J100" s="131">
        <f>C100*Hypotheses!$D$20/1000</f>
        <v>0.15606294459000003</v>
      </c>
      <c r="K100" s="131">
        <f>C100*Hypotheses!$D$21/1000</f>
        <v>0.31212588918000006</v>
      </c>
      <c r="L100" s="115"/>
      <c r="M100" s="128">
        <f>C100*Hypotheses!$D$31*Hypotheses!H65</f>
        <v>780.31472295000003</v>
      </c>
      <c r="N100" s="128">
        <f>C100*Hypotheses!$D$31*Hypotheses!I65</f>
        <v>3888.869661213409</v>
      </c>
      <c r="O100" s="128">
        <f>C100*Hypotheses!$D$31*Hypotheses!J65</f>
        <v>7774.5633340426702</v>
      </c>
      <c r="P100" s="126">
        <f>C100*Hypotheses!$D$30*Hypotheses!H65</f>
        <v>195.07868073750001</v>
      </c>
      <c r="Q100" s="126">
        <f>C100*Hypotheses!$D$30*Hypotheses!I65</f>
        <v>972.21741530335225</v>
      </c>
      <c r="R100" s="126">
        <f>C100*Hypotheses!$D$30*Hypotheses!J65</f>
        <v>1943.6408335106676</v>
      </c>
      <c r="S100" s="115"/>
      <c r="T100" s="131">
        <f t="shared" si="2"/>
        <v>1.6177533925949994</v>
      </c>
      <c r="U100" s="131">
        <f t="shared" si="2"/>
        <v>3.2355067851899988</v>
      </c>
      <c r="V100" s="131">
        <f t="shared" si="2"/>
        <v>6.4710135703799976</v>
      </c>
      <c r="W100" s="115"/>
      <c r="X100" s="128">
        <f t="shared" si="3"/>
        <v>16177.533925950003</v>
      </c>
      <c r="Y100" s="128">
        <f t="shared" si="3"/>
        <v>51642.986713467137</v>
      </c>
      <c r="Z100" s="128">
        <f t="shared" si="3"/>
        <v>95974.802697863546</v>
      </c>
      <c r="AA100" s="126">
        <f t="shared" si="3"/>
        <v>4044.3834814875008</v>
      </c>
      <c r="AB100" s="126">
        <f t="shared" si="3"/>
        <v>12910.746678366784</v>
      </c>
      <c r="AC100" s="126">
        <f t="shared" si="3"/>
        <v>23993.700674465887</v>
      </c>
      <c r="AD100" s="115"/>
    </row>
    <row r="101" spans="1:30" x14ac:dyDescent="0.25">
      <c r="A101" s="94">
        <v>2047</v>
      </c>
      <c r="B101" s="139">
        <f>Bxl_Inflow!B102-Bxl_Outflow!B102+B100</f>
        <v>414221.59849999996</v>
      </c>
      <c r="C101" s="139">
        <f>Bxl_Inflow!C102-Bxl_Outflow!C102+C100</f>
        <v>13005.245382500001</v>
      </c>
      <c r="D101" s="136">
        <f>Bxl_Inflow!D102-Bxl_Outflow!D102+D100</f>
        <v>1024.3201999999999</v>
      </c>
      <c r="E101" s="136">
        <f>Bxl_Inflow!E102-Bxl_Outflow!E102+E100</f>
        <v>11980.925182499999</v>
      </c>
      <c r="F101" s="136">
        <f>Bxl_Inflow!F102-Bxl_Outflow!F102+F100</f>
        <v>882.53168399999993</v>
      </c>
      <c r="G101" s="136">
        <f>Bxl_Inflow!G102-Bxl_Outflow!G102+G100</f>
        <v>708.68518266666661</v>
      </c>
      <c r="H101" s="115"/>
      <c r="I101" s="131">
        <f>C101*Hypotheses!$D$19/1000</f>
        <v>7.8031472295000015E-2</v>
      </c>
      <c r="J101" s="131">
        <f>C101*Hypotheses!$D$20/1000</f>
        <v>0.15606294459000003</v>
      </c>
      <c r="K101" s="131">
        <f>C101*Hypotheses!$D$21/1000</f>
        <v>0.31212588918000006</v>
      </c>
      <c r="L101" s="115"/>
      <c r="M101" s="128">
        <f>C101*Hypotheses!$D$31*Hypotheses!H66</f>
        <v>780.31472295000003</v>
      </c>
      <c r="N101" s="128">
        <f>C101*Hypotheses!$D$31*Hypotheses!I66</f>
        <v>3893.8559177362836</v>
      </c>
      <c r="O101" s="128">
        <f>C101*Hypotheses!$D$31*Hypotheses!J66</f>
        <v>7785.7824112191374</v>
      </c>
      <c r="P101" s="126">
        <f>C101*Hypotheses!$D$30*Hypotheses!H66</f>
        <v>195.07868073750001</v>
      </c>
      <c r="Q101" s="126">
        <f>C101*Hypotheses!$D$30*Hypotheses!I66</f>
        <v>973.46397943407089</v>
      </c>
      <c r="R101" s="126">
        <f>C101*Hypotheses!$D$30*Hypotheses!J66</f>
        <v>1946.4456028047844</v>
      </c>
      <c r="S101" s="115"/>
      <c r="T101" s="131">
        <f t="shared" si="2"/>
        <v>1.6957848648899994</v>
      </c>
      <c r="U101" s="131">
        <f t="shared" si="2"/>
        <v>3.3915697297799987</v>
      </c>
      <c r="V101" s="131">
        <f t="shared" si="2"/>
        <v>6.7831394595599974</v>
      </c>
      <c r="W101" s="115"/>
      <c r="X101" s="128">
        <f t="shared" si="3"/>
        <v>16957.848648900002</v>
      </c>
      <c r="Y101" s="128">
        <f t="shared" si="3"/>
        <v>55536.842631203421</v>
      </c>
      <c r="Z101" s="128">
        <f t="shared" si="3"/>
        <v>103760.58510908269</v>
      </c>
      <c r="AA101" s="126">
        <f t="shared" si="3"/>
        <v>4239.4621622250006</v>
      </c>
      <c r="AB101" s="126">
        <f t="shared" si="3"/>
        <v>13884.210657800855</v>
      </c>
      <c r="AC101" s="126">
        <f t="shared" si="3"/>
        <v>25940.146277270673</v>
      </c>
      <c r="AD101" s="115"/>
    </row>
    <row r="102" spans="1:30" x14ac:dyDescent="0.25">
      <c r="A102" s="94">
        <v>2048</v>
      </c>
      <c r="B102" s="139">
        <f>Bxl_Inflow!B103-Bxl_Outflow!B103+B101</f>
        <v>414221.59849999996</v>
      </c>
      <c r="C102" s="139">
        <f>Bxl_Inflow!C103-Bxl_Outflow!C103+C101</f>
        <v>13005.245382500001</v>
      </c>
      <c r="D102" s="136">
        <f>Bxl_Inflow!D103-Bxl_Outflow!D103+D101</f>
        <v>1024.3201999999999</v>
      </c>
      <c r="E102" s="136">
        <f>Bxl_Inflow!E103-Bxl_Outflow!E103+E101</f>
        <v>11980.925182499999</v>
      </c>
      <c r="F102" s="136">
        <f>Bxl_Inflow!F103-Bxl_Outflow!F103+F101</f>
        <v>882.53168399999993</v>
      </c>
      <c r="G102" s="136">
        <f>Bxl_Inflow!G103-Bxl_Outflow!G103+G101</f>
        <v>708.68518266666661</v>
      </c>
      <c r="H102" s="115"/>
      <c r="I102" s="131">
        <f>C102*Hypotheses!$D$19/1000</f>
        <v>7.8031472295000015E-2</v>
      </c>
      <c r="J102" s="131">
        <f>C102*Hypotheses!$D$20/1000</f>
        <v>0.15606294459000003</v>
      </c>
      <c r="K102" s="131">
        <f>C102*Hypotheses!$D$21/1000</f>
        <v>0.31212588918000006</v>
      </c>
      <c r="L102" s="115"/>
      <c r="M102" s="128">
        <f>C102*Hypotheses!$D$31*Hypotheses!H67</f>
        <v>780.31472295000003</v>
      </c>
      <c r="N102" s="128">
        <f>C102*Hypotheses!$D$31*Hypotheses!I67</f>
        <v>3896.8880362829473</v>
      </c>
      <c r="O102" s="128">
        <f>C102*Hypotheses!$D$31*Hypotheses!J67</f>
        <v>7792.6046779491317</v>
      </c>
      <c r="P102" s="126">
        <f>C102*Hypotheses!$D$30*Hypotheses!H67</f>
        <v>195.07868073750001</v>
      </c>
      <c r="Q102" s="126">
        <f>C102*Hypotheses!$D$30*Hypotheses!I67</f>
        <v>974.22200907073682</v>
      </c>
      <c r="R102" s="126">
        <f>C102*Hypotheses!$D$30*Hypotheses!J67</f>
        <v>1948.1511694872829</v>
      </c>
      <c r="S102" s="115"/>
      <c r="T102" s="131">
        <f t="shared" si="2"/>
        <v>1.7738163371849993</v>
      </c>
      <c r="U102" s="131">
        <f t="shared" si="2"/>
        <v>3.5476326743699986</v>
      </c>
      <c r="V102" s="131">
        <f t="shared" si="2"/>
        <v>7.0952653487399973</v>
      </c>
      <c r="W102" s="115"/>
      <c r="X102" s="128">
        <f t="shared" si="3"/>
        <v>17738.163371850002</v>
      </c>
      <c r="Y102" s="128">
        <f t="shared" si="3"/>
        <v>59433.730667486365</v>
      </c>
      <c r="Z102" s="128">
        <f t="shared" si="3"/>
        <v>111553.18978703182</v>
      </c>
      <c r="AA102" s="126">
        <f t="shared" si="3"/>
        <v>4434.5408429625004</v>
      </c>
      <c r="AB102" s="126">
        <f t="shared" si="3"/>
        <v>14858.432666871591</v>
      </c>
      <c r="AC102" s="126">
        <f t="shared" si="3"/>
        <v>27888.297446757955</v>
      </c>
      <c r="AD102" s="115"/>
    </row>
    <row r="103" spans="1:30" x14ac:dyDescent="0.25">
      <c r="A103" s="94">
        <v>2049</v>
      </c>
      <c r="B103" s="139">
        <f>Bxl_Inflow!B104-Bxl_Outflow!B104+B102</f>
        <v>410371.59849999996</v>
      </c>
      <c r="C103" s="139">
        <f>Bxl_Inflow!C104-Bxl_Outflow!C104+C102</f>
        <v>13005.245382500001</v>
      </c>
      <c r="D103" s="136">
        <f>Bxl_Inflow!D104-Bxl_Outflow!D104+D102</f>
        <v>1024.3201999999999</v>
      </c>
      <c r="E103" s="136">
        <f>Bxl_Inflow!E104-Bxl_Outflow!E104+E102</f>
        <v>11980.925182499999</v>
      </c>
      <c r="F103" s="136">
        <f>Bxl_Inflow!F104-Bxl_Outflow!F104+F102</f>
        <v>882.53168399999993</v>
      </c>
      <c r="G103" s="136">
        <f>Bxl_Inflow!G104-Bxl_Outflow!G104+G102</f>
        <v>708.68518266666661</v>
      </c>
      <c r="H103" s="115"/>
      <c r="I103" s="131">
        <f>C103*Hypotheses!$D$19/1000</f>
        <v>7.8031472295000015E-2</v>
      </c>
      <c r="J103" s="131">
        <f>C103*Hypotheses!$D$20/1000</f>
        <v>0.15606294459000003</v>
      </c>
      <c r="K103" s="131">
        <f>C103*Hypotheses!$D$21/1000</f>
        <v>0.31212588918000006</v>
      </c>
      <c r="L103" s="115"/>
      <c r="M103" s="128">
        <f>C103*Hypotheses!$D$31*Hypotheses!H68</f>
        <v>780.31472295000003</v>
      </c>
      <c r="N103" s="128">
        <f>C103*Hypotheses!$D$31*Hypotheses!I68</f>
        <v>3898.7299881085928</v>
      </c>
      <c r="O103" s="128">
        <f>C103*Hypotheses!$D$31*Hypotheses!J68</f>
        <v>7796.7490695568331</v>
      </c>
      <c r="P103" s="126">
        <f>C103*Hypotheses!$D$30*Hypotheses!H68</f>
        <v>195.07868073750001</v>
      </c>
      <c r="Q103" s="126">
        <f>C103*Hypotheses!$D$30*Hypotheses!I68</f>
        <v>974.6824970271482</v>
      </c>
      <c r="R103" s="126">
        <f>C103*Hypotheses!$D$30*Hypotheses!J68</f>
        <v>1949.1872673892083</v>
      </c>
      <c r="S103" s="115"/>
      <c r="T103" s="131">
        <f t="shared" si="2"/>
        <v>1.8518478094799993</v>
      </c>
      <c r="U103" s="131">
        <f t="shared" si="2"/>
        <v>3.7036956189599985</v>
      </c>
      <c r="V103" s="131">
        <f t="shared" si="2"/>
        <v>7.4073912379199971</v>
      </c>
      <c r="W103" s="115"/>
      <c r="X103" s="128">
        <f t="shared" si="3"/>
        <v>18518.478094800001</v>
      </c>
      <c r="Y103" s="128">
        <f t="shared" si="3"/>
        <v>63332.460655594958</v>
      </c>
      <c r="Z103" s="128">
        <f t="shared" si="3"/>
        <v>119349.93885658865</v>
      </c>
      <c r="AA103" s="126">
        <f t="shared" si="3"/>
        <v>4629.6195237000002</v>
      </c>
      <c r="AB103" s="126">
        <f t="shared" si="3"/>
        <v>15833.115163898739</v>
      </c>
      <c r="AC103" s="126">
        <f t="shared" si="3"/>
        <v>29837.484714147162</v>
      </c>
      <c r="AD103" s="115"/>
    </row>
    <row r="104" spans="1:30" x14ac:dyDescent="0.25">
      <c r="A104" s="94">
        <v>2050</v>
      </c>
      <c r="B104" s="139">
        <f>Bxl_Inflow!B105-Bxl_Outflow!B105+B103</f>
        <v>410371.59849999996</v>
      </c>
      <c r="C104" s="139">
        <f>Bxl_Inflow!C105-Bxl_Outflow!C105+C103</f>
        <v>13005.245382500001</v>
      </c>
      <c r="D104" s="136">
        <f>Bxl_Inflow!D105-Bxl_Outflow!D105+D103</f>
        <v>1024.3201999999999</v>
      </c>
      <c r="E104" s="136">
        <f>Bxl_Inflow!E105-Bxl_Outflow!E105+E103</f>
        <v>11980.925182499999</v>
      </c>
      <c r="F104" s="136">
        <f>Bxl_Inflow!F105-Bxl_Outflow!F105+F103</f>
        <v>882.53168399999993</v>
      </c>
      <c r="G104" s="136">
        <f>Bxl_Inflow!G105-Bxl_Outflow!G105+G103</f>
        <v>708.68518266666661</v>
      </c>
      <c r="H104" s="115"/>
      <c r="I104" s="131">
        <f>C104*Hypotheses!$D$19/1000</f>
        <v>7.8031472295000015E-2</v>
      </c>
      <c r="J104" s="131">
        <f>C104*Hypotheses!$D$20/1000</f>
        <v>0.15606294459000003</v>
      </c>
      <c r="K104" s="131">
        <f>C104*Hypotheses!$D$21/1000</f>
        <v>0.31212588918000006</v>
      </c>
      <c r="L104" s="115"/>
      <c r="M104" s="128">
        <f>C104*Hypotheses!$D$31*Hypotheses!H69</f>
        <v>780.31472295000003</v>
      </c>
      <c r="N104" s="128">
        <f>C104*Hypotheses!$D$31*Hypotheses!I69</f>
        <v>3899.8482495143053</v>
      </c>
      <c r="O104" s="128">
        <f>C104*Hypotheses!$D$31*Hypotheses!J69</f>
        <v>7799.2651577196875</v>
      </c>
      <c r="P104" s="126">
        <f>C104*Hypotheses!$D$30*Hypotheses!H69</f>
        <v>195.07868073750001</v>
      </c>
      <c r="Q104" s="126">
        <f>C104*Hypotheses!$D$30*Hypotheses!I69</f>
        <v>974.96206237857632</v>
      </c>
      <c r="R104" s="126">
        <f>C104*Hypotheses!$D$30*Hypotheses!J69</f>
        <v>1949.8162894299219</v>
      </c>
      <c r="S104" s="115"/>
      <c r="T104" s="131">
        <f t="shared" si="2"/>
        <v>1.9298792817749992</v>
      </c>
      <c r="U104" s="131">
        <f t="shared" si="2"/>
        <v>3.8597585635499985</v>
      </c>
      <c r="V104" s="131">
        <f t="shared" si="2"/>
        <v>7.7195171270999969</v>
      </c>
      <c r="W104" s="115"/>
      <c r="X104" s="128">
        <f t="shared" si="3"/>
        <v>19298.79281775</v>
      </c>
      <c r="Y104" s="128">
        <f t="shared" si="3"/>
        <v>67232.308905109268</v>
      </c>
      <c r="Z104" s="128">
        <f t="shared" si="3"/>
        <v>127149.20401430833</v>
      </c>
      <c r="AA104" s="126">
        <f t="shared" si="3"/>
        <v>4824.6982044375</v>
      </c>
      <c r="AB104" s="126">
        <f t="shared" si="3"/>
        <v>16808.077226277317</v>
      </c>
      <c r="AC104" s="126">
        <f t="shared" si="3"/>
        <v>31787.301003577082</v>
      </c>
      <c r="AD104" s="115"/>
    </row>
    <row r="105" spans="1:30" x14ac:dyDescent="0.25">
      <c r="A105" s="94">
        <v>2051</v>
      </c>
      <c r="B105" s="139">
        <f>Bxl_Inflow!B106-Bxl_Outflow!B106+B104</f>
        <v>410371.59849999996</v>
      </c>
      <c r="C105" s="139">
        <f>Bxl_Inflow!C106-Bxl_Outflow!C106+C104</f>
        <v>13005.245382500001</v>
      </c>
      <c r="D105" s="136">
        <f>Bxl_Inflow!D106-Bxl_Outflow!D106+D104</f>
        <v>1024.3201999999999</v>
      </c>
      <c r="E105" s="136">
        <f>Bxl_Inflow!E106-Bxl_Outflow!E106+E104</f>
        <v>11980.925182499999</v>
      </c>
      <c r="F105" s="136">
        <f>Bxl_Inflow!F106-Bxl_Outflow!F106+F104</f>
        <v>882.53168399999993</v>
      </c>
      <c r="G105" s="136">
        <f>Bxl_Inflow!G106-Bxl_Outflow!G106+G104</f>
        <v>708.68518266666661</v>
      </c>
      <c r="H105" s="115"/>
      <c r="I105" s="131">
        <f>C105*Hypotheses!$D$19/1000</f>
        <v>7.8031472295000015E-2</v>
      </c>
      <c r="J105" s="131">
        <f>C105*Hypotheses!$D$20/1000</f>
        <v>0.15606294459000003</v>
      </c>
      <c r="K105" s="131">
        <f>C105*Hypotheses!$D$21/1000</f>
        <v>0.31212588918000006</v>
      </c>
      <c r="L105" s="115"/>
      <c r="M105" s="128">
        <f>C105*Hypotheses!$D$31*Hypotheses!H70</f>
        <v>780.31472295000003</v>
      </c>
      <c r="N105" s="128">
        <f>C105*Hypotheses!$D$31*Hypotheses!I70</f>
        <v>3900.5269001734164</v>
      </c>
      <c r="O105" s="128">
        <f>C105*Hypotheses!$D$31*Hypotheses!J70</f>
        <v>7800.7921217026851</v>
      </c>
      <c r="P105" s="126">
        <f>C105*Hypotheses!$D$30*Hypotheses!H70</f>
        <v>195.07868073750001</v>
      </c>
      <c r="Q105" s="126">
        <f>C105*Hypotheses!$D$30*Hypotheses!I70</f>
        <v>975.13172504335409</v>
      </c>
      <c r="R105" s="126">
        <f>C105*Hypotheses!$D$30*Hypotheses!J70</f>
        <v>1950.1980304256713</v>
      </c>
      <c r="S105" s="115"/>
      <c r="T105" s="131">
        <f t="shared" si="2"/>
        <v>2.0079107540699992</v>
      </c>
      <c r="U105" s="131">
        <f t="shared" si="2"/>
        <v>4.0158215081399984</v>
      </c>
      <c r="V105" s="131">
        <f t="shared" si="2"/>
        <v>8.0316430162799968</v>
      </c>
      <c r="W105" s="115"/>
      <c r="X105" s="128">
        <f t="shared" si="3"/>
        <v>20079.107540699999</v>
      </c>
      <c r="Y105" s="128">
        <f t="shared" si="3"/>
        <v>71132.835805282681</v>
      </c>
      <c r="Z105" s="128">
        <f t="shared" si="3"/>
        <v>134949.996136011</v>
      </c>
      <c r="AA105" s="126">
        <f t="shared" si="3"/>
        <v>5019.7768851749997</v>
      </c>
      <c r="AB105" s="126">
        <f t="shared" si="3"/>
        <v>17783.20895132067</v>
      </c>
      <c r="AC105" s="126">
        <f t="shared" si="3"/>
        <v>33737.499034002751</v>
      </c>
      <c r="AD105" s="115"/>
    </row>
    <row r="106" spans="1:30" x14ac:dyDescent="0.25">
      <c r="A106" s="94">
        <v>2052</v>
      </c>
      <c r="B106" s="139">
        <f>Bxl_Inflow!B107-Bxl_Outflow!B107+B105</f>
        <v>410371.59849999996</v>
      </c>
      <c r="C106" s="139">
        <f>Bxl_Inflow!C107-Bxl_Outflow!C107+C105</f>
        <v>13005.245382500001</v>
      </c>
      <c r="D106" s="136">
        <f>Bxl_Inflow!D107-Bxl_Outflow!D107+D105</f>
        <v>1024.3201999999999</v>
      </c>
      <c r="E106" s="136">
        <f>Bxl_Inflow!E107-Bxl_Outflow!E107+E105</f>
        <v>11980.925182499999</v>
      </c>
      <c r="F106" s="136">
        <f>Bxl_Inflow!F107-Bxl_Outflow!F107+F105</f>
        <v>882.53168399999993</v>
      </c>
      <c r="G106" s="136">
        <f>Bxl_Inflow!G107-Bxl_Outflow!G107+G105</f>
        <v>708.68518266666661</v>
      </c>
      <c r="H106" s="115"/>
      <c r="I106" s="131">
        <f>C106*Hypotheses!$D$19/1000</f>
        <v>7.8031472295000015E-2</v>
      </c>
      <c r="J106" s="131">
        <f>C106*Hypotheses!$D$20/1000</f>
        <v>0.15606294459000003</v>
      </c>
      <c r="K106" s="131">
        <f>C106*Hypotheses!$D$21/1000</f>
        <v>0.31212588918000006</v>
      </c>
      <c r="L106" s="115"/>
      <c r="M106" s="128">
        <f>C106*Hypotheses!$D$31*Hypotheses!H71</f>
        <v>780.31472295000003</v>
      </c>
      <c r="N106" s="128">
        <f>C106*Hypotheses!$D$31*Hypotheses!I71</f>
        <v>3900.9386664859135</v>
      </c>
      <c r="O106" s="128">
        <f>C106*Hypotheses!$D$31*Hypotheses!J71</f>
        <v>7801.7185959058052</v>
      </c>
      <c r="P106" s="126">
        <f>C106*Hypotheses!$D$30*Hypotheses!H71</f>
        <v>195.07868073750001</v>
      </c>
      <c r="Q106" s="126">
        <f>C106*Hypotheses!$D$30*Hypotheses!I71</f>
        <v>975.23466662147837</v>
      </c>
      <c r="R106" s="126">
        <f>C106*Hypotheses!$D$30*Hypotheses!J71</f>
        <v>1950.4296489764513</v>
      </c>
      <c r="S106" s="115"/>
      <c r="T106" s="131">
        <f t="shared" si="2"/>
        <v>2.0859422263649994</v>
      </c>
      <c r="U106" s="131">
        <f t="shared" si="2"/>
        <v>4.1718844527299987</v>
      </c>
      <c r="V106" s="131">
        <f t="shared" si="2"/>
        <v>8.3437689054599975</v>
      </c>
      <c r="W106" s="115"/>
      <c r="X106" s="128">
        <f t="shared" si="3"/>
        <v>20859.422263649998</v>
      </c>
      <c r="Y106" s="128">
        <f t="shared" si="3"/>
        <v>75033.7744717686</v>
      </c>
      <c r="Z106" s="128">
        <f t="shared" si="3"/>
        <v>142751.71473191681</v>
      </c>
      <c r="AA106" s="126">
        <f t="shared" si="3"/>
        <v>5214.8555659124995</v>
      </c>
      <c r="AB106" s="126">
        <f t="shared" si="3"/>
        <v>18758.44361794215</v>
      </c>
      <c r="AC106" s="126">
        <f t="shared" si="3"/>
        <v>35687.928682979204</v>
      </c>
      <c r="AD106" s="115"/>
    </row>
    <row r="107" spans="1:30" x14ac:dyDescent="0.25">
      <c r="A107" s="94">
        <v>2053</v>
      </c>
      <c r="B107" s="139">
        <f>Bxl_Inflow!B108-Bxl_Outflow!B108+B106</f>
        <v>394711.59849999996</v>
      </c>
      <c r="C107" s="139">
        <f>Bxl_Inflow!C108-Bxl_Outflow!C108+C106</f>
        <v>13005.245382500001</v>
      </c>
      <c r="D107" s="136">
        <f>Bxl_Inflow!D108-Bxl_Outflow!D108+D106</f>
        <v>1024.3201999999999</v>
      </c>
      <c r="E107" s="136">
        <f>Bxl_Inflow!E108-Bxl_Outflow!E108+E106</f>
        <v>11980.925182499999</v>
      </c>
      <c r="F107" s="136">
        <f>Bxl_Inflow!F108-Bxl_Outflow!F108+F106</f>
        <v>882.53168399999993</v>
      </c>
      <c r="G107" s="136">
        <f>Bxl_Inflow!G108-Bxl_Outflow!G108+G106</f>
        <v>708.68518266666661</v>
      </c>
      <c r="H107" s="115"/>
      <c r="I107" s="131">
        <f>C107*Hypotheses!$D$19/1000</f>
        <v>7.8031472295000015E-2</v>
      </c>
      <c r="J107" s="131">
        <f>C107*Hypotheses!$D$20/1000</f>
        <v>0.15606294459000003</v>
      </c>
      <c r="K107" s="131">
        <f>C107*Hypotheses!$D$21/1000</f>
        <v>0.31212588918000006</v>
      </c>
      <c r="L107" s="115"/>
      <c r="M107" s="128">
        <f>C107*Hypotheses!$D$31*Hypotheses!H72</f>
        <v>780.31472295000003</v>
      </c>
      <c r="N107" s="128">
        <f>C107*Hypotheses!$D$31*Hypotheses!I72</f>
        <v>3901.1884683325034</v>
      </c>
      <c r="O107" s="128">
        <f>C107*Hypotheses!$D$31*Hypotheses!J72</f>
        <v>7802.2806500606312</v>
      </c>
      <c r="P107" s="126">
        <f>C107*Hypotheses!$D$30*Hypotheses!H72</f>
        <v>195.07868073750001</v>
      </c>
      <c r="Q107" s="126">
        <f>C107*Hypotheses!$D$30*Hypotheses!I72</f>
        <v>975.29711708312584</v>
      </c>
      <c r="R107" s="126">
        <f>C107*Hypotheses!$D$30*Hypotheses!J72</f>
        <v>1950.5701625151578</v>
      </c>
      <c r="S107" s="115"/>
      <c r="T107" s="131">
        <f t="shared" si="2"/>
        <v>2.1639736986599996</v>
      </c>
      <c r="U107" s="131">
        <f t="shared" si="2"/>
        <v>4.3279473973199991</v>
      </c>
      <c r="V107" s="131">
        <f t="shared" si="2"/>
        <v>8.6558947946399982</v>
      </c>
      <c r="W107" s="115"/>
      <c r="X107" s="128">
        <f t="shared" si="3"/>
        <v>21639.736986599997</v>
      </c>
      <c r="Y107" s="128">
        <f t="shared" si="3"/>
        <v>78934.962940101104</v>
      </c>
      <c r="Z107" s="128">
        <f t="shared" si="3"/>
        <v>150553.99538197744</v>
      </c>
      <c r="AA107" s="126">
        <f t="shared" si="3"/>
        <v>5409.9342466499993</v>
      </c>
      <c r="AB107" s="126">
        <f t="shared" si="3"/>
        <v>19733.740735025276</v>
      </c>
      <c r="AC107" s="126">
        <f t="shared" si="3"/>
        <v>37638.49884549436</v>
      </c>
      <c r="AD107" s="115"/>
    </row>
    <row r="108" spans="1:30" x14ac:dyDescent="0.25">
      <c r="A108" s="94">
        <v>2054</v>
      </c>
      <c r="B108" s="139">
        <f>Bxl_Inflow!B109-Bxl_Outflow!B109+B107</f>
        <v>394711.59849999996</v>
      </c>
      <c r="C108" s="139">
        <f>Bxl_Inflow!C109-Bxl_Outflow!C109+C107</f>
        <v>13005.245382500001</v>
      </c>
      <c r="D108" s="136">
        <f>Bxl_Inflow!D109-Bxl_Outflow!D109+D107</f>
        <v>1024.3201999999999</v>
      </c>
      <c r="E108" s="136">
        <f>Bxl_Inflow!E109-Bxl_Outflow!E109+E107</f>
        <v>11980.925182499999</v>
      </c>
      <c r="F108" s="136">
        <f>Bxl_Inflow!F109-Bxl_Outflow!F109+F107</f>
        <v>882.53168399999993</v>
      </c>
      <c r="G108" s="136">
        <f>Bxl_Inflow!G109-Bxl_Outflow!G109+G107</f>
        <v>708.68518266666661</v>
      </c>
      <c r="H108" s="115"/>
      <c r="I108" s="131">
        <f>C108*Hypotheses!$D$19/1000</f>
        <v>7.8031472295000015E-2</v>
      </c>
      <c r="J108" s="131">
        <f>C108*Hypotheses!$D$20/1000</f>
        <v>0.15606294459000003</v>
      </c>
      <c r="K108" s="131">
        <f>C108*Hypotheses!$D$21/1000</f>
        <v>0.31212588918000006</v>
      </c>
      <c r="L108" s="115"/>
      <c r="M108" s="128">
        <f>C108*Hypotheses!$D$31*Hypotheses!H73</f>
        <v>780.31472295000003</v>
      </c>
      <c r="N108" s="128">
        <f>C108*Hypotheses!$D$31*Hypotheses!I73</f>
        <v>3901.3400002968656</v>
      </c>
      <c r="O108" s="128">
        <f>C108*Hypotheses!$D$31*Hypotheses!J73</f>
        <v>7802.6215969804462</v>
      </c>
      <c r="P108" s="126">
        <f>C108*Hypotheses!$D$30*Hypotheses!H73</f>
        <v>195.07868073750001</v>
      </c>
      <c r="Q108" s="126">
        <f>C108*Hypotheses!$D$30*Hypotheses!I73</f>
        <v>975.3350000742164</v>
      </c>
      <c r="R108" s="126">
        <f>C108*Hypotheses!$D$30*Hypotheses!J73</f>
        <v>1950.6553992451115</v>
      </c>
      <c r="S108" s="115"/>
      <c r="T108" s="131">
        <f t="shared" si="2"/>
        <v>2.2420051709549997</v>
      </c>
      <c r="U108" s="131">
        <f t="shared" si="2"/>
        <v>4.4840103419099995</v>
      </c>
      <c r="V108" s="131">
        <f t="shared" si="2"/>
        <v>8.968020683819999</v>
      </c>
      <c r="W108" s="115"/>
      <c r="X108" s="128">
        <f t="shared" si="3"/>
        <v>22420.051709549996</v>
      </c>
      <c r="Y108" s="128">
        <f t="shared" si="3"/>
        <v>82836.302940397974</v>
      </c>
      <c r="Z108" s="128">
        <f t="shared" si="3"/>
        <v>158356.61697895787</v>
      </c>
      <c r="AA108" s="126">
        <f t="shared" si="3"/>
        <v>5605.0129273874991</v>
      </c>
      <c r="AB108" s="126">
        <f t="shared" si="3"/>
        <v>20709.075735099494</v>
      </c>
      <c r="AC108" s="126">
        <f t="shared" si="3"/>
        <v>39589.154244739468</v>
      </c>
      <c r="AD108" s="115"/>
    </row>
    <row r="109" spans="1:30" x14ac:dyDescent="0.25">
      <c r="A109" s="94">
        <v>2055</v>
      </c>
      <c r="B109" s="139">
        <f>Bxl_Inflow!B110-Bxl_Outflow!B110+B108</f>
        <v>394711.59849999996</v>
      </c>
      <c r="C109" s="139">
        <f>Bxl_Inflow!C110-Bxl_Outflow!C110+C108</f>
        <v>13005.245382500001</v>
      </c>
      <c r="D109" s="136">
        <f>Bxl_Inflow!D110-Bxl_Outflow!D110+D108</f>
        <v>1024.3201999999999</v>
      </c>
      <c r="E109" s="136">
        <f>Bxl_Inflow!E110-Bxl_Outflow!E110+E108</f>
        <v>11980.925182499999</v>
      </c>
      <c r="F109" s="136">
        <f>Bxl_Inflow!F110-Bxl_Outflow!F110+F108</f>
        <v>882.53168399999993</v>
      </c>
      <c r="G109" s="136">
        <f>Bxl_Inflow!G110-Bxl_Outflow!G110+G108</f>
        <v>708.68518266666661</v>
      </c>
      <c r="H109" s="115"/>
      <c r="I109" s="131">
        <f>C109*Hypotheses!$D$19/1000</f>
        <v>7.8031472295000015E-2</v>
      </c>
      <c r="J109" s="131">
        <f>C109*Hypotheses!$D$20/1000</f>
        <v>0.15606294459000003</v>
      </c>
      <c r="K109" s="131">
        <f>C109*Hypotheses!$D$21/1000</f>
        <v>0.31212588918000006</v>
      </c>
      <c r="L109" s="115"/>
      <c r="M109" s="128">
        <f>C109*Hypotheses!$D$31*Hypotheses!H74</f>
        <v>780.31472295000003</v>
      </c>
      <c r="N109" s="128">
        <f>C109*Hypotheses!$D$31*Hypotheses!I74</f>
        <v>3901.431916248644</v>
      </c>
      <c r="O109" s="128">
        <f>C109*Hypotheses!$D$31*Hypotheses!J74</f>
        <v>7802.8284078719489</v>
      </c>
      <c r="P109" s="126">
        <f>C109*Hypotheses!$D$30*Hypotheses!H74</f>
        <v>195.07868073750001</v>
      </c>
      <c r="Q109" s="126">
        <f>C109*Hypotheses!$D$30*Hypotheses!I74</f>
        <v>975.35797906216101</v>
      </c>
      <c r="R109" s="126">
        <f>C109*Hypotheses!$D$30*Hypotheses!J74</f>
        <v>1950.7071019679872</v>
      </c>
      <c r="S109" s="115"/>
      <c r="T109" s="131">
        <f t="shared" si="2"/>
        <v>2.3200366432499999</v>
      </c>
      <c r="U109" s="131">
        <f t="shared" si="2"/>
        <v>4.6400732864999998</v>
      </c>
      <c r="V109" s="131">
        <f t="shared" si="2"/>
        <v>9.2801465729999997</v>
      </c>
      <c r="W109" s="115"/>
      <c r="X109" s="128">
        <f t="shared" si="3"/>
        <v>23200.366432499995</v>
      </c>
      <c r="Y109" s="128">
        <f t="shared" si="3"/>
        <v>86737.734856646624</v>
      </c>
      <c r="Z109" s="128">
        <f t="shared" si="3"/>
        <v>166159.44538682982</v>
      </c>
      <c r="AA109" s="126">
        <f t="shared" si="3"/>
        <v>5800.0916081249989</v>
      </c>
      <c r="AB109" s="126">
        <f t="shared" si="3"/>
        <v>21684.433714161656</v>
      </c>
      <c r="AC109" s="126">
        <f t="shared" si="3"/>
        <v>41539.861346707454</v>
      </c>
      <c r="AD109" s="115"/>
    </row>
    <row r="110" spans="1:30" x14ac:dyDescent="0.25">
      <c r="A110" s="94">
        <v>2056</v>
      </c>
      <c r="B110" s="139">
        <f>Bxl_Inflow!B111-Bxl_Outflow!B111+B109</f>
        <v>394711.59849999996</v>
      </c>
      <c r="C110" s="139">
        <f>Bxl_Inflow!C111-Bxl_Outflow!C111+C109</f>
        <v>13005.245382500001</v>
      </c>
      <c r="D110" s="136">
        <f>Bxl_Inflow!D111-Bxl_Outflow!D111+D109</f>
        <v>1024.3201999999999</v>
      </c>
      <c r="E110" s="136">
        <f>Bxl_Inflow!E111-Bxl_Outflow!E111+E109</f>
        <v>11980.925182499999</v>
      </c>
      <c r="F110" s="136">
        <f>Bxl_Inflow!F111-Bxl_Outflow!F111+F109</f>
        <v>882.53168399999993</v>
      </c>
      <c r="G110" s="136">
        <f>Bxl_Inflow!G111-Bxl_Outflow!G111+G109</f>
        <v>708.68518266666661</v>
      </c>
      <c r="H110" s="115"/>
      <c r="I110" s="131">
        <f>C110*Hypotheses!$D$19/1000</f>
        <v>7.8031472295000015E-2</v>
      </c>
      <c r="J110" s="131">
        <f>C110*Hypotheses!$D$20/1000</f>
        <v>0.15606294459000003</v>
      </c>
      <c r="K110" s="131">
        <f>C110*Hypotheses!$D$21/1000</f>
        <v>0.31212588918000006</v>
      </c>
      <c r="L110" s="115"/>
      <c r="M110" s="128">
        <f>C110*Hypotheses!$D$31*Hypotheses!H75</f>
        <v>780.31472295000003</v>
      </c>
      <c r="N110" s="128">
        <f>C110*Hypotheses!$D$31*Hypotheses!I75</f>
        <v>3901.4876687292663</v>
      </c>
      <c r="O110" s="128">
        <f>C110*Hypotheses!$D$31*Hypotheses!J75</f>
        <v>7802.9538509533504</v>
      </c>
      <c r="P110" s="126">
        <f>C110*Hypotheses!$D$30*Hypotheses!H75</f>
        <v>195.07868073750001</v>
      </c>
      <c r="Q110" s="126">
        <f>C110*Hypotheses!$D$30*Hypotheses!I75</f>
        <v>975.37191718231657</v>
      </c>
      <c r="R110" s="126">
        <f>C110*Hypotheses!$D$30*Hypotheses!J75</f>
        <v>1950.7384627383376</v>
      </c>
      <c r="S110" s="115"/>
      <c r="T110" s="131">
        <f t="shared" si="2"/>
        <v>2.3980681155450001</v>
      </c>
      <c r="U110" s="131">
        <f t="shared" si="2"/>
        <v>4.7961362310900002</v>
      </c>
      <c r="V110" s="131">
        <f t="shared" si="2"/>
        <v>9.5922724621800004</v>
      </c>
      <c r="W110" s="115"/>
      <c r="X110" s="128">
        <f t="shared" si="3"/>
        <v>23980.681155449995</v>
      </c>
      <c r="Y110" s="128">
        <f t="shared" si="3"/>
        <v>90639.222525375895</v>
      </c>
      <c r="Z110" s="128">
        <f t="shared" si="3"/>
        <v>173962.39923778316</v>
      </c>
      <c r="AA110" s="126">
        <f t="shared" si="3"/>
        <v>5995.1702888624986</v>
      </c>
      <c r="AB110" s="126">
        <f t="shared" si="3"/>
        <v>22659.805631343974</v>
      </c>
      <c r="AC110" s="126">
        <f t="shared" si="3"/>
        <v>43490.59980944579</v>
      </c>
      <c r="AD110" s="115"/>
    </row>
    <row r="111" spans="1:30" x14ac:dyDescent="0.25">
      <c r="A111" s="94">
        <v>2057</v>
      </c>
      <c r="B111" s="139">
        <f>Bxl_Inflow!B112-Bxl_Outflow!B112+B110</f>
        <v>394711.59849999996</v>
      </c>
      <c r="C111" s="139">
        <f>Bxl_Inflow!C112-Bxl_Outflow!C112+C110</f>
        <v>13005.245382500001</v>
      </c>
      <c r="D111" s="136">
        <f>Bxl_Inflow!D112-Bxl_Outflow!D112+D110</f>
        <v>1024.3201999999999</v>
      </c>
      <c r="E111" s="136">
        <f>Bxl_Inflow!E112-Bxl_Outflow!E112+E110</f>
        <v>11980.925182499999</v>
      </c>
      <c r="F111" s="136">
        <f>Bxl_Inflow!F112-Bxl_Outflow!F112+F110</f>
        <v>882.53168399999993</v>
      </c>
      <c r="G111" s="136">
        <f>Bxl_Inflow!G112-Bxl_Outflow!G112+G110</f>
        <v>708.68518266666661</v>
      </c>
      <c r="H111" s="115"/>
      <c r="I111" s="131">
        <f>C111*Hypotheses!$D$19/1000</f>
        <v>7.8031472295000015E-2</v>
      </c>
      <c r="J111" s="131">
        <f>C111*Hypotheses!$D$20/1000</f>
        <v>0.15606294459000003</v>
      </c>
      <c r="K111" s="131">
        <f>C111*Hypotheses!$D$21/1000</f>
        <v>0.31212588918000006</v>
      </c>
      <c r="L111" s="115"/>
      <c r="M111" s="128">
        <f>C111*Hypotheses!$D$31*Hypotheses!H76</f>
        <v>780.31472295000003</v>
      </c>
      <c r="N111" s="128">
        <f>C111*Hypotheses!$D$31*Hypotheses!I76</f>
        <v>3901.5214852885515</v>
      </c>
      <c r="O111" s="128">
        <f>C111*Hypotheses!$D$31*Hypotheses!J76</f>
        <v>7803.029938211741</v>
      </c>
      <c r="P111" s="126">
        <f>C111*Hypotheses!$D$30*Hypotheses!H76</f>
        <v>195.07868073750001</v>
      </c>
      <c r="Q111" s="126">
        <f>C111*Hypotheses!$D$30*Hypotheses!I76</f>
        <v>975.38037132213788</v>
      </c>
      <c r="R111" s="126">
        <f>C111*Hypotheses!$D$30*Hypotheses!J76</f>
        <v>1950.7574845529352</v>
      </c>
      <c r="S111" s="115"/>
      <c r="T111" s="131">
        <f t="shared" si="2"/>
        <v>2.4760995878400003</v>
      </c>
      <c r="U111" s="131">
        <f t="shared" si="2"/>
        <v>4.9521991756800006</v>
      </c>
      <c r="V111" s="131">
        <f t="shared" si="2"/>
        <v>9.9043983513600011</v>
      </c>
      <c r="W111" s="115"/>
      <c r="X111" s="128">
        <f t="shared" si="3"/>
        <v>24760.995878399994</v>
      </c>
      <c r="Y111" s="128">
        <f t="shared" si="3"/>
        <v>94540.74401066445</v>
      </c>
      <c r="Z111" s="128">
        <f t="shared" si="3"/>
        <v>181765.42917599491</v>
      </c>
      <c r="AA111" s="126">
        <f t="shared" si="3"/>
        <v>6190.2489695999984</v>
      </c>
      <c r="AB111" s="126">
        <f t="shared" si="3"/>
        <v>23635.186002666112</v>
      </c>
      <c r="AC111" s="126">
        <f t="shared" si="3"/>
        <v>45441.357293998728</v>
      </c>
      <c r="AD111" s="115"/>
    </row>
    <row r="112" spans="1:30" x14ac:dyDescent="0.25">
      <c r="A112" s="94">
        <v>2058</v>
      </c>
      <c r="B112" s="139">
        <f>Bxl_Inflow!B113-Bxl_Outflow!B113+B111</f>
        <v>394711.59849999996</v>
      </c>
      <c r="C112" s="139">
        <f>Bxl_Inflow!C113-Bxl_Outflow!C113+C111</f>
        <v>13005.245382500001</v>
      </c>
      <c r="D112" s="136">
        <f>Bxl_Inflow!D113-Bxl_Outflow!D113+D111</f>
        <v>1024.3201999999999</v>
      </c>
      <c r="E112" s="136">
        <f>Bxl_Inflow!E113-Bxl_Outflow!E113+E111</f>
        <v>11980.925182499999</v>
      </c>
      <c r="F112" s="136">
        <f>Bxl_Inflow!F113-Bxl_Outflow!F113+F111</f>
        <v>882.53168399999993</v>
      </c>
      <c r="G112" s="136">
        <f>Bxl_Inflow!G113-Bxl_Outflow!G113+G111</f>
        <v>708.68518266666661</v>
      </c>
      <c r="H112" s="115"/>
      <c r="I112" s="131">
        <f>C112*Hypotheses!$D$19/1000</f>
        <v>7.8031472295000015E-2</v>
      </c>
      <c r="J112" s="131">
        <f>C112*Hypotheses!$D$20/1000</f>
        <v>0.15606294459000003</v>
      </c>
      <c r="K112" s="131">
        <f>C112*Hypotheses!$D$21/1000</f>
        <v>0.31212588918000006</v>
      </c>
      <c r="L112" s="115"/>
      <c r="M112" s="128">
        <f>C112*Hypotheses!$D$31*Hypotheses!H77</f>
        <v>780.31472295000003</v>
      </c>
      <c r="N112" s="128">
        <f>C112*Hypotheses!$D$31*Hypotheses!I77</f>
        <v>3901.5419964255775</v>
      </c>
      <c r="O112" s="128">
        <f>C112*Hypotheses!$D$31*Hypotheses!J77</f>
        <v>7803.0760882700488</v>
      </c>
      <c r="P112" s="126">
        <f>C112*Hypotheses!$D$30*Hypotheses!H77</f>
        <v>195.07868073750001</v>
      </c>
      <c r="Q112" s="126">
        <f>C112*Hypotheses!$D$30*Hypotheses!I77</f>
        <v>975.38549910639438</v>
      </c>
      <c r="R112" s="126">
        <f>C112*Hypotheses!$D$30*Hypotheses!J77</f>
        <v>1950.7690220675122</v>
      </c>
      <c r="S112" s="115"/>
      <c r="T112" s="131">
        <f t="shared" ref="T112:V124" si="4">I112+T111</f>
        <v>2.5541310601350005</v>
      </c>
      <c r="U112" s="131">
        <f t="shared" si="4"/>
        <v>5.1082621202700009</v>
      </c>
      <c r="V112" s="131">
        <f t="shared" si="4"/>
        <v>10.216524240540002</v>
      </c>
      <c r="W112" s="115"/>
      <c r="X112" s="128">
        <f t="shared" ref="X112:AC124" si="5">M112+X111</f>
        <v>25541.310601349993</v>
      </c>
      <c r="Y112" s="128">
        <f t="shared" si="5"/>
        <v>98442.286007090021</v>
      </c>
      <c r="Z112" s="128">
        <f t="shared" si="5"/>
        <v>189568.50526426497</v>
      </c>
      <c r="AA112" s="126">
        <f t="shared" si="5"/>
        <v>6385.3276503374982</v>
      </c>
      <c r="AB112" s="126">
        <f t="shared" si="5"/>
        <v>24610.571501772505</v>
      </c>
      <c r="AC112" s="126">
        <f t="shared" si="5"/>
        <v>47392.126316066242</v>
      </c>
      <c r="AD112" s="115"/>
    </row>
    <row r="113" spans="1:30" x14ac:dyDescent="0.25">
      <c r="A113" s="94">
        <v>2059</v>
      </c>
      <c r="B113" s="139">
        <f>Bxl_Inflow!B114-Bxl_Outflow!B114+B112</f>
        <v>394711.59849999996</v>
      </c>
      <c r="C113" s="139">
        <f>Bxl_Inflow!C114-Bxl_Outflow!C114+C112</f>
        <v>13005.245382500001</v>
      </c>
      <c r="D113" s="136">
        <f>Bxl_Inflow!D114-Bxl_Outflow!D114+D112</f>
        <v>1024.3201999999999</v>
      </c>
      <c r="E113" s="136">
        <f>Bxl_Inflow!E114-Bxl_Outflow!E114+E112</f>
        <v>11980.925182499999</v>
      </c>
      <c r="F113" s="136">
        <f>Bxl_Inflow!F114-Bxl_Outflow!F114+F112</f>
        <v>882.53168399999993</v>
      </c>
      <c r="G113" s="136">
        <f>Bxl_Inflow!G114-Bxl_Outflow!G114+G112</f>
        <v>708.68518266666661</v>
      </c>
      <c r="H113" s="115"/>
      <c r="I113" s="131">
        <f>C113*Hypotheses!$D$19/1000</f>
        <v>7.8031472295000015E-2</v>
      </c>
      <c r="J113" s="131">
        <f>C113*Hypotheses!$D$20/1000</f>
        <v>0.15606294459000003</v>
      </c>
      <c r="K113" s="131">
        <f>C113*Hypotheses!$D$21/1000</f>
        <v>0.31212588918000006</v>
      </c>
      <c r="L113" s="115"/>
      <c r="M113" s="128">
        <f>C113*Hypotheses!$D$31*Hypotheses!H78</f>
        <v>780.31472295000003</v>
      </c>
      <c r="N113" s="128">
        <f>C113*Hypotheses!$D$31*Hypotheses!I78</f>
        <v>3901.5544371903902</v>
      </c>
      <c r="O113" s="128">
        <f>C113*Hypotheses!$D$31*Hypotheses!J78</f>
        <v>7803.1040799908778</v>
      </c>
      <c r="P113" s="126">
        <f>C113*Hypotheses!$D$30*Hypotheses!H78</f>
        <v>195.07868073750001</v>
      </c>
      <c r="Q113" s="126">
        <f>C113*Hypotheses!$D$30*Hypotheses!I78</f>
        <v>975.38860929759755</v>
      </c>
      <c r="R113" s="126">
        <f>C113*Hypotheses!$D$30*Hypotheses!J78</f>
        <v>1950.7760199977195</v>
      </c>
      <c r="S113" s="115"/>
      <c r="T113" s="131">
        <f t="shared" si="4"/>
        <v>2.6321625324300006</v>
      </c>
      <c r="U113" s="131">
        <f t="shared" si="4"/>
        <v>5.2643250648600013</v>
      </c>
      <c r="V113" s="131">
        <f t="shared" si="4"/>
        <v>10.528650129720003</v>
      </c>
      <c r="W113" s="115"/>
      <c r="X113" s="128">
        <f t="shared" si="5"/>
        <v>26321.625324299992</v>
      </c>
      <c r="Y113" s="128">
        <f t="shared" si="5"/>
        <v>102343.84044428042</v>
      </c>
      <c r="Z113" s="128">
        <f t="shared" si="5"/>
        <v>197371.60934425585</v>
      </c>
      <c r="AA113" s="126">
        <f t="shared" si="5"/>
        <v>6580.406331074998</v>
      </c>
      <c r="AB113" s="126">
        <f t="shared" si="5"/>
        <v>25585.960111070104</v>
      </c>
      <c r="AC113" s="126">
        <f t="shared" si="5"/>
        <v>49342.902336063962</v>
      </c>
      <c r="AD113" s="115"/>
    </row>
    <row r="114" spans="1:30" x14ac:dyDescent="0.25">
      <c r="A114" s="94">
        <v>2060</v>
      </c>
      <c r="B114" s="139">
        <f>Bxl_Inflow!B115-Bxl_Outflow!B115+B113</f>
        <v>369781.59849999996</v>
      </c>
      <c r="C114" s="139">
        <f>Bxl_Inflow!C115-Bxl_Outflow!C115+C113</f>
        <v>13005.245382500001</v>
      </c>
      <c r="D114" s="136">
        <f>Bxl_Inflow!D115-Bxl_Outflow!D115+D113</f>
        <v>1024.3201999999999</v>
      </c>
      <c r="E114" s="136">
        <f>Bxl_Inflow!E115-Bxl_Outflow!E115+E113</f>
        <v>11980.925182499999</v>
      </c>
      <c r="F114" s="136">
        <f>Bxl_Inflow!F115-Bxl_Outflow!F115+F113</f>
        <v>882.53168399999993</v>
      </c>
      <c r="G114" s="136">
        <f>Bxl_Inflow!G115-Bxl_Outflow!G115+G113</f>
        <v>708.68518266666661</v>
      </c>
      <c r="H114" s="115"/>
      <c r="I114" s="131">
        <f>C114*Hypotheses!$D$19/1000</f>
        <v>7.8031472295000015E-2</v>
      </c>
      <c r="J114" s="131">
        <f>C114*Hypotheses!$D$20/1000</f>
        <v>0.15606294459000003</v>
      </c>
      <c r="K114" s="131">
        <f>C114*Hypotheses!$D$21/1000</f>
        <v>0.31212588918000006</v>
      </c>
      <c r="L114" s="115"/>
      <c r="M114" s="128">
        <f>C114*Hypotheses!$D$31*Hypotheses!H79</f>
        <v>780.31472295000003</v>
      </c>
      <c r="N114" s="128">
        <f>C114*Hypotheses!$D$31*Hypotheses!I79</f>
        <v>3901.5619829439979</v>
      </c>
      <c r="O114" s="128">
        <f>C114*Hypotheses!$D$31*Hypotheses!J79</f>
        <v>7803.1210579364952</v>
      </c>
      <c r="P114" s="126">
        <f>C114*Hypotheses!$D$30*Hypotheses!H79</f>
        <v>195.07868073750001</v>
      </c>
      <c r="Q114" s="126">
        <f>C114*Hypotheses!$D$30*Hypotheses!I79</f>
        <v>975.39049573599948</v>
      </c>
      <c r="R114" s="126">
        <f>C114*Hypotheses!$D$30*Hypotheses!J79</f>
        <v>1950.7802644841238</v>
      </c>
      <c r="S114" s="115"/>
      <c r="T114" s="131">
        <f t="shared" si="4"/>
        <v>2.7101940047250008</v>
      </c>
      <c r="U114" s="131">
        <f t="shared" si="4"/>
        <v>5.4203880094500017</v>
      </c>
      <c r="V114" s="131">
        <f t="shared" si="4"/>
        <v>10.840776018900003</v>
      </c>
      <c r="W114" s="115"/>
      <c r="X114" s="128">
        <f t="shared" si="5"/>
        <v>27101.940047249991</v>
      </c>
      <c r="Y114" s="128">
        <f t="shared" si="5"/>
        <v>106245.40242722441</v>
      </c>
      <c r="Z114" s="128">
        <f t="shared" si="5"/>
        <v>205174.73040219233</v>
      </c>
      <c r="AA114" s="126">
        <f t="shared" si="5"/>
        <v>6775.4850118124978</v>
      </c>
      <c r="AB114" s="126">
        <f t="shared" si="5"/>
        <v>26561.350606806103</v>
      </c>
      <c r="AC114" s="126">
        <f t="shared" si="5"/>
        <v>51293.682600548083</v>
      </c>
      <c r="AD114" s="115"/>
    </row>
    <row r="115" spans="1:30" x14ac:dyDescent="0.25">
      <c r="A115" s="94">
        <v>2061</v>
      </c>
      <c r="B115" s="139">
        <f>Bxl_Inflow!B116-Bxl_Outflow!B116+B114</f>
        <v>359701.59849999996</v>
      </c>
      <c r="C115" s="139">
        <f>Bxl_Inflow!C116-Bxl_Outflow!C116+C114</f>
        <v>13005.245382500001</v>
      </c>
      <c r="D115" s="136">
        <f>Bxl_Inflow!D116-Bxl_Outflow!D116+D114</f>
        <v>1024.3201999999999</v>
      </c>
      <c r="E115" s="136">
        <f>Bxl_Inflow!E116-Bxl_Outflow!E116+E114</f>
        <v>11980.925182499999</v>
      </c>
      <c r="F115" s="136">
        <f>Bxl_Inflow!F116-Bxl_Outflow!F116+F114</f>
        <v>882.53168399999993</v>
      </c>
      <c r="G115" s="136">
        <f>Bxl_Inflow!G116-Bxl_Outflow!G116+G114</f>
        <v>708.68518266666661</v>
      </c>
      <c r="H115" s="115"/>
      <c r="I115" s="131">
        <f>C115*Hypotheses!$D$19/1000</f>
        <v>7.8031472295000015E-2</v>
      </c>
      <c r="J115" s="131">
        <f>C115*Hypotheses!$D$20/1000</f>
        <v>0.15606294459000003</v>
      </c>
      <c r="K115" s="131">
        <f>C115*Hypotheses!$D$21/1000</f>
        <v>0.31212588918000006</v>
      </c>
      <c r="L115" s="115"/>
      <c r="M115" s="128">
        <f>C115*Hypotheses!$D$31*Hypotheses!H80</f>
        <v>780.31472295000003</v>
      </c>
      <c r="N115" s="128">
        <f>C115*Hypotheses!$D$31*Hypotheses!I80</f>
        <v>3901.5665596926865</v>
      </c>
      <c r="O115" s="128">
        <f>C115*Hypotheses!$D$31*Hypotheses!J80</f>
        <v>7803.1313556210453</v>
      </c>
      <c r="P115" s="126">
        <f>C115*Hypotheses!$D$30*Hypotheses!H80</f>
        <v>195.07868073750001</v>
      </c>
      <c r="Q115" s="126">
        <f>C115*Hypotheses!$D$30*Hypotheses!I80</f>
        <v>975.39163992317162</v>
      </c>
      <c r="R115" s="126">
        <f>C115*Hypotheses!$D$30*Hypotheses!J80</f>
        <v>1950.7828389052613</v>
      </c>
      <c r="S115" s="115"/>
      <c r="T115" s="131">
        <f t="shared" si="4"/>
        <v>2.788225477020001</v>
      </c>
      <c r="U115" s="131">
        <f t="shared" si="4"/>
        <v>5.576450954040002</v>
      </c>
      <c r="V115" s="131">
        <f t="shared" si="4"/>
        <v>11.152901908080004</v>
      </c>
      <c r="W115" s="115"/>
      <c r="X115" s="128">
        <f t="shared" si="5"/>
        <v>27882.25477019999</v>
      </c>
      <c r="Y115" s="128">
        <f t="shared" si="5"/>
        <v>110146.9689869171</v>
      </c>
      <c r="Z115" s="128">
        <f t="shared" si="5"/>
        <v>212977.86175781337</v>
      </c>
      <c r="AA115" s="126">
        <f t="shared" si="5"/>
        <v>6970.5636925499975</v>
      </c>
      <c r="AB115" s="126">
        <f t="shared" si="5"/>
        <v>27536.742246729274</v>
      </c>
      <c r="AC115" s="126">
        <f t="shared" si="5"/>
        <v>53244.465439453343</v>
      </c>
      <c r="AD115" s="115"/>
    </row>
    <row r="116" spans="1:30" x14ac:dyDescent="0.25">
      <c r="A116" s="94">
        <v>2062</v>
      </c>
      <c r="B116" s="139">
        <f>Bxl_Inflow!B117-Bxl_Outflow!B117+B115</f>
        <v>346419.09849999996</v>
      </c>
      <c r="C116" s="139">
        <f>Bxl_Inflow!C117-Bxl_Outflow!C117+C115</f>
        <v>13005.245382500001</v>
      </c>
      <c r="D116" s="136">
        <f>Bxl_Inflow!D117-Bxl_Outflow!D117+D115</f>
        <v>1024.3201999999999</v>
      </c>
      <c r="E116" s="136">
        <f>Bxl_Inflow!E117-Bxl_Outflow!E117+E115</f>
        <v>11980.925182499999</v>
      </c>
      <c r="F116" s="136">
        <f>Bxl_Inflow!F117-Bxl_Outflow!F117+F115</f>
        <v>878.89808399999993</v>
      </c>
      <c r="G116" s="136">
        <f>Bxl_Inflow!G117-Bxl_Outflow!G117+G115</f>
        <v>705.0515826666666</v>
      </c>
      <c r="H116" s="115"/>
      <c r="I116" s="131">
        <f>C116*Hypotheses!$D$19/1000</f>
        <v>7.8031472295000015E-2</v>
      </c>
      <c r="J116" s="131">
        <f>C116*Hypotheses!$D$20/1000</f>
        <v>0.15606294459000003</v>
      </c>
      <c r="K116" s="131">
        <f>C116*Hypotheses!$D$21/1000</f>
        <v>0.31212588918000006</v>
      </c>
      <c r="L116" s="115"/>
      <c r="M116" s="128">
        <f>C116*Hypotheses!$D$31*Hypotheses!H81</f>
        <v>780.31472295000003</v>
      </c>
      <c r="N116" s="128">
        <f>C116*Hypotheses!$D$31*Hypotheses!I81</f>
        <v>3901.5693356376278</v>
      </c>
      <c r="O116" s="128">
        <f>C116*Hypotheses!$D$31*Hypotheses!J81</f>
        <v>7803.137601497162</v>
      </c>
      <c r="P116" s="126">
        <f>C116*Hypotheses!$D$30*Hypotheses!H81</f>
        <v>195.07868073750001</v>
      </c>
      <c r="Q116" s="126">
        <f>C116*Hypotheses!$D$30*Hypotheses!I81</f>
        <v>975.39233390940694</v>
      </c>
      <c r="R116" s="126">
        <f>C116*Hypotheses!$D$30*Hypotheses!J81</f>
        <v>1950.7844003742905</v>
      </c>
      <c r="S116" s="115"/>
      <c r="T116" s="131">
        <f t="shared" si="4"/>
        <v>2.8662569493150012</v>
      </c>
      <c r="U116" s="131">
        <f t="shared" si="4"/>
        <v>5.7325138986300024</v>
      </c>
      <c r="V116" s="131">
        <f t="shared" si="4"/>
        <v>11.465027797260005</v>
      </c>
      <c r="W116" s="115"/>
      <c r="X116" s="128">
        <f t="shared" si="5"/>
        <v>28662.569493149989</v>
      </c>
      <c r="Y116" s="128">
        <f t="shared" si="5"/>
        <v>114048.53832255473</v>
      </c>
      <c r="Z116" s="128">
        <f t="shared" si="5"/>
        <v>220780.99935931055</v>
      </c>
      <c r="AA116" s="126">
        <f t="shared" si="5"/>
        <v>7165.6423732874973</v>
      </c>
      <c r="AB116" s="126">
        <f t="shared" si="5"/>
        <v>28512.134580638682</v>
      </c>
      <c r="AC116" s="126">
        <f t="shared" si="5"/>
        <v>55195.249839827637</v>
      </c>
      <c r="AD116" s="115"/>
    </row>
    <row r="117" spans="1:30" x14ac:dyDescent="0.25">
      <c r="A117" s="94">
        <v>2063</v>
      </c>
      <c r="B117" s="139">
        <f>Bxl_Inflow!B118-Bxl_Outflow!B118+B116</f>
        <v>321419.09849999996</v>
      </c>
      <c r="C117" s="139">
        <f>Bxl_Inflow!C118-Bxl_Outflow!C118+C116</f>
        <v>11765.245382500001</v>
      </c>
      <c r="D117" s="136">
        <f>Bxl_Inflow!D118-Bxl_Outflow!D118+D116</f>
        <v>1024.3201999999999</v>
      </c>
      <c r="E117" s="136">
        <f>Bxl_Inflow!E118-Bxl_Outflow!E118+E116</f>
        <v>11980.925182499999</v>
      </c>
      <c r="F117" s="136">
        <f>Bxl_Inflow!F118-Bxl_Outflow!F118+F116</f>
        <v>878.89808399999993</v>
      </c>
      <c r="G117" s="136">
        <f>Bxl_Inflow!G118-Bxl_Outflow!G118+G116</f>
        <v>705.0515826666666</v>
      </c>
      <c r="H117" s="115"/>
      <c r="I117" s="131">
        <f>C117*Hypotheses!$D$19/1000</f>
        <v>7.0591472294999999E-2</v>
      </c>
      <c r="J117" s="131">
        <f>C117*Hypotheses!$D$20/1000</f>
        <v>0.14118294459</v>
      </c>
      <c r="K117" s="131">
        <f>C117*Hypotheses!$D$21/1000</f>
        <v>0.28236588918</v>
      </c>
      <c r="L117" s="115"/>
      <c r="M117" s="128">
        <f>C117*Hypotheses!$D$31*Hypotheses!H82</f>
        <v>705.91472295000005</v>
      </c>
      <c r="N117" s="128">
        <f>C117*Hypotheses!$D$31*Hypotheses!I82</f>
        <v>3529.5712667984908</v>
      </c>
      <c r="O117" s="128">
        <f>C117*Hypotheses!$D$31*Hypotheses!J82</f>
        <v>7059.1419466091038</v>
      </c>
      <c r="P117" s="126">
        <f>C117*Hypotheses!$D$30*Hypotheses!H82</f>
        <v>176.47868073750001</v>
      </c>
      <c r="Q117" s="126">
        <f>C117*Hypotheses!$D$30*Hypotheses!I82</f>
        <v>882.3928166996227</v>
      </c>
      <c r="R117" s="126">
        <f>C117*Hypotheses!$D$30*Hypotheses!J82</f>
        <v>1764.7854866522759</v>
      </c>
      <c r="S117" s="115"/>
      <c r="T117" s="131">
        <f t="shared" si="4"/>
        <v>2.936848421610001</v>
      </c>
      <c r="U117" s="131">
        <f t="shared" si="4"/>
        <v>5.8736968432200021</v>
      </c>
      <c r="V117" s="131">
        <f t="shared" si="4"/>
        <v>11.747393686440004</v>
      </c>
      <c r="W117" s="115"/>
      <c r="X117" s="128">
        <f t="shared" si="5"/>
        <v>29368.484216099991</v>
      </c>
      <c r="Y117" s="128">
        <f t="shared" si="5"/>
        <v>117578.10958935322</v>
      </c>
      <c r="Z117" s="128">
        <f t="shared" si="5"/>
        <v>227840.14130591965</v>
      </c>
      <c r="AA117" s="126">
        <f t="shared" si="5"/>
        <v>7342.1210540249976</v>
      </c>
      <c r="AB117" s="126">
        <f t="shared" si="5"/>
        <v>29394.527397338305</v>
      </c>
      <c r="AC117" s="126">
        <f t="shared" si="5"/>
        <v>56960.035326479912</v>
      </c>
      <c r="AD117" s="115"/>
    </row>
    <row r="118" spans="1:30" x14ac:dyDescent="0.25">
      <c r="A118" s="94">
        <v>2064</v>
      </c>
      <c r="B118" s="139">
        <f>Bxl_Inflow!B119-Bxl_Outflow!B119+B117</f>
        <v>321419.09849999996</v>
      </c>
      <c r="C118" s="139">
        <f>Bxl_Inflow!C119-Bxl_Outflow!C119+C117</f>
        <v>11765.245382500001</v>
      </c>
      <c r="D118" s="136">
        <f>Bxl_Inflow!D119-Bxl_Outflow!D119+D117</f>
        <v>1024.3201999999999</v>
      </c>
      <c r="E118" s="136">
        <f>Bxl_Inflow!E119-Bxl_Outflow!E119+E117</f>
        <v>11980.925182499999</v>
      </c>
      <c r="F118" s="136">
        <f>Bxl_Inflow!F119-Bxl_Outflow!F119+F117</f>
        <v>878.89808399999993</v>
      </c>
      <c r="G118" s="136">
        <f>Bxl_Inflow!G119-Bxl_Outflow!G119+G117</f>
        <v>705.0515826666666</v>
      </c>
      <c r="H118" s="115"/>
      <c r="I118" s="131">
        <f>C118*Hypotheses!$D$19/1000</f>
        <v>7.0591472294999999E-2</v>
      </c>
      <c r="J118" s="131">
        <f>C118*Hypotheses!$D$20/1000</f>
        <v>0.14118294459</v>
      </c>
      <c r="K118" s="131">
        <f>C118*Hypotheses!$D$21/1000</f>
        <v>0.28236588918</v>
      </c>
      <c r="L118" s="115"/>
      <c r="M118" s="128">
        <f>C118*Hypotheses!$D$31*Hypotheses!H83</f>
        <v>705.91472295000005</v>
      </c>
      <c r="N118" s="128">
        <f>C118*Hypotheses!$D$31*Hypotheses!I83</f>
        <v>3529.5721906449571</v>
      </c>
      <c r="O118" s="128">
        <f>C118*Hypotheses!$D$31*Hypotheses!J83</f>
        <v>7059.1440252636521</v>
      </c>
      <c r="P118" s="126">
        <f>C118*Hypotheses!$D$30*Hypotheses!H83</f>
        <v>176.47868073750001</v>
      </c>
      <c r="Q118" s="126">
        <f>C118*Hypotheses!$D$30*Hypotheses!I83</f>
        <v>882.39304766123928</v>
      </c>
      <c r="R118" s="126">
        <f>C118*Hypotheses!$D$30*Hypotheses!J83</f>
        <v>1764.786006315913</v>
      </c>
      <c r="S118" s="115"/>
      <c r="T118" s="131">
        <f t="shared" si="4"/>
        <v>3.0074398939050009</v>
      </c>
      <c r="U118" s="131">
        <f t="shared" si="4"/>
        <v>6.0148797878100018</v>
      </c>
      <c r="V118" s="131">
        <f t="shared" si="4"/>
        <v>12.029759575620004</v>
      </c>
      <c r="W118" s="115"/>
      <c r="X118" s="128">
        <f t="shared" si="5"/>
        <v>30074.398939049992</v>
      </c>
      <c r="Y118" s="128">
        <f t="shared" si="5"/>
        <v>121107.68177999818</v>
      </c>
      <c r="Z118" s="128">
        <f t="shared" si="5"/>
        <v>234899.28533118329</v>
      </c>
      <c r="AA118" s="126">
        <f t="shared" si="5"/>
        <v>7518.599734762498</v>
      </c>
      <c r="AB118" s="126">
        <f t="shared" si="5"/>
        <v>30276.920444999545</v>
      </c>
      <c r="AC118" s="126">
        <f t="shared" si="5"/>
        <v>58724.821332795822</v>
      </c>
      <c r="AD118" s="115"/>
    </row>
    <row r="119" spans="1:30" x14ac:dyDescent="0.25">
      <c r="A119" s="94">
        <v>2065</v>
      </c>
      <c r="B119" s="139">
        <f>Bxl_Inflow!B120-Bxl_Outflow!B120+B118</f>
        <v>317593.41099999996</v>
      </c>
      <c r="C119" s="139">
        <f>Bxl_Inflow!C120-Bxl_Outflow!C120+C118</f>
        <v>12006.324445000002</v>
      </c>
      <c r="D119" s="136">
        <f>Bxl_Inflow!D120-Bxl_Outflow!D120+D118</f>
        <v>1024.3201999999999</v>
      </c>
      <c r="E119" s="136">
        <f>Bxl_Inflow!E120-Bxl_Outflow!E120+E118</f>
        <v>12222.004245</v>
      </c>
      <c r="F119" s="136">
        <f>Bxl_Inflow!F120-Bxl_Outflow!F120+F118</f>
        <v>891.30228399999987</v>
      </c>
      <c r="G119" s="136">
        <f>Bxl_Inflow!G120-Bxl_Outflow!G120+G118</f>
        <v>717.45578266666655</v>
      </c>
      <c r="H119" s="115"/>
      <c r="I119" s="131">
        <f>C119*Hypotheses!$D$19/1000</f>
        <v>7.2037946670000005E-2</v>
      </c>
      <c r="J119" s="131">
        <f>C119*Hypotheses!$D$20/1000</f>
        <v>0.14407589334000001</v>
      </c>
      <c r="K119" s="131">
        <f>C119*Hypotheses!$D$21/1000</f>
        <v>0.28815178668000002</v>
      </c>
      <c r="L119" s="115"/>
      <c r="M119" s="128">
        <f>C119*Hypotheses!$D$31*Hypotheses!H84</f>
        <v>720.37946670000019</v>
      </c>
      <c r="N119" s="128">
        <f>C119*Hypotheses!$D$31*Hypotheses!I84</f>
        <v>3601.8964520372683</v>
      </c>
      <c r="O119" s="128">
        <f>C119*Hypotheses!$D$31*Hypotheses!J84</f>
        <v>7203.7926837088526</v>
      </c>
      <c r="P119" s="126">
        <f>C119*Hypotheses!$D$30*Hypotheses!H84</f>
        <v>180.09486667500005</v>
      </c>
      <c r="Q119" s="126">
        <f>C119*Hypotheses!$D$30*Hypotheses!I84</f>
        <v>900.47411300931708</v>
      </c>
      <c r="R119" s="126">
        <f>C119*Hypotheses!$D$30*Hypotheses!J84</f>
        <v>1800.9481709272131</v>
      </c>
      <c r="S119" s="115"/>
      <c r="T119" s="131">
        <f t="shared" si="4"/>
        <v>3.079477840575001</v>
      </c>
      <c r="U119" s="131">
        <f t="shared" si="4"/>
        <v>6.1589556811500019</v>
      </c>
      <c r="V119" s="131">
        <f t="shared" si="4"/>
        <v>12.317911362300004</v>
      </c>
      <c r="W119" s="115"/>
      <c r="X119" s="128">
        <f t="shared" si="5"/>
        <v>30794.778405749992</v>
      </c>
      <c r="Y119" s="128">
        <f t="shared" si="5"/>
        <v>124709.57823203545</v>
      </c>
      <c r="Z119" s="128">
        <f t="shared" si="5"/>
        <v>242103.07801489215</v>
      </c>
      <c r="AA119" s="126">
        <f t="shared" si="5"/>
        <v>7698.694601437498</v>
      </c>
      <c r="AB119" s="126">
        <f t="shared" si="5"/>
        <v>31177.394558008862</v>
      </c>
      <c r="AC119" s="126">
        <f t="shared" si="5"/>
        <v>60525.769503723037</v>
      </c>
      <c r="AD119" s="115"/>
    </row>
    <row r="120" spans="1:30" x14ac:dyDescent="0.25">
      <c r="A120" s="94">
        <v>2066</v>
      </c>
      <c r="B120" s="139">
        <f>Bxl_Inflow!B121-Bxl_Outflow!B121+B119</f>
        <v>317593.41099999996</v>
      </c>
      <c r="C120" s="139">
        <f>Bxl_Inflow!C121-Bxl_Outflow!C121+C119</f>
        <v>12006.324445000002</v>
      </c>
      <c r="D120" s="136">
        <f>Bxl_Inflow!D121-Bxl_Outflow!D121+D119</f>
        <v>1024.3201999999999</v>
      </c>
      <c r="E120" s="136">
        <f>Bxl_Inflow!E121-Bxl_Outflow!E121+E119</f>
        <v>12222.004245</v>
      </c>
      <c r="F120" s="136">
        <f>Bxl_Inflow!F121-Bxl_Outflow!F121+F119</f>
        <v>891.30228399999987</v>
      </c>
      <c r="G120" s="136">
        <f>Bxl_Inflow!G121-Bxl_Outflow!G121+G119</f>
        <v>717.45578266666655</v>
      </c>
      <c r="H120" s="115"/>
      <c r="I120" s="131">
        <f>C120*Hypotheses!$D$19/1000</f>
        <v>7.2037946670000005E-2</v>
      </c>
      <c r="J120" s="131">
        <f>C120*Hypotheses!$D$20/1000</f>
        <v>0.14407589334000001</v>
      </c>
      <c r="K120" s="131">
        <f>C120*Hypotheses!$D$21/1000</f>
        <v>0.28815178668000002</v>
      </c>
      <c r="L120" s="115"/>
      <c r="M120" s="128">
        <f>C120*Hypotheses!$D$31*Hypotheses!H85</f>
        <v>720.37946670000019</v>
      </c>
      <c r="N120" s="128">
        <f>C120*Hypotheses!$D$31*Hypotheses!I85</f>
        <v>3601.8967988657637</v>
      </c>
      <c r="O120" s="128">
        <f>C120*Hypotheses!$D$31*Hypotheses!J85</f>
        <v>7203.7934640729682</v>
      </c>
      <c r="P120" s="126">
        <f>C120*Hypotheses!$D$30*Hypotheses!H85</f>
        <v>180.09486667500005</v>
      </c>
      <c r="Q120" s="126">
        <f>C120*Hypotheses!$D$30*Hypotheses!I85</f>
        <v>900.47419971644092</v>
      </c>
      <c r="R120" s="126">
        <f>C120*Hypotheses!$D$30*Hypotheses!J85</f>
        <v>1800.948366018242</v>
      </c>
      <c r="S120" s="115"/>
      <c r="T120" s="131">
        <f t="shared" si="4"/>
        <v>3.151515787245001</v>
      </c>
      <c r="U120" s="131">
        <f t="shared" si="4"/>
        <v>6.3030315744900021</v>
      </c>
      <c r="V120" s="131">
        <f t="shared" si="4"/>
        <v>12.606063148980004</v>
      </c>
      <c r="W120" s="115"/>
      <c r="X120" s="128">
        <f t="shared" si="5"/>
        <v>31515.157872449992</v>
      </c>
      <c r="Y120" s="128">
        <f t="shared" si="5"/>
        <v>128311.47503090122</v>
      </c>
      <c r="Z120" s="128">
        <f t="shared" si="5"/>
        <v>249306.87147896513</v>
      </c>
      <c r="AA120" s="126">
        <f t="shared" si="5"/>
        <v>7878.7894681124981</v>
      </c>
      <c r="AB120" s="126">
        <f t="shared" si="5"/>
        <v>32077.868757725304</v>
      </c>
      <c r="AC120" s="126">
        <f t="shared" si="5"/>
        <v>62326.717869741282</v>
      </c>
      <c r="AD120" s="115"/>
    </row>
    <row r="121" spans="1:30" x14ac:dyDescent="0.25">
      <c r="A121" s="94">
        <v>2067</v>
      </c>
      <c r="B121" s="139">
        <f>Bxl_Inflow!B122-Bxl_Outflow!B122+B120</f>
        <v>317593.41099999996</v>
      </c>
      <c r="C121" s="139">
        <f>Bxl_Inflow!C122-Bxl_Outflow!C122+C120</f>
        <v>12006.324445000002</v>
      </c>
      <c r="D121" s="136">
        <f>Bxl_Inflow!D122-Bxl_Outflow!D122+D120</f>
        <v>1024.3201999999999</v>
      </c>
      <c r="E121" s="136">
        <f>Bxl_Inflow!E122-Bxl_Outflow!E122+E120</f>
        <v>12222.004245</v>
      </c>
      <c r="F121" s="136">
        <f>Bxl_Inflow!F122-Bxl_Outflow!F122+F120</f>
        <v>891.30228399999987</v>
      </c>
      <c r="G121" s="136">
        <f>Bxl_Inflow!G122-Bxl_Outflow!G122+G120</f>
        <v>717.45578266666655</v>
      </c>
      <c r="H121" s="115"/>
      <c r="I121" s="131">
        <f>C121*Hypotheses!$D$19/1000</f>
        <v>7.2037946670000005E-2</v>
      </c>
      <c r="J121" s="131">
        <f>C121*Hypotheses!$D$20/1000</f>
        <v>0.14407589334000001</v>
      </c>
      <c r="K121" s="131">
        <f>C121*Hypotheses!$D$21/1000</f>
        <v>0.28815178668000002</v>
      </c>
      <c r="L121" s="115"/>
      <c r="M121" s="128">
        <f>C121*Hypotheses!$D$31*Hypotheses!H86</f>
        <v>720.37946670000019</v>
      </c>
      <c r="N121" s="128">
        <f>C121*Hypotheses!$D$31*Hypotheses!I86</f>
        <v>3601.8970092279205</v>
      </c>
      <c r="O121" s="128">
        <f>C121*Hypotheses!$D$31*Hypotheses!J86</f>
        <v>7203.7939373878207</v>
      </c>
      <c r="P121" s="126">
        <f>C121*Hypotheses!$D$30*Hypotheses!H86</f>
        <v>180.09486667500005</v>
      </c>
      <c r="Q121" s="126">
        <f>C121*Hypotheses!$D$30*Hypotheses!I86</f>
        <v>900.47425230698013</v>
      </c>
      <c r="R121" s="126">
        <f>C121*Hypotheses!$D$30*Hypotheses!J86</f>
        <v>1800.9484843469552</v>
      </c>
      <c r="S121" s="115"/>
      <c r="T121" s="131">
        <f t="shared" si="4"/>
        <v>3.2235537339150011</v>
      </c>
      <c r="U121" s="131">
        <f t="shared" si="4"/>
        <v>6.4471074678300022</v>
      </c>
      <c r="V121" s="131">
        <f t="shared" si="4"/>
        <v>12.894214935660004</v>
      </c>
      <c r="W121" s="115"/>
      <c r="X121" s="128">
        <f t="shared" si="5"/>
        <v>32235.537339149992</v>
      </c>
      <c r="Y121" s="128">
        <f t="shared" si="5"/>
        <v>131913.37204012915</v>
      </c>
      <c r="Z121" s="128">
        <f t="shared" si="5"/>
        <v>256510.66541635295</v>
      </c>
      <c r="AA121" s="126">
        <f t="shared" si="5"/>
        <v>8058.8843347874981</v>
      </c>
      <c r="AB121" s="126">
        <f t="shared" si="5"/>
        <v>32978.343010032288</v>
      </c>
      <c r="AC121" s="126">
        <f t="shared" si="5"/>
        <v>64127.666354088236</v>
      </c>
      <c r="AD121" s="115"/>
    </row>
    <row r="122" spans="1:30" x14ac:dyDescent="0.25">
      <c r="A122" s="94">
        <v>2068</v>
      </c>
      <c r="B122" s="139">
        <f>Bxl_Inflow!B123-Bxl_Outflow!B123+B121</f>
        <v>317593.41099999996</v>
      </c>
      <c r="C122" s="139">
        <f>Bxl_Inflow!C123-Bxl_Outflow!C123+C121</f>
        <v>12006.324445000002</v>
      </c>
      <c r="D122" s="136">
        <f>Bxl_Inflow!D123-Bxl_Outflow!D123+D121</f>
        <v>1024.3201999999999</v>
      </c>
      <c r="E122" s="136">
        <f>Bxl_Inflow!E123-Bxl_Outflow!E123+E121</f>
        <v>12222.004245</v>
      </c>
      <c r="F122" s="136">
        <f>Bxl_Inflow!F123-Bxl_Outflow!F123+F121</f>
        <v>891.30228399999987</v>
      </c>
      <c r="G122" s="136">
        <f>Bxl_Inflow!G123-Bxl_Outflow!G123+G121</f>
        <v>717.45578266666655</v>
      </c>
      <c r="H122" s="115"/>
      <c r="I122" s="131">
        <f>C122*Hypotheses!$D$19/1000</f>
        <v>7.2037946670000005E-2</v>
      </c>
      <c r="J122" s="131">
        <f>C122*Hypotheses!$D$20/1000</f>
        <v>0.14407589334000001</v>
      </c>
      <c r="K122" s="131">
        <f>C122*Hypotheses!$D$21/1000</f>
        <v>0.28815178668000002</v>
      </c>
      <c r="L122" s="115"/>
      <c r="M122" s="128">
        <f>C122*Hypotheses!$D$31*Hypotheses!H87</f>
        <v>720.37946670000019</v>
      </c>
      <c r="N122" s="128">
        <f>C122*Hypotheses!$D$31*Hypotheses!I87</f>
        <v>3601.8971368190337</v>
      </c>
      <c r="O122" s="128">
        <f>C122*Hypotheses!$D$31*Hypotheses!J87</f>
        <v>7203.7942244678243</v>
      </c>
      <c r="P122" s="126">
        <f>C122*Hypotheses!$D$30*Hypotheses!H87</f>
        <v>180.09486667500005</v>
      </c>
      <c r="Q122" s="126">
        <f>C122*Hypotheses!$D$30*Hypotheses!I87</f>
        <v>900.47428420475842</v>
      </c>
      <c r="R122" s="126">
        <f>C122*Hypotheses!$D$30*Hypotheses!J87</f>
        <v>1800.9485561169561</v>
      </c>
      <c r="S122" s="115"/>
      <c r="T122" s="131">
        <f t="shared" si="4"/>
        <v>3.2955916805850012</v>
      </c>
      <c r="U122" s="131">
        <f t="shared" si="4"/>
        <v>6.5911833611700024</v>
      </c>
      <c r="V122" s="131">
        <f t="shared" si="4"/>
        <v>13.182366722340005</v>
      </c>
      <c r="W122" s="115"/>
      <c r="X122" s="128">
        <f t="shared" si="5"/>
        <v>32955.916805849993</v>
      </c>
      <c r="Y122" s="128">
        <f t="shared" si="5"/>
        <v>135515.26917694818</v>
      </c>
      <c r="Z122" s="128">
        <f t="shared" si="5"/>
        <v>263714.45964082074</v>
      </c>
      <c r="AA122" s="126">
        <f t="shared" si="5"/>
        <v>8238.9792014624982</v>
      </c>
      <c r="AB122" s="126">
        <f t="shared" si="5"/>
        <v>33878.817294237044</v>
      </c>
      <c r="AC122" s="126">
        <f t="shared" si="5"/>
        <v>65928.614910205186</v>
      </c>
      <c r="AD122" s="115"/>
    </row>
    <row r="123" spans="1:30" x14ac:dyDescent="0.25">
      <c r="A123" s="94">
        <v>2069</v>
      </c>
      <c r="B123" s="139">
        <f>Bxl_Inflow!B124-Bxl_Outflow!B124+B122</f>
        <v>317593.41099999996</v>
      </c>
      <c r="C123" s="139">
        <f>Bxl_Inflow!C124-Bxl_Outflow!C124+C122</f>
        <v>12006.324445000002</v>
      </c>
      <c r="D123" s="136">
        <f>Bxl_Inflow!D124-Bxl_Outflow!D124+D122</f>
        <v>1024.3201999999999</v>
      </c>
      <c r="E123" s="136">
        <f>Bxl_Inflow!E124-Bxl_Outflow!E124+E122</f>
        <v>12222.004245</v>
      </c>
      <c r="F123" s="136">
        <f>Bxl_Inflow!F124-Bxl_Outflow!F124+F122</f>
        <v>891.30228399999987</v>
      </c>
      <c r="G123" s="136">
        <f>Bxl_Inflow!G124-Bxl_Outflow!G124+G122</f>
        <v>717.45578266666655</v>
      </c>
      <c r="H123" s="115"/>
      <c r="I123" s="131">
        <f>C123*Hypotheses!$D$19/1000</f>
        <v>7.2037946670000005E-2</v>
      </c>
      <c r="J123" s="131">
        <f>C123*Hypotheses!$D$20/1000</f>
        <v>0.14407589334000001</v>
      </c>
      <c r="K123" s="131">
        <f>C123*Hypotheses!$D$21/1000</f>
        <v>0.28815178668000002</v>
      </c>
      <c r="L123" s="115"/>
      <c r="M123" s="128">
        <f>C123*Hypotheses!$D$31*Hypotheses!H88</f>
        <v>720.37946670000019</v>
      </c>
      <c r="N123" s="128">
        <f>C123*Hypotheses!$D$31*Hypotheses!I88</f>
        <v>3601.8972142069601</v>
      </c>
      <c r="O123" s="128">
        <f>C123*Hypotheses!$D$31*Hypotheses!J88</f>
        <v>7203.7943985906595</v>
      </c>
      <c r="P123" s="126">
        <f>C123*Hypotheses!$D$30*Hypotheses!H88</f>
        <v>180.09486667500005</v>
      </c>
      <c r="Q123" s="126">
        <f>C123*Hypotheses!$D$30*Hypotheses!I88</f>
        <v>900.47430355174004</v>
      </c>
      <c r="R123" s="126">
        <f>C123*Hypotheses!$D$30*Hypotheses!J88</f>
        <v>1800.9485996476649</v>
      </c>
      <c r="S123" s="115"/>
      <c r="T123" s="131">
        <f t="shared" si="4"/>
        <v>3.3676296272550013</v>
      </c>
      <c r="U123" s="131">
        <f t="shared" si="4"/>
        <v>6.7352592545100025</v>
      </c>
      <c r="V123" s="131">
        <f t="shared" si="4"/>
        <v>13.470518509020005</v>
      </c>
      <c r="W123" s="115"/>
      <c r="X123" s="128">
        <f t="shared" si="5"/>
        <v>33676.296272549997</v>
      </c>
      <c r="Y123" s="128">
        <f t="shared" si="5"/>
        <v>139117.16639115513</v>
      </c>
      <c r="Z123" s="128">
        <f t="shared" si="5"/>
        <v>270918.25403941137</v>
      </c>
      <c r="AA123" s="126">
        <f t="shared" si="5"/>
        <v>8419.0740681374991</v>
      </c>
      <c r="AB123" s="126">
        <f t="shared" si="5"/>
        <v>34779.291597788782</v>
      </c>
      <c r="AC123" s="126">
        <f t="shared" si="5"/>
        <v>67729.563509852844</v>
      </c>
      <c r="AD123" s="115"/>
    </row>
    <row r="124" spans="1:30" x14ac:dyDescent="0.25">
      <c r="A124" s="94">
        <v>2070</v>
      </c>
      <c r="B124" s="139">
        <f>Bxl_Inflow!B125-Bxl_Outflow!B125+B123</f>
        <v>317593.41099999996</v>
      </c>
      <c r="C124" s="139">
        <f>Bxl_Inflow!C125-Bxl_Outflow!C125+C123</f>
        <v>12006.324445000002</v>
      </c>
      <c r="D124" s="136">
        <f>Bxl_Inflow!D125-Bxl_Outflow!D125+D123</f>
        <v>1024.3201999999999</v>
      </c>
      <c r="E124" s="136">
        <f>Bxl_Inflow!E125-Bxl_Outflow!E125+E123</f>
        <v>12222.004245</v>
      </c>
      <c r="F124" s="136">
        <f>Bxl_Inflow!F125-Bxl_Outflow!F125+F123</f>
        <v>891.30228399999987</v>
      </c>
      <c r="G124" s="136">
        <f>Bxl_Inflow!G125-Bxl_Outflow!G125+G123</f>
        <v>717.45578266666655</v>
      </c>
      <c r="H124" s="115"/>
      <c r="I124" s="131">
        <f>C124*Hypotheses!$D$19/1000</f>
        <v>7.2037946670000005E-2</v>
      </c>
      <c r="J124" s="131">
        <f>C124*Hypotheses!$D$20/1000</f>
        <v>0.14407589334000001</v>
      </c>
      <c r="K124" s="131">
        <f>C124*Hypotheses!$D$21/1000</f>
        <v>0.28815178668000002</v>
      </c>
      <c r="L124" s="115"/>
      <c r="M124" s="128">
        <f>C124*Hypotheses!$D$31*Hypotheses!H89</f>
        <v>720.37946670000019</v>
      </c>
      <c r="N124" s="128">
        <f>C124*Hypotheses!$D$31*Hypotheses!I89</f>
        <v>3601.8972611451127</v>
      </c>
      <c r="O124" s="128">
        <f>C124*Hypotheses!$D$31*Hypotheses!J89</f>
        <v>7203.7945042015035</v>
      </c>
      <c r="P124" s="126">
        <f>C124*Hypotheses!$D$30*Hypotheses!H89</f>
        <v>180.09486667500005</v>
      </c>
      <c r="Q124" s="126">
        <f>C124*Hypotheses!$D$30*Hypotheses!I89</f>
        <v>900.47431528627817</v>
      </c>
      <c r="R124" s="126">
        <f>C124*Hypotheses!$D$30*Hypotheses!J89</f>
        <v>1800.9486260503759</v>
      </c>
      <c r="S124" s="115"/>
      <c r="T124" s="131">
        <f t="shared" si="4"/>
        <v>3.4396675739250013</v>
      </c>
      <c r="U124" s="131">
        <f t="shared" si="4"/>
        <v>6.8793351478500027</v>
      </c>
      <c r="V124" s="131">
        <f t="shared" si="4"/>
        <v>13.758670295700005</v>
      </c>
      <c r="W124" s="115"/>
      <c r="X124" s="128">
        <f t="shared" si="5"/>
        <v>34396.67573925</v>
      </c>
      <c r="Y124" s="128">
        <f t="shared" si="5"/>
        <v>142719.06365230025</v>
      </c>
      <c r="Z124" s="128">
        <f t="shared" si="5"/>
        <v>278122.04854361288</v>
      </c>
      <c r="AA124" s="126">
        <f t="shared" si="5"/>
        <v>8599.1689348125001</v>
      </c>
      <c r="AB124" s="126">
        <f t="shared" si="5"/>
        <v>35679.765913075062</v>
      </c>
      <c r="AC124" s="126">
        <f t="shared" si="5"/>
        <v>69530.51213590322</v>
      </c>
      <c r="AD124" s="115"/>
    </row>
  </sheetData>
  <mergeCells count="5">
    <mergeCell ref="B1:G1"/>
    <mergeCell ref="I1:K1"/>
    <mergeCell ref="M1:R1"/>
    <mergeCell ref="T1:V1"/>
    <mergeCell ref="X1:A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DACD-6461-4A83-A998-5D6FD3F34F06}">
  <dimension ref="A1:AK126"/>
  <sheetViews>
    <sheetView zoomScale="70" zoomScaleNormal="70" workbookViewId="0"/>
  </sheetViews>
  <sheetFormatPr defaultRowHeight="15" x14ac:dyDescent="0.25"/>
  <cols>
    <col min="1" max="1" width="9.140625" style="94"/>
    <col min="2" max="10" width="8.42578125" customWidth="1"/>
    <col min="22" max="22" width="9.140625" style="225"/>
    <col min="25" max="25" width="9.7109375" bestFit="1" customWidth="1"/>
    <col min="31" max="31" width="9.140625" style="225"/>
    <col min="32" max="37" width="13.5703125" customWidth="1"/>
  </cols>
  <sheetData>
    <row r="1" spans="1:37" x14ac:dyDescent="0.25">
      <c r="B1" s="282" t="s">
        <v>253</v>
      </c>
      <c r="C1" s="282"/>
      <c r="D1" s="282"/>
      <c r="E1" s="282"/>
      <c r="F1" s="282"/>
      <c r="G1" s="282"/>
      <c r="H1" s="282"/>
      <c r="I1" s="282"/>
      <c r="J1" s="282"/>
      <c r="K1" s="282"/>
      <c r="L1" s="284" t="s">
        <v>299</v>
      </c>
      <c r="M1" s="284"/>
      <c r="N1" s="284"/>
      <c r="O1" s="284"/>
      <c r="P1" s="284"/>
      <c r="Q1" s="284"/>
      <c r="R1" s="284"/>
      <c r="S1" s="284"/>
      <c r="T1" s="284"/>
      <c r="U1" s="284"/>
      <c r="W1" s="270" t="s">
        <v>352</v>
      </c>
      <c r="X1" s="270"/>
      <c r="Y1" s="270"/>
      <c r="Z1" s="270"/>
      <c r="AA1" s="270"/>
      <c r="AB1" s="270"/>
      <c r="AC1" s="270"/>
      <c r="AD1" s="270"/>
      <c r="AF1" s="277" t="s">
        <v>273</v>
      </c>
      <c r="AG1" s="277"/>
      <c r="AH1" s="277"/>
      <c r="AI1" s="277"/>
      <c r="AJ1" s="277"/>
      <c r="AK1" s="277"/>
    </row>
    <row r="2" spans="1:37" x14ac:dyDescent="0.25">
      <c r="B2" s="282" t="s">
        <v>289</v>
      </c>
      <c r="C2" s="282"/>
      <c r="D2" s="282"/>
      <c r="E2" s="282"/>
      <c r="F2" s="282"/>
      <c r="G2" s="282"/>
      <c r="H2" s="282"/>
      <c r="I2" s="282"/>
      <c r="J2" s="282"/>
      <c r="K2" s="282"/>
      <c r="L2" s="284" t="s">
        <v>289</v>
      </c>
      <c r="M2" s="284"/>
      <c r="N2" s="284"/>
      <c r="O2" s="284"/>
      <c r="P2" s="284"/>
      <c r="Q2" s="284"/>
      <c r="R2" s="284"/>
      <c r="S2" s="284"/>
      <c r="T2" s="284"/>
      <c r="U2" s="284"/>
      <c r="W2" s="278" t="s">
        <v>355</v>
      </c>
      <c r="X2" s="278"/>
      <c r="Y2" s="278"/>
      <c r="Z2" s="278"/>
      <c r="AA2" s="278" t="s">
        <v>375</v>
      </c>
      <c r="AB2" s="278"/>
      <c r="AC2" s="278" t="s">
        <v>356</v>
      </c>
      <c r="AD2" s="278"/>
      <c r="AF2" s="278" t="s">
        <v>289</v>
      </c>
      <c r="AG2" s="278"/>
      <c r="AH2" s="278"/>
      <c r="AI2" s="278"/>
      <c r="AJ2" s="278"/>
      <c r="AK2" s="278"/>
    </row>
    <row r="3" spans="1:37" s="8" customFormat="1" ht="45" x14ac:dyDescent="0.25">
      <c r="A3" s="106"/>
      <c r="B3" s="160" t="s">
        <v>122</v>
      </c>
      <c r="C3" s="160"/>
      <c r="D3" s="169" t="s">
        <v>254</v>
      </c>
      <c r="E3" s="160"/>
      <c r="F3" s="169" t="s">
        <v>255</v>
      </c>
      <c r="G3" s="160"/>
      <c r="H3" s="169" t="s">
        <v>371</v>
      </c>
      <c r="I3" s="160"/>
      <c r="J3" s="169" t="s">
        <v>233</v>
      </c>
      <c r="K3" s="161"/>
      <c r="L3" s="164" t="s">
        <v>122</v>
      </c>
      <c r="M3" s="164"/>
      <c r="N3" s="164" t="s">
        <v>254</v>
      </c>
      <c r="O3" s="164"/>
      <c r="P3" s="164" t="s">
        <v>255</v>
      </c>
      <c r="Q3" s="164"/>
      <c r="R3" s="164" t="s">
        <v>371</v>
      </c>
      <c r="S3" s="164"/>
      <c r="T3" s="164" t="s">
        <v>233</v>
      </c>
      <c r="U3" s="165"/>
      <c r="V3" s="226"/>
      <c r="W3" s="205" t="s">
        <v>357</v>
      </c>
      <c r="X3" s="205" t="s">
        <v>357</v>
      </c>
      <c r="Y3" s="205" t="s">
        <v>358</v>
      </c>
      <c r="Z3" s="205" t="s">
        <v>358</v>
      </c>
      <c r="AA3" s="205" t="s">
        <v>357</v>
      </c>
      <c r="AB3" s="205" t="s">
        <v>358</v>
      </c>
      <c r="AC3" s="205" t="s">
        <v>357</v>
      </c>
      <c r="AD3" s="205" t="s">
        <v>358</v>
      </c>
      <c r="AE3" s="226"/>
      <c r="AF3" s="217" t="s">
        <v>282</v>
      </c>
      <c r="AG3" s="217" t="s">
        <v>286</v>
      </c>
      <c r="AH3" s="217" t="s">
        <v>287</v>
      </c>
      <c r="AI3" s="217" t="s">
        <v>274</v>
      </c>
      <c r="AJ3" s="217" t="s">
        <v>276</v>
      </c>
      <c r="AK3" s="217" t="s">
        <v>275</v>
      </c>
    </row>
    <row r="4" spans="1:37" x14ac:dyDescent="0.25">
      <c r="A4" s="105"/>
      <c r="B4" s="170" t="s">
        <v>8</v>
      </c>
      <c r="C4" s="162" t="s">
        <v>308</v>
      </c>
      <c r="D4" s="170" t="s">
        <v>8</v>
      </c>
      <c r="E4" s="162" t="s">
        <v>308</v>
      </c>
      <c r="F4" s="170" t="s">
        <v>8</v>
      </c>
      <c r="G4" s="162" t="s">
        <v>308</v>
      </c>
      <c r="H4" s="170" t="s">
        <v>1</v>
      </c>
      <c r="I4" s="162" t="s">
        <v>308</v>
      </c>
      <c r="J4" s="170" t="s">
        <v>1</v>
      </c>
      <c r="K4" s="162" t="s">
        <v>308</v>
      </c>
      <c r="L4" s="166" t="s">
        <v>8</v>
      </c>
      <c r="M4" s="166" t="s">
        <v>308</v>
      </c>
      <c r="N4" s="166" t="s">
        <v>8</v>
      </c>
      <c r="O4" s="166" t="s">
        <v>308</v>
      </c>
      <c r="P4" s="166" t="s">
        <v>8</v>
      </c>
      <c r="Q4" s="166" t="s">
        <v>308</v>
      </c>
      <c r="R4" s="166" t="s">
        <v>1</v>
      </c>
      <c r="S4" s="166" t="s">
        <v>308</v>
      </c>
      <c r="T4" s="166" t="s">
        <v>1</v>
      </c>
      <c r="U4" s="166" t="s">
        <v>308</v>
      </c>
      <c r="W4" s="206" t="s">
        <v>7</v>
      </c>
      <c r="X4" s="206" t="s">
        <v>8</v>
      </c>
      <c r="Y4" s="206" t="s">
        <v>7</v>
      </c>
      <c r="Z4" s="206" t="s">
        <v>8</v>
      </c>
      <c r="AA4" s="206" t="s">
        <v>1</v>
      </c>
      <c r="AB4" s="206" t="s">
        <v>1</v>
      </c>
      <c r="AC4" s="206" t="s">
        <v>1</v>
      </c>
      <c r="AD4" s="206" t="s">
        <v>1</v>
      </c>
      <c r="AF4" s="216" t="s">
        <v>8</v>
      </c>
      <c r="AG4" s="216" t="s">
        <v>8</v>
      </c>
      <c r="AH4" s="216" t="s">
        <v>8</v>
      </c>
      <c r="AI4" s="216" t="s">
        <v>8</v>
      </c>
      <c r="AJ4" s="216" t="s">
        <v>8</v>
      </c>
      <c r="AK4" s="216" t="s">
        <v>8</v>
      </c>
    </row>
    <row r="5" spans="1:37" x14ac:dyDescent="0.25">
      <c r="A5" s="94">
        <v>1950</v>
      </c>
      <c r="B5" s="168" t="e">
        <f>IF(Bxl_Inflow!C5=0,#N/A,Bxl_Inflow!C5)</f>
        <v>#N/A</v>
      </c>
      <c r="C5" s="163" t="e">
        <v>#N/A</v>
      </c>
      <c r="D5" s="168" t="e">
        <f>IF(Bxl_Inflow!D5=0,#N/A,Bxl_Inflow!D5)</f>
        <v>#N/A</v>
      </c>
      <c r="E5" s="163" t="e">
        <v>#N/A</v>
      </c>
      <c r="F5" s="168" t="e">
        <f>IF(Bxl_Inflow!E5=0,#N/A,Bxl_Inflow!E5)</f>
        <v>#N/A</v>
      </c>
      <c r="G5" s="163" t="e">
        <v>#N/A</v>
      </c>
      <c r="H5" s="168" t="e">
        <f>IF(Bxl_Inflow!F5=0,#N/A,Bxl_Inflow!F5)</f>
        <v>#N/A</v>
      </c>
      <c r="I5" s="163" t="e">
        <v>#N/A</v>
      </c>
      <c r="J5" s="168" t="e">
        <f>IF(Bxl_Inflow!G5=0,#N/A,Bxl_Inflow!G5)</f>
        <v>#N/A</v>
      </c>
      <c r="K5" s="163" t="e">
        <v>#N/A</v>
      </c>
      <c r="L5" s="167" t="e">
        <f>IF(Bxl_Outflow!C5=0,#N/A,Bxl_Outflow!C5)</f>
        <v>#N/A</v>
      </c>
      <c r="M5" s="172" t="e">
        <v>#N/A</v>
      </c>
      <c r="N5" s="167" t="e">
        <f>IF(Bxl_Outflow!D5=0,#N/A,Bxl_Outflow!D5)</f>
        <v>#N/A</v>
      </c>
      <c r="O5" s="172" t="e">
        <v>#N/A</v>
      </c>
      <c r="P5" s="167" t="e">
        <f>IF(Bxl_Outflow!E5=0,#N/A,Bxl_Outflow!E5)</f>
        <v>#N/A</v>
      </c>
      <c r="Q5" s="172" t="e">
        <v>#N/A</v>
      </c>
      <c r="R5" s="167" t="e">
        <f>IF(Bxl_Outflow!F5=0,#N/A,Bxl_Outflow!F5)</f>
        <v>#N/A</v>
      </c>
      <c r="S5" s="172" t="e">
        <v>#N/A</v>
      </c>
      <c r="T5" s="167" t="e">
        <f>IF(Bxl_Outflow!G5=0,#N/A,Bxl_Outflow!G5)</f>
        <v>#N/A</v>
      </c>
      <c r="U5" s="172" t="e">
        <v>#N/A</v>
      </c>
      <c r="W5" s="207"/>
      <c r="X5" s="207"/>
      <c r="Y5" s="207"/>
      <c r="Z5" s="207"/>
      <c r="AA5" s="204"/>
      <c r="AB5" s="204"/>
      <c r="AC5" s="204"/>
      <c r="AD5" s="204"/>
      <c r="AF5" s="204"/>
      <c r="AG5" s="204"/>
      <c r="AH5" s="204"/>
      <c r="AI5" s="204"/>
      <c r="AJ5" s="204"/>
      <c r="AK5" s="204"/>
    </row>
    <row r="6" spans="1:37" x14ac:dyDescent="0.25">
      <c r="A6" s="94">
        <v>1951</v>
      </c>
      <c r="B6" s="168" t="e">
        <f>IF(Bxl_Inflow!C6=0,#N/A,Bxl_Inflow!C6)</f>
        <v>#N/A</v>
      </c>
      <c r="C6" s="163" t="e">
        <v>#N/A</v>
      </c>
      <c r="D6" s="168" t="e">
        <f>IF(Bxl_Inflow!D6=0,#N/A,Bxl_Inflow!D6)</f>
        <v>#N/A</v>
      </c>
      <c r="E6" s="163" t="e">
        <v>#N/A</v>
      </c>
      <c r="F6" s="168" t="e">
        <f>IF(Bxl_Inflow!E6=0,#N/A,Bxl_Inflow!E6)</f>
        <v>#N/A</v>
      </c>
      <c r="G6" s="163" t="e">
        <v>#N/A</v>
      </c>
      <c r="H6" s="168" t="e">
        <f>IF(Bxl_Inflow!F6=0,#N/A,Bxl_Inflow!F6)</f>
        <v>#N/A</v>
      </c>
      <c r="I6" s="163" t="e">
        <v>#N/A</v>
      </c>
      <c r="J6" s="168" t="e">
        <f>IF(Bxl_Inflow!G6=0,#N/A,Bxl_Inflow!G6)</f>
        <v>#N/A</v>
      </c>
      <c r="K6" s="163" t="e">
        <v>#N/A</v>
      </c>
      <c r="L6" s="167" t="e">
        <f>IF(Bxl_Outflow!C6=0,#N/A,Bxl_Outflow!C6)</f>
        <v>#N/A</v>
      </c>
      <c r="M6" s="172" t="e">
        <v>#N/A</v>
      </c>
      <c r="N6" s="167" t="e">
        <f>IF(Bxl_Outflow!D6=0,#N/A,Bxl_Outflow!D6)</f>
        <v>#N/A</v>
      </c>
      <c r="O6" s="172" t="e">
        <v>#N/A</v>
      </c>
      <c r="P6" s="167" t="e">
        <f>IF(Bxl_Outflow!E6=0,#N/A,Bxl_Outflow!E6)</f>
        <v>#N/A</v>
      </c>
      <c r="Q6" s="172" t="e">
        <v>#N/A</v>
      </c>
      <c r="R6" s="167" t="e">
        <f>IF(Bxl_Outflow!F6=0,#N/A,Bxl_Outflow!F6)</f>
        <v>#N/A</v>
      </c>
      <c r="S6" s="172" t="e">
        <v>#N/A</v>
      </c>
      <c r="T6" s="167" t="e">
        <f>IF(Bxl_Outflow!G6=0,#N/A,Bxl_Outflow!G6)</f>
        <v>#N/A</v>
      </c>
      <c r="U6" s="172" t="e">
        <v>#N/A</v>
      </c>
      <c r="W6" s="204"/>
      <c r="X6" s="204"/>
      <c r="Y6" s="207"/>
      <c r="Z6" s="207"/>
      <c r="AA6" s="204"/>
      <c r="AB6" s="204"/>
      <c r="AC6" s="204"/>
      <c r="AD6" s="204"/>
      <c r="AF6" s="204"/>
      <c r="AG6" s="204"/>
      <c r="AH6" s="204"/>
      <c r="AI6" s="204"/>
      <c r="AJ6" s="204"/>
      <c r="AK6" s="204"/>
    </row>
    <row r="7" spans="1:37" x14ac:dyDescent="0.25">
      <c r="A7" s="94">
        <v>1952</v>
      </c>
      <c r="B7" s="168" t="e">
        <f>IF(Bxl_Inflow!C7=0,#N/A,Bxl_Inflow!C7)</f>
        <v>#N/A</v>
      </c>
      <c r="C7" s="163" t="e">
        <v>#N/A</v>
      </c>
      <c r="D7" s="168" t="e">
        <f>IF(Bxl_Inflow!D7=0,#N/A,Bxl_Inflow!D7)</f>
        <v>#N/A</v>
      </c>
      <c r="E7" s="163" t="e">
        <v>#N/A</v>
      </c>
      <c r="F7" s="168" t="e">
        <f>IF(Bxl_Inflow!E7=0,#N/A,Bxl_Inflow!E7)</f>
        <v>#N/A</v>
      </c>
      <c r="G7" s="163" t="e">
        <v>#N/A</v>
      </c>
      <c r="H7" s="168" t="e">
        <f>IF(Bxl_Inflow!F7=0,#N/A,Bxl_Inflow!F7)</f>
        <v>#N/A</v>
      </c>
      <c r="I7" s="163" t="e">
        <v>#N/A</v>
      </c>
      <c r="J7" s="168" t="e">
        <f>IF(Bxl_Inflow!G7=0,#N/A,Bxl_Inflow!G7)</f>
        <v>#N/A</v>
      </c>
      <c r="K7" s="163" t="e">
        <v>#N/A</v>
      </c>
      <c r="L7" s="167" t="e">
        <f>IF(Bxl_Outflow!C7=0,#N/A,Bxl_Outflow!C7)</f>
        <v>#N/A</v>
      </c>
      <c r="M7" s="172" t="e">
        <v>#N/A</v>
      </c>
      <c r="N7" s="167" t="e">
        <f>IF(Bxl_Outflow!D7=0,#N/A,Bxl_Outflow!D7)</f>
        <v>#N/A</v>
      </c>
      <c r="O7" s="172" t="e">
        <v>#N/A</v>
      </c>
      <c r="P7" s="167" t="e">
        <f>IF(Bxl_Outflow!E7=0,#N/A,Bxl_Outflow!E7)</f>
        <v>#N/A</v>
      </c>
      <c r="Q7" s="172" t="e">
        <v>#N/A</v>
      </c>
      <c r="R7" s="167" t="e">
        <f>IF(Bxl_Outflow!F7=0,#N/A,Bxl_Outflow!F7)</f>
        <v>#N/A</v>
      </c>
      <c r="S7" s="172" t="e">
        <v>#N/A</v>
      </c>
      <c r="T7" s="167" t="e">
        <f>IF(Bxl_Outflow!G7=0,#N/A,Bxl_Outflow!G7)</f>
        <v>#N/A</v>
      </c>
      <c r="U7" s="172" t="e">
        <v>#N/A</v>
      </c>
      <c r="W7" s="204"/>
      <c r="X7" s="204"/>
      <c r="Y7" s="207"/>
      <c r="Z7" s="207"/>
      <c r="AA7" s="204"/>
      <c r="AB7" s="204"/>
      <c r="AC7" s="204"/>
      <c r="AD7" s="204"/>
      <c r="AF7" s="204"/>
      <c r="AG7" s="204"/>
      <c r="AH7" s="204"/>
      <c r="AI7" s="204"/>
      <c r="AJ7" s="204"/>
      <c r="AK7" s="204"/>
    </row>
    <row r="8" spans="1:37" x14ac:dyDescent="0.25">
      <c r="A8" s="94">
        <v>1953</v>
      </c>
      <c r="B8" s="168" t="e">
        <f>IF(Bxl_Inflow!C8=0,#N/A,Bxl_Inflow!C8)</f>
        <v>#N/A</v>
      </c>
      <c r="C8" s="163" t="e">
        <v>#N/A</v>
      </c>
      <c r="D8" s="168" t="e">
        <f>IF(Bxl_Inflow!D8=0,#N/A,Bxl_Inflow!D8)</f>
        <v>#N/A</v>
      </c>
      <c r="E8" s="163" t="e">
        <v>#N/A</v>
      </c>
      <c r="F8" s="168" t="e">
        <f>IF(Bxl_Inflow!E8=0,#N/A,Bxl_Inflow!E8)</f>
        <v>#N/A</v>
      </c>
      <c r="G8" s="163" t="e">
        <v>#N/A</v>
      </c>
      <c r="H8" s="168" t="e">
        <f>IF(Bxl_Inflow!F8=0,#N/A,Bxl_Inflow!F8)</f>
        <v>#N/A</v>
      </c>
      <c r="I8" s="163" t="e">
        <v>#N/A</v>
      </c>
      <c r="J8" s="168" t="e">
        <f>IF(Bxl_Inflow!G8=0,#N/A,Bxl_Inflow!G8)</f>
        <v>#N/A</v>
      </c>
      <c r="K8" s="163" t="e">
        <v>#N/A</v>
      </c>
      <c r="L8" s="167" t="e">
        <f>IF(Bxl_Outflow!C8=0,#N/A,Bxl_Outflow!C8)</f>
        <v>#N/A</v>
      </c>
      <c r="M8" s="172" t="e">
        <v>#N/A</v>
      </c>
      <c r="N8" s="167" t="e">
        <f>IF(Bxl_Outflow!D8=0,#N/A,Bxl_Outflow!D8)</f>
        <v>#N/A</v>
      </c>
      <c r="O8" s="172" t="e">
        <v>#N/A</v>
      </c>
      <c r="P8" s="167" t="e">
        <f>IF(Bxl_Outflow!E8=0,#N/A,Bxl_Outflow!E8)</f>
        <v>#N/A</v>
      </c>
      <c r="Q8" s="172" t="e">
        <v>#N/A</v>
      </c>
      <c r="R8" s="167" t="e">
        <f>IF(Bxl_Outflow!F8=0,#N/A,Bxl_Outflow!F8)</f>
        <v>#N/A</v>
      </c>
      <c r="S8" s="172" t="e">
        <v>#N/A</v>
      </c>
      <c r="T8" s="167" t="e">
        <f>IF(Bxl_Outflow!G8=0,#N/A,Bxl_Outflow!G8)</f>
        <v>#N/A</v>
      </c>
      <c r="U8" s="172" t="e">
        <v>#N/A</v>
      </c>
      <c r="W8" s="207"/>
      <c r="X8" s="207"/>
      <c r="Y8" s="207"/>
      <c r="Z8" s="207"/>
      <c r="AA8" s="204"/>
      <c r="AB8" s="204"/>
      <c r="AC8" s="204"/>
      <c r="AD8" s="204"/>
      <c r="AF8" s="204"/>
      <c r="AG8" s="204"/>
      <c r="AH8" s="204"/>
      <c r="AI8" s="204"/>
      <c r="AJ8" s="204"/>
      <c r="AK8" s="204"/>
    </row>
    <row r="9" spans="1:37" x14ac:dyDescent="0.25">
      <c r="A9" s="94">
        <v>1954</v>
      </c>
      <c r="B9" s="168" t="e">
        <f>IF(Bxl_Inflow!C9=0,#N/A,Bxl_Inflow!C9)</f>
        <v>#N/A</v>
      </c>
      <c r="C9" s="163" t="e">
        <v>#N/A</v>
      </c>
      <c r="D9" s="168" t="e">
        <f>IF(Bxl_Inflow!D9=0,#N/A,Bxl_Inflow!D9)</f>
        <v>#N/A</v>
      </c>
      <c r="E9" s="163" t="e">
        <v>#N/A</v>
      </c>
      <c r="F9" s="168" t="e">
        <f>IF(Bxl_Inflow!E9=0,#N/A,Bxl_Inflow!E9)</f>
        <v>#N/A</v>
      </c>
      <c r="G9" s="163" t="e">
        <v>#N/A</v>
      </c>
      <c r="H9" s="168" t="e">
        <f>IF(Bxl_Inflow!F9=0,#N/A,Bxl_Inflow!F9)</f>
        <v>#N/A</v>
      </c>
      <c r="I9" s="163" t="e">
        <v>#N/A</v>
      </c>
      <c r="J9" s="168" t="e">
        <f>IF(Bxl_Inflow!G9=0,#N/A,Bxl_Inflow!G9)</f>
        <v>#N/A</v>
      </c>
      <c r="K9" s="163" t="e">
        <v>#N/A</v>
      </c>
      <c r="L9" s="167" t="e">
        <f>IF(Bxl_Outflow!C9=0,#N/A,Bxl_Outflow!C9)</f>
        <v>#N/A</v>
      </c>
      <c r="M9" s="172" t="e">
        <v>#N/A</v>
      </c>
      <c r="N9" s="167" t="e">
        <f>IF(Bxl_Outflow!D9=0,#N/A,Bxl_Outflow!D9)</f>
        <v>#N/A</v>
      </c>
      <c r="O9" s="172" t="e">
        <v>#N/A</v>
      </c>
      <c r="P9" s="167" t="e">
        <f>IF(Bxl_Outflow!E9=0,#N/A,Bxl_Outflow!E9)</f>
        <v>#N/A</v>
      </c>
      <c r="Q9" s="172" t="e">
        <v>#N/A</v>
      </c>
      <c r="R9" s="167" t="e">
        <f>IF(Bxl_Outflow!F9=0,#N/A,Bxl_Outflow!F9)</f>
        <v>#N/A</v>
      </c>
      <c r="S9" s="172" t="e">
        <v>#N/A</v>
      </c>
      <c r="T9" s="167" t="e">
        <f>IF(Bxl_Outflow!G9=0,#N/A,Bxl_Outflow!G9)</f>
        <v>#N/A</v>
      </c>
      <c r="U9" s="172" t="e">
        <v>#N/A</v>
      </c>
      <c r="W9" s="204"/>
      <c r="X9" s="204"/>
      <c r="Y9" s="207"/>
      <c r="Z9" s="207"/>
      <c r="AA9" s="204"/>
      <c r="AB9" s="204"/>
      <c r="AC9" s="204"/>
      <c r="AD9" s="204"/>
      <c r="AF9" s="204"/>
      <c r="AG9" s="204"/>
      <c r="AH9" s="204"/>
      <c r="AI9" s="204"/>
      <c r="AJ9" s="204"/>
      <c r="AK9" s="204"/>
    </row>
    <row r="10" spans="1:37" x14ac:dyDescent="0.25">
      <c r="A10" s="94">
        <v>1955</v>
      </c>
      <c r="B10" s="168" t="e">
        <f>IF(Bxl_Inflow!C10=0,#N/A,Bxl_Inflow!C10)</f>
        <v>#N/A</v>
      </c>
      <c r="C10" s="163" t="e">
        <v>#N/A</v>
      </c>
      <c r="D10" s="168" t="e">
        <f>IF(Bxl_Inflow!D10=0,#N/A,Bxl_Inflow!D10)</f>
        <v>#N/A</v>
      </c>
      <c r="E10" s="163" t="e">
        <v>#N/A</v>
      </c>
      <c r="F10" s="168" t="e">
        <f>IF(Bxl_Inflow!E10=0,#N/A,Bxl_Inflow!E10)</f>
        <v>#N/A</v>
      </c>
      <c r="G10" s="163" t="e">
        <v>#N/A</v>
      </c>
      <c r="H10" s="168" t="e">
        <f>IF(Bxl_Inflow!F10=0,#N/A,Bxl_Inflow!F10)</f>
        <v>#N/A</v>
      </c>
      <c r="I10" s="163" t="e">
        <v>#N/A</v>
      </c>
      <c r="J10" s="168" t="e">
        <f>IF(Bxl_Inflow!G10=0,#N/A,Bxl_Inflow!G10)</f>
        <v>#N/A</v>
      </c>
      <c r="K10" s="163" t="e">
        <v>#N/A</v>
      </c>
      <c r="L10" s="167" t="e">
        <f>IF(Bxl_Outflow!C10=0,#N/A,Bxl_Outflow!C10)</f>
        <v>#N/A</v>
      </c>
      <c r="M10" s="172" t="e">
        <v>#N/A</v>
      </c>
      <c r="N10" s="167" t="e">
        <f>IF(Bxl_Outflow!D10=0,#N/A,Bxl_Outflow!D10)</f>
        <v>#N/A</v>
      </c>
      <c r="O10" s="172" t="e">
        <v>#N/A</v>
      </c>
      <c r="P10" s="167" t="e">
        <f>IF(Bxl_Outflow!E10=0,#N/A,Bxl_Outflow!E10)</f>
        <v>#N/A</v>
      </c>
      <c r="Q10" s="172" t="e">
        <v>#N/A</v>
      </c>
      <c r="R10" s="167" t="e">
        <f>IF(Bxl_Outflow!F10=0,#N/A,Bxl_Outflow!F10)</f>
        <v>#N/A</v>
      </c>
      <c r="S10" s="172" t="e">
        <v>#N/A</v>
      </c>
      <c r="T10" s="167" t="e">
        <f>IF(Bxl_Outflow!G10=0,#N/A,Bxl_Outflow!G10)</f>
        <v>#N/A</v>
      </c>
      <c r="U10" s="172" t="e">
        <v>#N/A</v>
      </c>
      <c r="W10" s="208">
        <f>AVERAGE(Bxl_Inflow!B10:B19)</f>
        <v>3352.6</v>
      </c>
      <c r="X10" s="208">
        <f>AVERAGE(Bxl_Inflow!C10:C19)</f>
        <v>72.60499999999999</v>
      </c>
      <c r="Y10" s="207">
        <f>AVERAGE(Bxl_Outflow!B10:B19)</f>
        <v>0</v>
      </c>
      <c r="Z10" s="207">
        <f>AVERAGE(Bxl_Outflow!C10:C19)</f>
        <v>0</v>
      </c>
      <c r="AA10" s="208">
        <f>AVERAGE(Bxl_Inflow!F10:F19)</f>
        <v>1.6961052631578948</v>
      </c>
      <c r="AB10" s="207">
        <f>AVERAGE(Bxl_Outflow!F10:F19)</f>
        <v>0</v>
      </c>
      <c r="AC10" s="208">
        <f>AVERAGE(Bxl_Inflow!G10:G19)</f>
        <v>0</v>
      </c>
      <c r="AD10" s="207">
        <f>AVERAGE(Bxl_Outflow!G10:G19)</f>
        <v>0</v>
      </c>
      <c r="AF10" s="204"/>
      <c r="AG10" s="204"/>
      <c r="AH10" s="204"/>
      <c r="AI10" s="204"/>
      <c r="AJ10" s="204"/>
      <c r="AK10" s="204"/>
    </row>
    <row r="11" spans="1:37" x14ac:dyDescent="0.25">
      <c r="A11" s="94">
        <v>1956</v>
      </c>
      <c r="B11" s="168" t="e">
        <f>IF(Bxl_Inflow!C11=0,#N/A,Bxl_Inflow!C11)</f>
        <v>#N/A</v>
      </c>
      <c r="C11" s="163" t="e">
        <v>#N/A</v>
      </c>
      <c r="D11" s="168" t="e">
        <f>IF(Bxl_Inflow!D11=0,#N/A,Bxl_Inflow!D11)</f>
        <v>#N/A</v>
      </c>
      <c r="E11" s="163" t="e">
        <v>#N/A</v>
      </c>
      <c r="F11" s="168" t="e">
        <f>IF(Bxl_Inflow!E11=0,#N/A,Bxl_Inflow!E11)</f>
        <v>#N/A</v>
      </c>
      <c r="G11" s="163" t="e">
        <v>#N/A</v>
      </c>
      <c r="H11" s="168" t="e">
        <f>IF(Bxl_Inflow!F11=0,#N/A,Bxl_Inflow!F11)</f>
        <v>#N/A</v>
      </c>
      <c r="I11" s="163" t="e">
        <v>#N/A</v>
      </c>
      <c r="J11" s="168" t="e">
        <f>IF(Bxl_Inflow!G11=0,#N/A,Bxl_Inflow!G11)</f>
        <v>#N/A</v>
      </c>
      <c r="K11" s="163" t="e">
        <v>#N/A</v>
      </c>
      <c r="L11" s="167" t="e">
        <f>IF(Bxl_Outflow!C11=0,#N/A,Bxl_Outflow!C11)</f>
        <v>#N/A</v>
      </c>
      <c r="M11" s="172" t="e">
        <v>#N/A</v>
      </c>
      <c r="N11" s="167" t="e">
        <f>IF(Bxl_Outflow!D11=0,#N/A,Bxl_Outflow!D11)</f>
        <v>#N/A</v>
      </c>
      <c r="O11" s="172" t="e">
        <v>#N/A</v>
      </c>
      <c r="P11" s="167" t="e">
        <f>IF(Bxl_Outflow!E11=0,#N/A,Bxl_Outflow!E11)</f>
        <v>#N/A</v>
      </c>
      <c r="Q11" s="172" t="e">
        <v>#N/A</v>
      </c>
      <c r="R11" s="167" t="e">
        <f>IF(Bxl_Outflow!F11=0,#N/A,Bxl_Outflow!F11)</f>
        <v>#N/A</v>
      </c>
      <c r="S11" s="172" t="e">
        <v>#N/A</v>
      </c>
      <c r="T11" s="167" t="e">
        <f>IF(Bxl_Outflow!G11=0,#N/A,Bxl_Outflow!G11)</f>
        <v>#N/A</v>
      </c>
      <c r="U11" s="172" t="e">
        <v>#N/A</v>
      </c>
      <c r="W11" s="204"/>
      <c r="X11" s="204"/>
      <c r="Y11" s="204"/>
      <c r="Z11" s="204"/>
      <c r="AA11" s="204"/>
      <c r="AB11" s="204"/>
      <c r="AC11" s="204"/>
      <c r="AD11" s="204"/>
      <c r="AF11" s="204"/>
      <c r="AG11" s="204"/>
      <c r="AH11" s="204"/>
      <c r="AI11" s="204"/>
      <c r="AJ11" s="204"/>
      <c r="AK11" s="204"/>
    </row>
    <row r="12" spans="1:37" x14ac:dyDescent="0.25">
      <c r="A12" s="94">
        <v>1957</v>
      </c>
      <c r="B12" s="168" t="e">
        <f>IF(Bxl_Inflow!C12=0,#N/A,Bxl_Inflow!C12)</f>
        <v>#N/A</v>
      </c>
      <c r="C12" s="163" t="e">
        <v>#N/A</v>
      </c>
      <c r="D12" s="168" t="e">
        <f>IF(Bxl_Inflow!D12=0,#N/A,Bxl_Inflow!D12)</f>
        <v>#N/A</v>
      </c>
      <c r="E12" s="163" t="e">
        <v>#N/A</v>
      </c>
      <c r="F12" s="168" t="e">
        <f>IF(Bxl_Inflow!E12=0,#N/A,Bxl_Inflow!E12)</f>
        <v>#N/A</v>
      </c>
      <c r="G12" s="163" t="e">
        <v>#N/A</v>
      </c>
      <c r="H12" s="168" t="e">
        <f>IF(Bxl_Inflow!F12=0,#N/A,Bxl_Inflow!F12)</f>
        <v>#N/A</v>
      </c>
      <c r="I12" s="163" t="e">
        <v>#N/A</v>
      </c>
      <c r="J12" s="168" t="e">
        <f>IF(Bxl_Inflow!G12=0,#N/A,Bxl_Inflow!G12)</f>
        <v>#N/A</v>
      </c>
      <c r="K12" s="163" t="e">
        <v>#N/A</v>
      </c>
      <c r="L12" s="167" t="e">
        <f>IF(Bxl_Outflow!C12=0,#N/A,Bxl_Outflow!C12)</f>
        <v>#N/A</v>
      </c>
      <c r="M12" s="172" t="e">
        <v>#N/A</v>
      </c>
      <c r="N12" s="167" t="e">
        <f>IF(Bxl_Outflow!D12=0,#N/A,Bxl_Outflow!D12)</f>
        <v>#N/A</v>
      </c>
      <c r="O12" s="172" t="e">
        <v>#N/A</v>
      </c>
      <c r="P12" s="167" t="e">
        <f>IF(Bxl_Outflow!E12=0,#N/A,Bxl_Outflow!E12)</f>
        <v>#N/A</v>
      </c>
      <c r="Q12" s="172" t="e">
        <v>#N/A</v>
      </c>
      <c r="R12" s="167" t="e">
        <f>IF(Bxl_Outflow!F12=0,#N/A,Bxl_Outflow!F12)</f>
        <v>#N/A</v>
      </c>
      <c r="S12" s="172" t="e">
        <v>#N/A</v>
      </c>
      <c r="T12" s="167" t="e">
        <f>IF(Bxl_Outflow!G12=0,#N/A,Bxl_Outflow!G12)</f>
        <v>#N/A</v>
      </c>
      <c r="U12" s="172" t="e">
        <v>#N/A</v>
      </c>
      <c r="W12" s="204"/>
      <c r="X12" s="204"/>
      <c r="Y12" s="204"/>
      <c r="Z12" s="204"/>
      <c r="AA12" s="204"/>
      <c r="AB12" s="204"/>
      <c r="AC12" s="204"/>
      <c r="AD12" s="204"/>
      <c r="AF12" s="204"/>
      <c r="AG12" s="204"/>
      <c r="AH12" s="204"/>
      <c r="AI12" s="204"/>
      <c r="AJ12" s="204"/>
      <c r="AK12" s="204"/>
    </row>
    <row r="13" spans="1:37" x14ac:dyDescent="0.25">
      <c r="A13" s="94">
        <v>1958</v>
      </c>
      <c r="B13" s="168" t="e">
        <f>IF(Bxl_Inflow!C13=0,#N/A,Bxl_Inflow!C13)</f>
        <v>#N/A</v>
      </c>
      <c r="C13" s="163" t="e">
        <v>#N/A</v>
      </c>
      <c r="D13" s="168" t="e">
        <f>IF(Bxl_Inflow!D13=0,#N/A,Bxl_Inflow!D13)</f>
        <v>#N/A</v>
      </c>
      <c r="E13" s="163" t="e">
        <v>#N/A</v>
      </c>
      <c r="F13" s="168" t="e">
        <f>IF(Bxl_Inflow!E13=0,#N/A,Bxl_Inflow!E13)</f>
        <v>#N/A</v>
      </c>
      <c r="G13" s="163" t="e">
        <v>#N/A</v>
      </c>
      <c r="H13" s="168" t="e">
        <f>IF(Bxl_Inflow!F13=0,#N/A,Bxl_Inflow!F13)</f>
        <v>#N/A</v>
      </c>
      <c r="I13" s="163" t="e">
        <v>#N/A</v>
      </c>
      <c r="J13" s="168" t="e">
        <f>IF(Bxl_Inflow!G13=0,#N/A,Bxl_Inflow!G13)</f>
        <v>#N/A</v>
      </c>
      <c r="K13" s="163" t="e">
        <v>#N/A</v>
      </c>
      <c r="L13" s="167" t="e">
        <f>IF(Bxl_Outflow!C13=0,#N/A,Bxl_Outflow!C13)</f>
        <v>#N/A</v>
      </c>
      <c r="M13" s="172" t="e">
        <v>#N/A</v>
      </c>
      <c r="N13" s="167" t="e">
        <f>IF(Bxl_Outflow!D13=0,#N/A,Bxl_Outflow!D13)</f>
        <v>#N/A</v>
      </c>
      <c r="O13" s="172" t="e">
        <v>#N/A</v>
      </c>
      <c r="P13" s="167" t="e">
        <f>IF(Bxl_Outflow!E13=0,#N/A,Bxl_Outflow!E13)</f>
        <v>#N/A</v>
      </c>
      <c r="Q13" s="172" t="e">
        <v>#N/A</v>
      </c>
      <c r="R13" s="167" t="e">
        <f>IF(Bxl_Outflow!F13=0,#N/A,Bxl_Outflow!F13)</f>
        <v>#N/A</v>
      </c>
      <c r="S13" s="172" t="e">
        <v>#N/A</v>
      </c>
      <c r="T13" s="167" t="e">
        <f>IF(Bxl_Outflow!G13=0,#N/A,Bxl_Outflow!G13)</f>
        <v>#N/A</v>
      </c>
      <c r="U13" s="172" t="e">
        <v>#N/A</v>
      </c>
      <c r="W13" s="204"/>
      <c r="X13" s="204"/>
      <c r="Y13" s="204"/>
      <c r="Z13" s="204"/>
      <c r="AA13" s="204"/>
      <c r="AB13" s="204"/>
      <c r="AC13" s="204"/>
      <c r="AD13" s="204"/>
      <c r="AF13" s="204"/>
      <c r="AG13" s="204"/>
      <c r="AH13" s="204"/>
      <c r="AI13" s="204"/>
      <c r="AJ13" s="204"/>
      <c r="AK13" s="204"/>
    </row>
    <row r="14" spans="1:37" x14ac:dyDescent="0.25">
      <c r="A14" s="94">
        <v>1959</v>
      </c>
      <c r="B14" s="168" t="e">
        <f>IF(Bxl_Inflow!C14=0,#N/A,Bxl_Inflow!C14)</f>
        <v>#N/A</v>
      </c>
      <c r="C14" s="163" t="e">
        <v>#N/A</v>
      </c>
      <c r="D14" s="168" t="e">
        <f>IF(Bxl_Inflow!D14=0,#N/A,Bxl_Inflow!D14)</f>
        <v>#N/A</v>
      </c>
      <c r="E14" s="163" t="e">
        <v>#N/A</v>
      </c>
      <c r="F14" s="168" t="e">
        <f>IF(Bxl_Inflow!E14=0,#N/A,Bxl_Inflow!E14)</f>
        <v>#N/A</v>
      </c>
      <c r="G14" s="163" t="e">
        <v>#N/A</v>
      </c>
      <c r="H14" s="168" t="e">
        <f>IF(Bxl_Inflow!F14=0,#N/A,Bxl_Inflow!F14)</f>
        <v>#N/A</v>
      </c>
      <c r="I14" s="163" t="e">
        <v>#N/A</v>
      </c>
      <c r="J14" s="168" t="e">
        <f>IF(Bxl_Inflow!G14=0,#N/A,Bxl_Inflow!G14)</f>
        <v>#N/A</v>
      </c>
      <c r="K14" s="163" t="e">
        <v>#N/A</v>
      </c>
      <c r="L14" s="167" t="e">
        <f>IF(Bxl_Outflow!C14=0,#N/A,Bxl_Outflow!C14)</f>
        <v>#N/A</v>
      </c>
      <c r="M14" s="172" t="e">
        <v>#N/A</v>
      </c>
      <c r="N14" s="167" t="e">
        <f>IF(Bxl_Outflow!D14=0,#N/A,Bxl_Outflow!D14)</f>
        <v>#N/A</v>
      </c>
      <c r="O14" s="172" t="e">
        <v>#N/A</v>
      </c>
      <c r="P14" s="167" t="e">
        <f>IF(Bxl_Outflow!E14=0,#N/A,Bxl_Outflow!E14)</f>
        <v>#N/A</v>
      </c>
      <c r="Q14" s="172" t="e">
        <v>#N/A</v>
      </c>
      <c r="R14" s="167" t="e">
        <f>IF(Bxl_Outflow!F14=0,#N/A,Bxl_Outflow!F14)</f>
        <v>#N/A</v>
      </c>
      <c r="S14" s="172" t="e">
        <v>#N/A</v>
      </c>
      <c r="T14" s="167" t="e">
        <f>IF(Bxl_Outflow!G14=0,#N/A,Bxl_Outflow!G14)</f>
        <v>#N/A</v>
      </c>
      <c r="U14" s="172" t="e">
        <v>#N/A</v>
      </c>
      <c r="W14" s="204"/>
      <c r="X14" s="204"/>
      <c r="Y14" s="204"/>
      <c r="Z14" s="204"/>
      <c r="AA14" s="204"/>
      <c r="AB14" s="204"/>
      <c r="AC14" s="204"/>
      <c r="AD14" s="204"/>
      <c r="AF14" s="204"/>
      <c r="AG14" s="204"/>
      <c r="AH14" s="204"/>
      <c r="AI14" s="204"/>
      <c r="AJ14" s="204"/>
      <c r="AK14" s="204"/>
    </row>
    <row r="15" spans="1:37" x14ac:dyDescent="0.25">
      <c r="A15" s="94">
        <v>1960</v>
      </c>
      <c r="B15" s="168" t="e">
        <f>IF(Bxl_Inflow!C15=0,#N/A,Bxl_Inflow!C15)</f>
        <v>#N/A</v>
      </c>
      <c r="C15" s="163" t="e">
        <v>#N/A</v>
      </c>
      <c r="D15" s="168" t="e">
        <f>IF(Bxl_Inflow!D15=0,#N/A,Bxl_Inflow!D15)</f>
        <v>#N/A</v>
      </c>
      <c r="E15" s="163" t="e">
        <v>#N/A</v>
      </c>
      <c r="F15" s="168" t="e">
        <f>IF(Bxl_Inflow!E15=0,#N/A,Bxl_Inflow!E15)</f>
        <v>#N/A</v>
      </c>
      <c r="G15" s="163" t="e">
        <v>#N/A</v>
      </c>
      <c r="H15" s="168" t="e">
        <f>IF(Bxl_Inflow!F15=0,#N/A,Bxl_Inflow!F15)</f>
        <v>#N/A</v>
      </c>
      <c r="I15" s="163" t="e">
        <v>#N/A</v>
      </c>
      <c r="J15" s="168" t="e">
        <f>IF(Bxl_Inflow!G15=0,#N/A,Bxl_Inflow!G15)</f>
        <v>#N/A</v>
      </c>
      <c r="K15" s="163" t="e">
        <v>#N/A</v>
      </c>
      <c r="L15" s="167" t="e">
        <f>IF(Bxl_Outflow!C15=0,#N/A,Bxl_Outflow!C15)</f>
        <v>#N/A</v>
      </c>
      <c r="M15" s="172" t="e">
        <v>#N/A</v>
      </c>
      <c r="N15" s="167" t="e">
        <f>IF(Bxl_Outflow!D15=0,#N/A,Bxl_Outflow!D15)</f>
        <v>#N/A</v>
      </c>
      <c r="O15" s="172" t="e">
        <v>#N/A</v>
      </c>
      <c r="P15" s="167" t="e">
        <f>IF(Bxl_Outflow!E15=0,#N/A,Bxl_Outflow!E15)</f>
        <v>#N/A</v>
      </c>
      <c r="Q15" s="172" t="e">
        <v>#N/A</v>
      </c>
      <c r="R15" s="167" t="e">
        <f>IF(Bxl_Outflow!F15=0,#N/A,Bxl_Outflow!F15)</f>
        <v>#N/A</v>
      </c>
      <c r="S15" s="172" t="e">
        <v>#N/A</v>
      </c>
      <c r="T15" s="167" t="e">
        <f>IF(Bxl_Outflow!G15=0,#N/A,Bxl_Outflow!G15)</f>
        <v>#N/A</v>
      </c>
      <c r="U15" s="172" t="e">
        <v>#N/A</v>
      </c>
      <c r="W15" s="204"/>
      <c r="X15" s="204"/>
      <c r="Y15" s="207"/>
      <c r="Z15" s="207"/>
      <c r="AA15" s="204"/>
      <c r="AB15" s="207"/>
      <c r="AC15" s="204"/>
      <c r="AD15" s="207"/>
      <c r="AF15" s="204"/>
      <c r="AG15" s="204"/>
      <c r="AH15" s="204"/>
      <c r="AI15" s="204"/>
      <c r="AJ15" s="204"/>
      <c r="AK15" s="204"/>
    </row>
    <row r="16" spans="1:37" x14ac:dyDescent="0.25">
      <c r="A16" s="94">
        <v>1961</v>
      </c>
      <c r="B16" s="168">
        <f>IF(Bxl_Inflow!C16=0,#N/A,Bxl_Inflow!C16)</f>
        <v>726.05</v>
      </c>
      <c r="C16" s="163" t="e">
        <v>#N/A</v>
      </c>
      <c r="D16" s="168">
        <f>IF(Bxl_Inflow!D16=0,#N/A,Bxl_Inflow!D16)</f>
        <v>166.05</v>
      </c>
      <c r="E16" s="163" t="e">
        <v>#N/A</v>
      </c>
      <c r="F16" s="168">
        <f>IF(Bxl_Inflow!E16=0,#N/A,Bxl_Inflow!E16)</f>
        <v>560</v>
      </c>
      <c r="G16" s="163" t="e">
        <v>#N/A</v>
      </c>
      <c r="H16" s="168">
        <f>IF(Bxl_Inflow!F16=0,#N/A,Bxl_Inflow!F16)</f>
        <v>16.961052631578948</v>
      </c>
      <c r="I16" s="163" t="e">
        <v>#N/A</v>
      </c>
      <c r="J16" s="168" t="e">
        <f>IF(Bxl_Inflow!G16=0,#N/A,Bxl_Inflow!G16)</f>
        <v>#N/A</v>
      </c>
      <c r="K16" s="163" t="e">
        <v>#N/A</v>
      </c>
      <c r="L16" s="167" t="e">
        <f>IF(Bxl_Outflow!C16=0,#N/A,Bxl_Outflow!C16)</f>
        <v>#N/A</v>
      </c>
      <c r="M16" s="172" t="e">
        <v>#N/A</v>
      </c>
      <c r="N16" s="167" t="e">
        <f>IF(Bxl_Outflow!D16=0,#N/A,Bxl_Outflow!D16)</f>
        <v>#N/A</v>
      </c>
      <c r="O16" s="172" t="e">
        <v>#N/A</v>
      </c>
      <c r="P16" s="167" t="e">
        <f>IF(Bxl_Outflow!E16=0,#N/A,Bxl_Outflow!E16)</f>
        <v>#N/A</v>
      </c>
      <c r="Q16" s="172" t="e">
        <v>#N/A</v>
      </c>
      <c r="R16" s="167" t="e">
        <f>IF(Bxl_Outflow!F16=0,#N/A,Bxl_Outflow!F16)</f>
        <v>#N/A</v>
      </c>
      <c r="S16" s="172" t="e">
        <v>#N/A</v>
      </c>
      <c r="T16" s="167" t="e">
        <f>IF(Bxl_Outflow!G16=0,#N/A,Bxl_Outflow!G16)</f>
        <v>#N/A</v>
      </c>
      <c r="U16" s="172" t="e">
        <v>#N/A</v>
      </c>
      <c r="W16" s="204"/>
      <c r="X16" s="204"/>
      <c r="Y16" s="207"/>
      <c r="Z16" s="207"/>
      <c r="AA16" s="204"/>
      <c r="AB16" s="207"/>
      <c r="AC16" s="204"/>
      <c r="AD16" s="207"/>
      <c r="AF16" s="204"/>
      <c r="AG16" s="204"/>
      <c r="AH16" s="204"/>
      <c r="AI16" s="204"/>
      <c r="AJ16" s="204"/>
      <c r="AK16" s="204"/>
    </row>
    <row r="17" spans="1:37" x14ac:dyDescent="0.25">
      <c r="A17" s="94">
        <v>1962</v>
      </c>
      <c r="B17" s="168" t="e">
        <f>IF(Bxl_Inflow!C17=0,#N/A,Bxl_Inflow!C17)</f>
        <v>#N/A</v>
      </c>
      <c r="C17" s="163" t="e">
        <v>#N/A</v>
      </c>
      <c r="D17" s="168" t="e">
        <f>IF(Bxl_Inflow!D17=0,#N/A,Bxl_Inflow!D17)</f>
        <v>#N/A</v>
      </c>
      <c r="E17" s="163" t="e">
        <v>#N/A</v>
      </c>
      <c r="F17" s="168" t="e">
        <f>IF(Bxl_Inflow!E17=0,#N/A,Bxl_Inflow!E17)</f>
        <v>#N/A</v>
      </c>
      <c r="G17" s="163" t="e">
        <v>#N/A</v>
      </c>
      <c r="H17" s="168" t="e">
        <f>IF(Bxl_Inflow!F17=0,#N/A,Bxl_Inflow!F17)</f>
        <v>#N/A</v>
      </c>
      <c r="I17" s="163" t="e">
        <v>#N/A</v>
      </c>
      <c r="J17" s="168" t="e">
        <f>IF(Bxl_Inflow!G17=0,#N/A,Bxl_Inflow!G17)</f>
        <v>#N/A</v>
      </c>
      <c r="K17" s="163" t="e">
        <v>#N/A</v>
      </c>
      <c r="L17" s="167" t="e">
        <f>IF(Bxl_Outflow!C17=0,#N/A,Bxl_Outflow!C17)</f>
        <v>#N/A</v>
      </c>
      <c r="M17" s="172" t="e">
        <v>#N/A</v>
      </c>
      <c r="N17" s="167" t="e">
        <f>IF(Bxl_Outflow!D17=0,#N/A,Bxl_Outflow!D17)</f>
        <v>#N/A</v>
      </c>
      <c r="O17" s="172" t="e">
        <v>#N/A</v>
      </c>
      <c r="P17" s="167" t="e">
        <f>IF(Bxl_Outflow!E17=0,#N/A,Bxl_Outflow!E17)</f>
        <v>#N/A</v>
      </c>
      <c r="Q17" s="172" t="e">
        <v>#N/A</v>
      </c>
      <c r="R17" s="167" t="e">
        <f>IF(Bxl_Outflow!F17=0,#N/A,Bxl_Outflow!F17)</f>
        <v>#N/A</v>
      </c>
      <c r="S17" s="172" t="e">
        <v>#N/A</v>
      </c>
      <c r="T17" s="167" t="e">
        <f>IF(Bxl_Outflow!G17=0,#N/A,Bxl_Outflow!G17)</f>
        <v>#N/A</v>
      </c>
      <c r="U17" s="172" t="e">
        <v>#N/A</v>
      </c>
      <c r="W17" s="204"/>
      <c r="X17" s="204"/>
      <c r="Y17" s="207"/>
      <c r="Z17" s="207"/>
      <c r="AA17" s="204"/>
      <c r="AB17" s="207"/>
      <c r="AC17" s="204"/>
      <c r="AD17" s="207"/>
      <c r="AF17" s="204"/>
      <c r="AG17" s="204"/>
      <c r="AH17" s="204"/>
      <c r="AI17" s="204"/>
      <c r="AJ17" s="204"/>
      <c r="AK17" s="204"/>
    </row>
    <row r="18" spans="1:37" x14ac:dyDescent="0.25">
      <c r="A18" s="94">
        <v>1963</v>
      </c>
      <c r="B18" s="168" t="e">
        <f>IF(Bxl_Inflow!C18=0,#N/A,Bxl_Inflow!C18)</f>
        <v>#N/A</v>
      </c>
      <c r="C18" s="163" t="e">
        <v>#N/A</v>
      </c>
      <c r="D18" s="168" t="e">
        <f>IF(Bxl_Inflow!D18=0,#N/A,Bxl_Inflow!D18)</f>
        <v>#N/A</v>
      </c>
      <c r="E18" s="163" t="e">
        <v>#N/A</v>
      </c>
      <c r="F18" s="168" t="e">
        <f>IF(Bxl_Inflow!E18=0,#N/A,Bxl_Inflow!E18)</f>
        <v>#N/A</v>
      </c>
      <c r="G18" s="163" t="e">
        <v>#N/A</v>
      </c>
      <c r="H18" s="168" t="e">
        <f>IF(Bxl_Inflow!F18=0,#N/A,Bxl_Inflow!F18)</f>
        <v>#N/A</v>
      </c>
      <c r="I18" s="163" t="e">
        <v>#N/A</v>
      </c>
      <c r="J18" s="168" t="e">
        <f>IF(Bxl_Inflow!G18=0,#N/A,Bxl_Inflow!G18)</f>
        <v>#N/A</v>
      </c>
      <c r="K18" s="163" t="e">
        <v>#N/A</v>
      </c>
      <c r="L18" s="167" t="e">
        <f>IF(Bxl_Outflow!C18=0,#N/A,Bxl_Outflow!C18)</f>
        <v>#N/A</v>
      </c>
      <c r="M18" s="172" t="e">
        <v>#N/A</v>
      </c>
      <c r="N18" s="167" t="e">
        <f>IF(Bxl_Outflow!D18=0,#N/A,Bxl_Outflow!D18)</f>
        <v>#N/A</v>
      </c>
      <c r="O18" s="172" t="e">
        <v>#N/A</v>
      </c>
      <c r="P18" s="167" t="e">
        <f>IF(Bxl_Outflow!E18=0,#N/A,Bxl_Outflow!E18)</f>
        <v>#N/A</v>
      </c>
      <c r="Q18" s="172" t="e">
        <v>#N/A</v>
      </c>
      <c r="R18" s="167" t="e">
        <f>IF(Bxl_Outflow!F18=0,#N/A,Bxl_Outflow!F18)</f>
        <v>#N/A</v>
      </c>
      <c r="S18" s="172" t="e">
        <v>#N/A</v>
      </c>
      <c r="T18" s="167" t="e">
        <f>IF(Bxl_Outflow!G18=0,#N/A,Bxl_Outflow!G18)</f>
        <v>#N/A</v>
      </c>
      <c r="U18" s="172" t="e">
        <v>#N/A</v>
      </c>
      <c r="W18" s="204"/>
      <c r="X18" s="204"/>
      <c r="Y18" s="207"/>
      <c r="Z18" s="207"/>
      <c r="AA18" s="204"/>
      <c r="AB18" s="207"/>
      <c r="AC18" s="204"/>
      <c r="AD18" s="207"/>
      <c r="AF18" s="204"/>
      <c r="AG18" s="204"/>
      <c r="AH18" s="204"/>
      <c r="AI18" s="204"/>
      <c r="AJ18" s="204"/>
      <c r="AK18" s="204"/>
    </row>
    <row r="19" spans="1:37" x14ac:dyDescent="0.25">
      <c r="A19" s="94">
        <v>1964</v>
      </c>
      <c r="B19" s="168" t="e">
        <f>IF(Bxl_Inflow!C19=0,#N/A,Bxl_Inflow!C19)</f>
        <v>#N/A</v>
      </c>
      <c r="C19" s="163" t="e">
        <v>#N/A</v>
      </c>
      <c r="D19" s="168" t="e">
        <f>IF(Bxl_Inflow!D19=0,#N/A,Bxl_Inflow!D19)</f>
        <v>#N/A</v>
      </c>
      <c r="E19" s="163" t="e">
        <v>#N/A</v>
      </c>
      <c r="F19" s="168" t="e">
        <f>IF(Bxl_Inflow!E19=0,#N/A,Bxl_Inflow!E19)</f>
        <v>#N/A</v>
      </c>
      <c r="G19" s="163" t="e">
        <v>#N/A</v>
      </c>
      <c r="H19" s="168" t="e">
        <f>IF(Bxl_Inflow!F19=0,#N/A,Bxl_Inflow!F19)</f>
        <v>#N/A</v>
      </c>
      <c r="I19" s="163" t="e">
        <v>#N/A</v>
      </c>
      <c r="J19" s="168" t="e">
        <f>IF(Bxl_Inflow!G19=0,#N/A,Bxl_Inflow!G19)</f>
        <v>#N/A</v>
      </c>
      <c r="K19" s="163" t="e">
        <v>#N/A</v>
      </c>
      <c r="L19" s="167" t="e">
        <f>IF(Bxl_Outflow!C19=0,#N/A,Bxl_Outflow!C19)</f>
        <v>#N/A</v>
      </c>
      <c r="M19" s="172" t="e">
        <v>#N/A</v>
      </c>
      <c r="N19" s="167" t="e">
        <f>IF(Bxl_Outflow!D19=0,#N/A,Bxl_Outflow!D19)</f>
        <v>#N/A</v>
      </c>
      <c r="O19" s="172" t="e">
        <v>#N/A</v>
      </c>
      <c r="P19" s="167" t="e">
        <f>IF(Bxl_Outflow!E19=0,#N/A,Bxl_Outflow!E19)</f>
        <v>#N/A</v>
      </c>
      <c r="Q19" s="172" t="e">
        <v>#N/A</v>
      </c>
      <c r="R19" s="167" t="e">
        <f>IF(Bxl_Outflow!F19=0,#N/A,Bxl_Outflow!F19)</f>
        <v>#N/A</v>
      </c>
      <c r="S19" s="172" t="e">
        <v>#N/A</v>
      </c>
      <c r="T19" s="167" t="e">
        <f>IF(Bxl_Outflow!G19=0,#N/A,Bxl_Outflow!G19)</f>
        <v>#N/A</v>
      </c>
      <c r="U19" s="172" t="e">
        <v>#N/A</v>
      </c>
      <c r="W19" s="204"/>
      <c r="X19" s="204"/>
      <c r="Y19" s="207"/>
      <c r="Z19" s="207"/>
      <c r="AA19" s="204"/>
      <c r="AB19" s="207"/>
      <c r="AC19" s="204"/>
      <c r="AD19" s="207"/>
      <c r="AF19" s="204"/>
      <c r="AG19" s="204"/>
      <c r="AH19" s="204"/>
      <c r="AI19" s="204"/>
      <c r="AJ19" s="204"/>
      <c r="AK19" s="204"/>
    </row>
    <row r="20" spans="1:37" x14ac:dyDescent="0.25">
      <c r="A20" s="94">
        <v>1965</v>
      </c>
      <c r="B20" s="168">
        <f>IF(Bxl_Inflow!C20=0,#N/A,Bxl_Inflow!C20)</f>
        <v>304.30079999999998</v>
      </c>
      <c r="C20" s="163" t="e">
        <v>#N/A</v>
      </c>
      <c r="D20" s="168">
        <f>IF(Bxl_Inflow!D20=0,#N/A,Bxl_Inflow!D20)</f>
        <v>19.018800000000002</v>
      </c>
      <c r="E20" s="163" t="e">
        <v>#N/A</v>
      </c>
      <c r="F20" s="168">
        <f>IF(Bxl_Inflow!E20=0,#N/A,Bxl_Inflow!E20)</f>
        <v>285.28199999999998</v>
      </c>
      <c r="G20" s="163" t="e">
        <v>#N/A</v>
      </c>
      <c r="H20" s="168">
        <f>IF(Bxl_Inflow!F20=0,#N/A,Bxl_Inflow!F20)</f>
        <v>20.286720000000003</v>
      </c>
      <c r="I20" s="163" t="e">
        <v>#N/A</v>
      </c>
      <c r="J20" s="168">
        <f>IF(Bxl_Inflow!G20=0,#N/A,Bxl_Inflow!G20)</f>
        <v>15.63768</v>
      </c>
      <c r="K20" s="163" t="e">
        <v>#N/A</v>
      </c>
      <c r="L20" s="167" t="e">
        <f>IF(Bxl_Outflow!C20=0,#N/A,Bxl_Outflow!C20)</f>
        <v>#N/A</v>
      </c>
      <c r="M20" s="172" t="e">
        <v>#N/A</v>
      </c>
      <c r="N20" s="167" t="e">
        <f>IF(Bxl_Outflow!D20=0,#N/A,Bxl_Outflow!D20)</f>
        <v>#N/A</v>
      </c>
      <c r="O20" s="172" t="e">
        <v>#N/A</v>
      </c>
      <c r="P20" s="167" t="e">
        <f>IF(Bxl_Outflow!E20=0,#N/A,Bxl_Outflow!E20)</f>
        <v>#N/A</v>
      </c>
      <c r="Q20" s="172" t="e">
        <v>#N/A</v>
      </c>
      <c r="R20" s="167" t="e">
        <f>IF(Bxl_Outflow!F20=0,#N/A,Bxl_Outflow!F20)</f>
        <v>#N/A</v>
      </c>
      <c r="S20" s="172" t="e">
        <v>#N/A</v>
      </c>
      <c r="T20" s="167" t="e">
        <f>IF(Bxl_Outflow!G20=0,#N/A,Bxl_Outflow!G20)</f>
        <v>#N/A</v>
      </c>
      <c r="U20" s="172" t="e">
        <v>#N/A</v>
      </c>
      <c r="W20" s="208">
        <f>AVERAGE(Bxl_Inflow!B20:B29)</f>
        <v>5011.3274999999994</v>
      </c>
      <c r="X20" s="208">
        <f>AVERAGE(Bxl_Inflow!C20:C29)</f>
        <v>113.61033</v>
      </c>
      <c r="Y20" s="207">
        <f>AVERAGE(Bxl_Outflow!B20:B29)</f>
        <v>0</v>
      </c>
      <c r="Z20" s="207">
        <f>AVERAGE(Bxl_Outflow!C20:C29)</f>
        <v>0</v>
      </c>
      <c r="AA20" s="208">
        <f>AVERAGE(Bxl_Inflow!F20:F29)</f>
        <v>7.2305720000000004</v>
      </c>
      <c r="AB20" s="207">
        <f>AVERAGE(Bxl_Outflow!F20:F29)</f>
        <v>0</v>
      </c>
      <c r="AC20" s="208">
        <f>AVERAGE(Bxl_Inflow!G20:G29)</f>
        <v>5.4014480000000002</v>
      </c>
      <c r="AD20" s="207">
        <f>AVERAGE(Bxl_Outflow!G20:G29)</f>
        <v>0</v>
      </c>
      <c r="AF20" s="204"/>
      <c r="AG20" s="204"/>
      <c r="AH20" s="204"/>
      <c r="AI20" s="204"/>
      <c r="AJ20" s="204"/>
      <c r="AK20" s="204"/>
    </row>
    <row r="21" spans="1:37" x14ac:dyDescent="0.25">
      <c r="A21" s="94">
        <v>1966</v>
      </c>
      <c r="B21" s="168" t="e">
        <f>IF(Bxl_Inflow!C21=0,#N/A,Bxl_Inflow!C21)</f>
        <v>#N/A</v>
      </c>
      <c r="C21" s="163" t="e">
        <v>#N/A</v>
      </c>
      <c r="D21" s="168" t="e">
        <f>IF(Bxl_Inflow!D21=0,#N/A,Bxl_Inflow!D21)</f>
        <v>#N/A</v>
      </c>
      <c r="E21" s="163" t="e">
        <v>#N/A</v>
      </c>
      <c r="F21" s="168" t="e">
        <f>IF(Bxl_Inflow!E21=0,#N/A,Bxl_Inflow!E21)</f>
        <v>#N/A</v>
      </c>
      <c r="G21" s="163" t="e">
        <v>#N/A</v>
      </c>
      <c r="H21" s="168" t="e">
        <f>IF(Bxl_Inflow!F21=0,#N/A,Bxl_Inflow!F21)</f>
        <v>#N/A</v>
      </c>
      <c r="I21" s="163" t="e">
        <v>#N/A</v>
      </c>
      <c r="J21" s="168" t="e">
        <f>IF(Bxl_Inflow!G21=0,#N/A,Bxl_Inflow!G21)</f>
        <v>#N/A</v>
      </c>
      <c r="K21" s="163" t="e">
        <v>#N/A</v>
      </c>
      <c r="L21" s="167" t="e">
        <f>IF(Bxl_Outflow!C21=0,#N/A,Bxl_Outflow!C21)</f>
        <v>#N/A</v>
      </c>
      <c r="M21" s="172" t="e">
        <v>#N/A</v>
      </c>
      <c r="N21" s="167" t="e">
        <f>IF(Bxl_Outflow!D21=0,#N/A,Bxl_Outflow!D21)</f>
        <v>#N/A</v>
      </c>
      <c r="O21" s="172" t="e">
        <v>#N/A</v>
      </c>
      <c r="P21" s="167" t="e">
        <f>IF(Bxl_Outflow!E21=0,#N/A,Bxl_Outflow!E21)</f>
        <v>#N/A</v>
      </c>
      <c r="Q21" s="172" t="e">
        <v>#N/A</v>
      </c>
      <c r="R21" s="167" t="e">
        <f>IF(Bxl_Outflow!F21=0,#N/A,Bxl_Outflow!F21)</f>
        <v>#N/A</v>
      </c>
      <c r="S21" s="172" t="e">
        <v>#N/A</v>
      </c>
      <c r="T21" s="167" t="e">
        <f>IF(Bxl_Outflow!G21=0,#N/A,Bxl_Outflow!G21)</f>
        <v>#N/A</v>
      </c>
      <c r="U21" s="172" t="e">
        <v>#N/A</v>
      </c>
      <c r="W21" s="204"/>
      <c r="X21" s="204"/>
      <c r="Y21" s="207"/>
      <c r="Z21" s="207"/>
      <c r="AA21" s="204"/>
      <c r="AB21" s="207"/>
      <c r="AC21" s="204"/>
      <c r="AD21" s="207"/>
      <c r="AF21" s="204"/>
      <c r="AG21" s="204"/>
      <c r="AH21" s="204"/>
      <c r="AI21" s="204"/>
      <c r="AJ21" s="204"/>
      <c r="AK21" s="204"/>
    </row>
    <row r="22" spans="1:37" x14ac:dyDescent="0.25">
      <c r="A22" s="94">
        <v>1967</v>
      </c>
      <c r="B22" s="168" t="e">
        <f>IF(Bxl_Inflow!C22=0,#N/A,Bxl_Inflow!C22)</f>
        <v>#N/A</v>
      </c>
      <c r="C22" s="163" t="e">
        <v>#N/A</v>
      </c>
      <c r="D22" s="168" t="e">
        <f>IF(Bxl_Inflow!D22=0,#N/A,Bxl_Inflow!D22)</f>
        <v>#N/A</v>
      </c>
      <c r="E22" s="163" t="e">
        <v>#N/A</v>
      </c>
      <c r="F22" s="168" t="e">
        <f>IF(Bxl_Inflow!E22=0,#N/A,Bxl_Inflow!E22)</f>
        <v>#N/A</v>
      </c>
      <c r="G22" s="163" t="e">
        <v>#N/A</v>
      </c>
      <c r="H22" s="168" t="e">
        <f>IF(Bxl_Inflow!F22=0,#N/A,Bxl_Inflow!F22)</f>
        <v>#N/A</v>
      </c>
      <c r="I22" s="163" t="e">
        <v>#N/A</v>
      </c>
      <c r="J22" s="168" t="e">
        <f>IF(Bxl_Inflow!G22=0,#N/A,Bxl_Inflow!G22)</f>
        <v>#N/A</v>
      </c>
      <c r="K22" s="163" t="e">
        <v>#N/A</v>
      </c>
      <c r="L22" s="167" t="e">
        <f>IF(Bxl_Outflow!C22=0,#N/A,Bxl_Outflow!C22)</f>
        <v>#N/A</v>
      </c>
      <c r="M22" s="172" t="e">
        <v>#N/A</v>
      </c>
      <c r="N22" s="167" t="e">
        <f>IF(Bxl_Outflow!D22=0,#N/A,Bxl_Outflow!D22)</f>
        <v>#N/A</v>
      </c>
      <c r="O22" s="172" t="e">
        <v>#N/A</v>
      </c>
      <c r="P22" s="167" t="e">
        <f>IF(Bxl_Outflow!E22=0,#N/A,Bxl_Outflow!E22)</f>
        <v>#N/A</v>
      </c>
      <c r="Q22" s="172" t="e">
        <v>#N/A</v>
      </c>
      <c r="R22" s="167" t="e">
        <f>IF(Bxl_Outflow!F22=0,#N/A,Bxl_Outflow!F22)</f>
        <v>#N/A</v>
      </c>
      <c r="S22" s="172" t="e">
        <v>#N/A</v>
      </c>
      <c r="T22" s="167" t="e">
        <f>IF(Bxl_Outflow!G22=0,#N/A,Bxl_Outflow!G22)</f>
        <v>#N/A</v>
      </c>
      <c r="U22" s="172" t="e">
        <v>#N/A</v>
      </c>
      <c r="W22" s="204"/>
      <c r="X22" s="204"/>
      <c r="Y22" s="207"/>
      <c r="Z22" s="207"/>
      <c r="AA22" s="204"/>
      <c r="AB22" s="207"/>
      <c r="AC22" s="204"/>
      <c r="AD22" s="207"/>
      <c r="AF22" s="204"/>
      <c r="AG22" s="204"/>
      <c r="AH22" s="204"/>
      <c r="AI22" s="204"/>
      <c r="AJ22" s="204"/>
      <c r="AK22" s="204"/>
    </row>
    <row r="23" spans="1:37" x14ac:dyDescent="0.25">
      <c r="A23" s="94">
        <v>1968</v>
      </c>
      <c r="B23" s="168" t="e">
        <f>IF(Bxl_Inflow!C23=0,#N/A,Bxl_Inflow!C23)</f>
        <v>#N/A</v>
      </c>
      <c r="C23" s="163" t="e">
        <v>#N/A</v>
      </c>
      <c r="D23" s="168" t="e">
        <f>IF(Bxl_Inflow!D23=0,#N/A,Bxl_Inflow!D23)</f>
        <v>#N/A</v>
      </c>
      <c r="E23" s="163" t="e">
        <v>#N/A</v>
      </c>
      <c r="F23" s="168" t="e">
        <f>IF(Bxl_Inflow!E23=0,#N/A,Bxl_Inflow!E23)</f>
        <v>#N/A</v>
      </c>
      <c r="G23" s="163" t="e">
        <v>#N/A</v>
      </c>
      <c r="H23" s="168" t="e">
        <f>IF(Bxl_Inflow!F23=0,#N/A,Bxl_Inflow!F23)</f>
        <v>#N/A</v>
      </c>
      <c r="I23" s="163" t="e">
        <v>#N/A</v>
      </c>
      <c r="J23" s="168" t="e">
        <f>IF(Bxl_Inflow!G23=0,#N/A,Bxl_Inflow!G23)</f>
        <v>#N/A</v>
      </c>
      <c r="K23" s="163" t="e">
        <v>#N/A</v>
      </c>
      <c r="L23" s="167" t="e">
        <f>IF(Bxl_Outflow!C23=0,#N/A,Bxl_Outflow!C23)</f>
        <v>#N/A</v>
      </c>
      <c r="M23" s="172" t="e">
        <v>#N/A</v>
      </c>
      <c r="N23" s="167" t="e">
        <f>IF(Bxl_Outflow!D23=0,#N/A,Bxl_Outflow!D23)</f>
        <v>#N/A</v>
      </c>
      <c r="O23" s="172" t="e">
        <v>#N/A</v>
      </c>
      <c r="P23" s="167" t="e">
        <f>IF(Bxl_Outflow!E23=0,#N/A,Bxl_Outflow!E23)</f>
        <v>#N/A</v>
      </c>
      <c r="Q23" s="172" t="e">
        <v>#N/A</v>
      </c>
      <c r="R23" s="167" t="e">
        <f>IF(Bxl_Outflow!F23=0,#N/A,Bxl_Outflow!F23)</f>
        <v>#N/A</v>
      </c>
      <c r="S23" s="172" t="e">
        <v>#N/A</v>
      </c>
      <c r="T23" s="167" t="e">
        <f>IF(Bxl_Outflow!G23=0,#N/A,Bxl_Outflow!G23)</f>
        <v>#N/A</v>
      </c>
      <c r="U23" s="172" t="e">
        <v>#N/A</v>
      </c>
      <c r="W23" s="204"/>
      <c r="X23" s="204"/>
      <c r="Y23" s="207"/>
      <c r="Z23" s="207"/>
      <c r="AA23" s="204"/>
      <c r="AB23" s="207"/>
      <c r="AC23" s="204"/>
      <c r="AD23" s="207"/>
      <c r="AF23" s="204"/>
      <c r="AG23" s="204"/>
      <c r="AH23" s="204"/>
      <c r="AI23" s="204"/>
      <c r="AJ23" s="204"/>
      <c r="AK23" s="204"/>
    </row>
    <row r="24" spans="1:37" x14ac:dyDescent="0.25">
      <c r="A24" s="94">
        <v>1969</v>
      </c>
      <c r="B24" s="168" t="e">
        <f>IF(Bxl_Inflow!C24=0,#N/A,Bxl_Inflow!C24)</f>
        <v>#N/A</v>
      </c>
      <c r="C24" s="163" t="e">
        <v>#N/A</v>
      </c>
      <c r="D24" s="168" t="e">
        <f>IF(Bxl_Inflow!D24=0,#N/A,Bxl_Inflow!D24)</f>
        <v>#N/A</v>
      </c>
      <c r="E24" s="163" t="e">
        <v>#N/A</v>
      </c>
      <c r="F24" s="168" t="e">
        <f>IF(Bxl_Inflow!E24=0,#N/A,Bxl_Inflow!E24)</f>
        <v>#N/A</v>
      </c>
      <c r="G24" s="163" t="e">
        <v>#N/A</v>
      </c>
      <c r="H24" s="168" t="e">
        <f>IF(Bxl_Inflow!F24=0,#N/A,Bxl_Inflow!F24)</f>
        <v>#N/A</v>
      </c>
      <c r="I24" s="163" t="e">
        <v>#N/A</v>
      </c>
      <c r="J24" s="168" t="e">
        <f>IF(Bxl_Inflow!G24=0,#N/A,Bxl_Inflow!G24)</f>
        <v>#N/A</v>
      </c>
      <c r="K24" s="163" t="e">
        <v>#N/A</v>
      </c>
      <c r="L24" s="167" t="e">
        <f>IF(Bxl_Outflow!C24=0,#N/A,Bxl_Outflow!C24)</f>
        <v>#N/A</v>
      </c>
      <c r="M24" s="172" t="e">
        <v>#N/A</v>
      </c>
      <c r="N24" s="167" t="e">
        <f>IF(Bxl_Outflow!D24=0,#N/A,Bxl_Outflow!D24)</f>
        <v>#N/A</v>
      </c>
      <c r="O24" s="172" t="e">
        <v>#N/A</v>
      </c>
      <c r="P24" s="167" t="e">
        <f>IF(Bxl_Outflow!E24=0,#N/A,Bxl_Outflow!E24)</f>
        <v>#N/A</v>
      </c>
      <c r="Q24" s="172" t="e">
        <v>#N/A</v>
      </c>
      <c r="R24" s="167" t="e">
        <f>IF(Bxl_Outflow!F24=0,#N/A,Bxl_Outflow!F24)</f>
        <v>#N/A</v>
      </c>
      <c r="S24" s="172" t="e">
        <v>#N/A</v>
      </c>
      <c r="T24" s="167" t="e">
        <f>IF(Bxl_Outflow!G24=0,#N/A,Bxl_Outflow!G24)</f>
        <v>#N/A</v>
      </c>
      <c r="U24" s="172" t="e">
        <v>#N/A</v>
      </c>
      <c r="W24" s="204"/>
      <c r="X24" s="204"/>
      <c r="Y24" s="207"/>
      <c r="Z24" s="207"/>
      <c r="AA24" s="204"/>
      <c r="AB24" s="207"/>
      <c r="AC24" s="204"/>
      <c r="AD24" s="207"/>
      <c r="AF24" s="204"/>
      <c r="AG24" s="204"/>
      <c r="AH24" s="204"/>
      <c r="AI24" s="204"/>
      <c r="AJ24" s="204"/>
      <c r="AK24" s="204"/>
    </row>
    <row r="25" spans="1:37" x14ac:dyDescent="0.25">
      <c r="A25" s="94">
        <v>1970</v>
      </c>
      <c r="B25" s="168" t="e">
        <f>IF(Bxl_Inflow!C25=0,#N/A,Bxl_Inflow!C25)</f>
        <v>#N/A</v>
      </c>
      <c r="C25" s="163" t="e">
        <v>#N/A</v>
      </c>
      <c r="D25" s="168" t="e">
        <f>IF(Bxl_Inflow!D25=0,#N/A,Bxl_Inflow!D25)</f>
        <v>#N/A</v>
      </c>
      <c r="E25" s="163" t="e">
        <v>#N/A</v>
      </c>
      <c r="F25" s="168" t="e">
        <f>IF(Bxl_Inflow!E25=0,#N/A,Bxl_Inflow!E25)</f>
        <v>#N/A</v>
      </c>
      <c r="G25" s="163" t="e">
        <v>#N/A</v>
      </c>
      <c r="H25" s="168" t="e">
        <f>IF(Bxl_Inflow!F25=0,#N/A,Bxl_Inflow!F25)</f>
        <v>#N/A</v>
      </c>
      <c r="I25" s="163" t="e">
        <v>#N/A</v>
      </c>
      <c r="J25" s="168" t="e">
        <f>IF(Bxl_Inflow!G25=0,#N/A,Bxl_Inflow!G25)</f>
        <v>#N/A</v>
      </c>
      <c r="K25" s="163" t="e">
        <v>#N/A</v>
      </c>
      <c r="L25" s="167" t="e">
        <f>IF(Bxl_Outflow!C25=0,#N/A,Bxl_Outflow!C25)</f>
        <v>#N/A</v>
      </c>
      <c r="M25" s="172" t="e">
        <v>#N/A</v>
      </c>
      <c r="N25" s="167" t="e">
        <f>IF(Bxl_Outflow!D25=0,#N/A,Bxl_Outflow!D25)</f>
        <v>#N/A</v>
      </c>
      <c r="O25" s="172" t="e">
        <v>#N/A</v>
      </c>
      <c r="P25" s="167" t="e">
        <f>IF(Bxl_Outflow!E25=0,#N/A,Bxl_Outflow!E25)</f>
        <v>#N/A</v>
      </c>
      <c r="Q25" s="172" t="e">
        <v>#N/A</v>
      </c>
      <c r="R25" s="167" t="e">
        <f>IF(Bxl_Outflow!F25=0,#N/A,Bxl_Outflow!F25)</f>
        <v>#N/A</v>
      </c>
      <c r="S25" s="172" t="e">
        <v>#N/A</v>
      </c>
      <c r="T25" s="167" t="e">
        <f>IF(Bxl_Outflow!G25=0,#N/A,Bxl_Outflow!G25)</f>
        <v>#N/A</v>
      </c>
      <c r="U25" s="172" t="e">
        <v>#N/A</v>
      </c>
      <c r="W25" s="204"/>
      <c r="X25" s="204"/>
      <c r="Y25" s="207"/>
      <c r="Z25" s="207"/>
      <c r="AA25" s="204"/>
      <c r="AB25" s="207"/>
      <c r="AC25" s="204"/>
      <c r="AD25" s="207"/>
      <c r="AF25" s="204"/>
      <c r="AG25" s="204"/>
      <c r="AH25" s="204"/>
      <c r="AI25" s="204"/>
      <c r="AJ25" s="204"/>
      <c r="AK25" s="204"/>
    </row>
    <row r="26" spans="1:37" x14ac:dyDescent="0.25">
      <c r="A26" s="94">
        <v>1971</v>
      </c>
      <c r="B26" s="168" t="e">
        <f>IF(Bxl_Inflow!C26=0,#N/A,Bxl_Inflow!C26)</f>
        <v>#N/A</v>
      </c>
      <c r="C26" s="163" t="e">
        <v>#N/A</v>
      </c>
      <c r="D26" s="168" t="e">
        <f>IF(Bxl_Inflow!D26=0,#N/A,Bxl_Inflow!D26)</f>
        <v>#N/A</v>
      </c>
      <c r="E26" s="163" t="e">
        <v>#N/A</v>
      </c>
      <c r="F26" s="168" t="e">
        <f>IF(Bxl_Inflow!E26=0,#N/A,Bxl_Inflow!E26)</f>
        <v>#N/A</v>
      </c>
      <c r="G26" s="163" t="e">
        <v>#N/A</v>
      </c>
      <c r="H26" s="168" t="e">
        <f>IF(Bxl_Inflow!F26=0,#N/A,Bxl_Inflow!F26)</f>
        <v>#N/A</v>
      </c>
      <c r="I26" s="163" t="e">
        <v>#N/A</v>
      </c>
      <c r="J26" s="168" t="e">
        <f>IF(Bxl_Inflow!G26=0,#N/A,Bxl_Inflow!G26)</f>
        <v>#N/A</v>
      </c>
      <c r="K26" s="163" t="e">
        <v>#N/A</v>
      </c>
      <c r="L26" s="167" t="e">
        <f>IF(Bxl_Outflow!C26=0,#N/A,Bxl_Outflow!C26)</f>
        <v>#N/A</v>
      </c>
      <c r="M26" s="172" t="e">
        <v>#N/A</v>
      </c>
      <c r="N26" s="167" t="e">
        <f>IF(Bxl_Outflow!D26=0,#N/A,Bxl_Outflow!D26)</f>
        <v>#N/A</v>
      </c>
      <c r="O26" s="172" t="e">
        <v>#N/A</v>
      </c>
      <c r="P26" s="167" t="e">
        <f>IF(Bxl_Outflow!E26=0,#N/A,Bxl_Outflow!E26)</f>
        <v>#N/A</v>
      </c>
      <c r="Q26" s="172" t="e">
        <v>#N/A</v>
      </c>
      <c r="R26" s="167" t="e">
        <f>IF(Bxl_Outflow!F26=0,#N/A,Bxl_Outflow!F26)</f>
        <v>#N/A</v>
      </c>
      <c r="S26" s="172" t="e">
        <v>#N/A</v>
      </c>
      <c r="T26" s="167" t="e">
        <f>IF(Bxl_Outflow!G26=0,#N/A,Bxl_Outflow!G26)</f>
        <v>#N/A</v>
      </c>
      <c r="U26" s="172" t="e">
        <v>#N/A</v>
      </c>
      <c r="W26" s="204"/>
      <c r="X26" s="204"/>
      <c r="Y26" s="207"/>
      <c r="Z26" s="207"/>
      <c r="AA26" s="204"/>
      <c r="AB26" s="207"/>
      <c r="AC26" s="204"/>
      <c r="AD26" s="207"/>
      <c r="AF26" s="204"/>
      <c r="AG26" s="204"/>
      <c r="AH26" s="204"/>
      <c r="AI26" s="204"/>
      <c r="AJ26" s="204"/>
      <c r="AK26" s="204"/>
    </row>
    <row r="27" spans="1:37" x14ac:dyDescent="0.25">
      <c r="A27" s="94">
        <v>1972</v>
      </c>
      <c r="B27" s="168">
        <f>IF(Bxl_Inflow!C27=0,#N/A,Bxl_Inflow!C27)</f>
        <v>831.80250000000001</v>
      </c>
      <c r="C27" s="163" t="e">
        <v>#N/A</v>
      </c>
      <c r="D27" s="168">
        <f>IF(Bxl_Inflow!D27=0,#N/A,Bxl_Inflow!D27)</f>
        <v>83.71350000000001</v>
      </c>
      <c r="E27" s="163" t="e">
        <v>#N/A</v>
      </c>
      <c r="F27" s="168">
        <f>IF(Bxl_Inflow!E27=0,#N/A,Bxl_Inflow!E27)</f>
        <v>748.08899999999994</v>
      </c>
      <c r="G27" s="163" t="e">
        <v>#N/A</v>
      </c>
      <c r="H27" s="168">
        <f>IF(Bxl_Inflow!F27=0,#N/A,Bxl_Inflow!F27)</f>
        <v>52.019000000000005</v>
      </c>
      <c r="I27" s="163" t="e">
        <v>#N/A</v>
      </c>
      <c r="J27" s="168">
        <f>IF(Bxl_Inflow!G27=0,#N/A,Bxl_Inflow!G27)</f>
        <v>38.376800000000003</v>
      </c>
      <c r="K27" s="163" t="e">
        <v>#N/A</v>
      </c>
      <c r="L27" s="167" t="e">
        <f>IF(Bxl_Outflow!C27=0,#N/A,Bxl_Outflow!C27)</f>
        <v>#N/A</v>
      </c>
      <c r="M27" s="172" t="e">
        <v>#N/A</v>
      </c>
      <c r="N27" s="167" t="e">
        <f>IF(Bxl_Outflow!D27=0,#N/A,Bxl_Outflow!D27)</f>
        <v>#N/A</v>
      </c>
      <c r="O27" s="172" t="e">
        <v>#N/A</v>
      </c>
      <c r="P27" s="167" t="e">
        <f>IF(Bxl_Outflow!E27=0,#N/A,Bxl_Outflow!E27)</f>
        <v>#N/A</v>
      </c>
      <c r="Q27" s="172" t="e">
        <v>#N/A</v>
      </c>
      <c r="R27" s="167" t="e">
        <f>IF(Bxl_Outflow!F27=0,#N/A,Bxl_Outflow!F27)</f>
        <v>#N/A</v>
      </c>
      <c r="S27" s="172" t="e">
        <v>#N/A</v>
      </c>
      <c r="T27" s="167" t="e">
        <f>IF(Bxl_Outflow!G27=0,#N/A,Bxl_Outflow!G27)</f>
        <v>#N/A</v>
      </c>
      <c r="U27" s="172" t="e">
        <v>#N/A</v>
      </c>
      <c r="W27" s="204"/>
      <c r="X27" s="204"/>
      <c r="Y27" s="207"/>
      <c r="Z27" s="207"/>
      <c r="AA27" s="204"/>
      <c r="AB27" s="207"/>
      <c r="AC27" s="204"/>
      <c r="AD27" s="207"/>
      <c r="AF27" s="204"/>
      <c r="AG27" s="204"/>
      <c r="AH27" s="204"/>
      <c r="AI27" s="204"/>
      <c r="AJ27" s="204"/>
      <c r="AK27" s="204"/>
    </row>
    <row r="28" spans="1:37" x14ac:dyDescent="0.25">
      <c r="A28" s="94">
        <v>1973</v>
      </c>
      <c r="B28" s="168" t="e">
        <f>IF(Bxl_Inflow!C28=0,#N/A,Bxl_Inflow!C28)</f>
        <v>#N/A</v>
      </c>
      <c r="C28" s="163" t="e">
        <v>#N/A</v>
      </c>
      <c r="D28" s="168" t="e">
        <f>IF(Bxl_Inflow!D28=0,#N/A,Bxl_Inflow!D28)</f>
        <v>#N/A</v>
      </c>
      <c r="E28" s="163" t="e">
        <v>#N/A</v>
      </c>
      <c r="F28" s="168" t="e">
        <f>IF(Bxl_Inflow!E28=0,#N/A,Bxl_Inflow!E28)</f>
        <v>#N/A</v>
      </c>
      <c r="G28" s="163" t="e">
        <v>#N/A</v>
      </c>
      <c r="H28" s="168" t="e">
        <f>IF(Bxl_Inflow!F28=0,#N/A,Bxl_Inflow!F28)</f>
        <v>#N/A</v>
      </c>
      <c r="I28" s="163" t="e">
        <v>#N/A</v>
      </c>
      <c r="J28" s="168" t="e">
        <f>IF(Bxl_Inflow!G28=0,#N/A,Bxl_Inflow!G28)</f>
        <v>#N/A</v>
      </c>
      <c r="K28" s="163" t="e">
        <v>#N/A</v>
      </c>
      <c r="L28" s="167" t="e">
        <f>IF(Bxl_Outflow!C28=0,#N/A,Bxl_Outflow!C28)</f>
        <v>#N/A</v>
      </c>
      <c r="M28" s="172" t="e">
        <v>#N/A</v>
      </c>
      <c r="N28" s="167" t="e">
        <f>IF(Bxl_Outflow!D28=0,#N/A,Bxl_Outflow!D28)</f>
        <v>#N/A</v>
      </c>
      <c r="O28" s="172" t="e">
        <v>#N/A</v>
      </c>
      <c r="P28" s="167" t="e">
        <f>IF(Bxl_Outflow!E28=0,#N/A,Bxl_Outflow!E28)</f>
        <v>#N/A</v>
      </c>
      <c r="Q28" s="172" t="e">
        <v>#N/A</v>
      </c>
      <c r="R28" s="167" t="e">
        <f>IF(Bxl_Outflow!F28=0,#N/A,Bxl_Outflow!F28)</f>
        <v>#N/A</v>
      </c>
      <c r="S28" s="172" t="e">
        <v>#N/A</v>
      </c>
      <c r="T28" s="167" t="e">
        <f>IF(Bxl_Outflow!G28=0,#N/A,Bxl_Outflow!G28)</f>
        <v>#N/A</v>
      </c>
      <c r="U28" s="172" t="e">
        <v>#N/A</v>
      </c>
      <c r="W28" s="204"/>
      <c r="X28" s="204"/>
      <c r="Y28" s="207"/>
      <c r="Z28" s="207"/>
      <c r="AA28" s="204"/>
      <c r="AB28" s="207"/>
      <c r="AC28" s="204"/>
      <c r="AD28" s="207"/>
      <c r="AF28" s="204"/>
      <c r="AG28" s="204"/>
      <c r="AH28" s="204"/>
      <c r="AI28" s="204"/>
      <c r="AJ28" s="204"/>
      <c r="AK28" s="204"/>
    </row>
    <row r="29" spans="1:37" x14ac:dyDescent="0.25">
      <c r="A29" s="94">
        <v>1974</v>
      </c>
      <c r="B29" s="168" t="e">
        <f>IF(Bxl_Inflow!C29=0,#N/A,Bxl_Inflow!C29)</f>
        <v>#N/A</v>
      </c>
      <c r="C29" s="163" t="e">
        <v>#N/A</v>
      </c>
      <c r="D29" s="168" t="e">
        <f>IF(Bxl_Inflow!D29=0,#N/A,Bxl_Inflow!D29)</f>
        <v>#N/A</v>
      </c>
      <c r="E29" s="163" t="e">
        <v>#N/A</v>
      </c>
      <c r="F29" s="168" t="e">
        <f>IF(Bxl_Inflow!E29=0,#N/A,Bxl_Inflow!E29)</f>
        <v>#N/A</v>
      </c>
      <c r="G29" s="163" t="e">
        <v>#N/A</v>
      </c>
      <c r="H29" s="168" t="e">
        <f>IF(Bxl_Inflow!F29=0,#N/A,Bxl_Inflow!F29)</f>
        <v>#N/A</v>
      </c>
      <c r="I29" s="163" t="e">
        <v>#N/A</v>
      </c>
      <c r="J29" s="168" t="e">
        <f>IF(Bxl_Inflow!G29=0,#N/A,Bxl_Inflow!G29)</f>
        <v>#N/A</v>
      </c>
      <c r="K29" s="163" t="e">
        <v>#N/A</v>
      </c>
      <c r="L29" s="167" t="e">
        <f>IF(Bxl_Outflow!C29=0,#N/A,Bxl_Outflow!C29)</f>
        <v>#N/A</v>
      </c>
      <c r="M29" s="172" t="e">
        <v>#N/A</v>
      </c>
      <c r="N29" s="167" t="e">
        <f>IF(Bxl_Outflow!D29=0,#N/A,Bxl_Outflow!D29)</f>
        <v>#N/A</v>
      </c>
      <c r="O29" s="172" t="e">
        <v>#N/A</v>
      </c>
      <c r="P29" s="167" t="e">
        <f>IF(Bxl_Outflow!E29=0,#N/A,Bxl_Outflow!E29)</f>
        <v>#N/A</v>
      </c>
      <c r="Q29" s="172" t="e">
        <v>#N/A</v>
      </c>
      <c r="R29" s="167" t="e">
        <f>IF(Bxl_Outflow!F29=0,#N/A,Bxl_Outflow!F29)</f>
        <v>#N/A</v>
      </c>
      <c r="S29" s="172" t="e">
        <v>#N/A</v>
      </c>
      <c r="T29" s="167" t="e">
        <f>IF(Bxl_Outflow!G29=0,#N/A,Bxl_Outflow!G29)</f>
        <v>#N/A</v>
      </c>
      <c r="U29" s="172" t="e">
        <v>#N/A</v>
      </c>
      <c r="W29" s="204"/>
      <c r="X29" s="204"/>
      <c r="Y29" s="207"/>
      <c r="Z29" s="207"/>
      <c r="AA29" s="204"/>
      <c r="AB29" s="207"/>
      <c r="AC29" s="204"/>
      <c r="AD29" s="207"/>
      <c r="AF29" s="204"/>
      <c r="AG29" s="204"/>
      <c r="AH29" s="204"/>
      <c r="AI29" s="204"/>
      <c r="AJ29" s="204"/>
      <c r="AK29" s="204"/>
    </row>
    <row r="30" spans="1:37" x14ac:dyDescent="0.25">
      <c r="A30" s="94">
        <v>1975</v>
      </c>
      <c r="B30" s="168" t="e">
        <f>IF(Bxl_Inflow!C30=0,#N/A,Bxl_Inflow!C30)</f>
        <v>#N/A</v>
      </c>
      <c r="C30" s="163" t="e">
        <v>#N/A</v>
      </c>
      <c r="D30" s="168" t="e">
        <f>IF(Bxl_Inflow!D30=0,#N/A,Bxl_Inflow!D30)</f>
        <v>#N/A</v>
      </c>
      <c r="E30" s="163" t="e">
        <v>#N/A</v>
      </c>
      <c r="F30" s="168" t="e">
        <f>IF(Bxl_Inflow!E30=0,#N/A,Bxl_Inflow!E30)</f>
        <v>#N/A</v>
      </c>
      <c r="G30" s="163" t="e">
        <v>#N/A</v>
      </c>
      <c r="H30" s="168" t="e">
        <f>IF(Bxl_Inflow!F30=0,#N/A,Bxl_Inflow!F30)</f>
        <v>#N/A</v>
      </c>
      <c r="I30" s="163" t="e">
        <v>#N/A</v>
      </c>
      <c r="J30" s="168" t="e">
        <f>IF(Bxl_Inflow!G30=0,#N/A,Bxl_Inflow!G30)</f>
        <v>#N/A</v>
      </c>
      <c r="K30" s="163" t="e">
        <v>#N/A</v>
      </c>
      <c r="L30" s="167" t="e">
        <f>IF(Bxl_Outflow!C30=0,#N/A,Bxl_Outflow!C30)</f>
        <v>#N/A</v>
      </c>
      <c r="M30" s="172" t="e">
        <v>#N/A</v>
      </c>
      <c r="N30" s="167" t="e">
        <f>IF(Bxl_Outflow!D30=0,#N/A,Bxl_Outflow!D30)</f>
        <v>#N/A</v>
      </c>
      <c r="O30" s="172" t="e">
        <v>#N/A</v>
      </c>
      <c r="P30" s="167" t="e">
        <f>IF(Bxl_Outflow!E30=0,#N/A,Bxl_Outflow!E30)</f>
        <v>#N/A</v>
      </c>
      <c r="Q30" s="172" t="e">
        <v>#N/A</v>
      </c>
      <c r="R30" s="167" t="e">
        <f>IF(Bxl_Outflow!F30=0,#N/A,Bxl_Outflow!F30)</f>
        <v>#N/A</v>
      </c>
      <c r="S30" s="172" t="e">
        <v>#N/A</v>
      </c>
      <c r="T30" s="167" t="e">
        <f>IF(Bxl_Outflow!G30=0,#N/A,Bxl_Outflow!G30)</f>
        <v>#N/A</v>
      </c>
      <c r="U30" s="172" t="e">
        <v>#N/A</v>
      </c>
      <c r="W30" s="208">
        <f>AVERAGE(Bxl_Inflow!B30:B39)</f>
        <v>7286.5949999999993</v>
      </c>
      <c r="X30" s="208">
        <f>AVERAGE(Bxl_Inflow!C30:C39)</f>
        <v>156.617625</v>
      </c>
      <c r="Y30" s="207">
        <f>AVERAGE(Bxl_Outflow!B30:B39)</f>
        <v>0</v>
      </c>
      <c r="Z30" s="207">
        <f>AVERAGE(Bxl_Outflow!C30:C39)</f>
        <v>0</v>
      </c>
      <c r="AA30" s="208">
        <f>AVERAGE(Bxl_Inflow!F30:F39)</f>
        <v>11.73522</v>
      </c>
      <c r="AB30" s="207">
        <f>AVERAGE(Bxl_Outflow!F30:F39)</f>
        <v>0</v>
      </c>
      <c r="AC30" s="208">
        <f>AVERAGE(Bxl_Inflow!G30:G39)</f>
        <v>8.2583400000000005</v>
      </c>
      <c r="AD30" s="207">
        <f>AVERAGE(Bxl_Outflow!G30:G39)</f>
        <v>0</v>
      </c>
      <c r="AF30" s="204"/>
      <c r="AG30" s="204"/>
      <c r="AH30" s="204"/>
      <c r="AI30" s="204"/>
      <c r="AJ30" s="204"/>
      <c r="AK30" s="204"/>
    </row>
    <row r="31" spans="1:37" x14ac:dyDescent="0.25">
      <c r="A31" s="94">
        <v>1976</v>
      </c>
      <c r="B31" s="168">
        <f>IF(Bxl_Inflow!C31=0,#N/A,Bxl_Inflow!C31)</f>
        <v>616.30874999999992</v>
      </c>
      <c r="C31" s="163" t="e">
        <v>#N/A</v>
      </c>
      <c r="D31" s="168">
        <f>IF(Bxl_Inflow!D31=0,#N/A,Bxl_Inflow!D31)</f>
        <v>118.15875000000001</v>
      </c>
      <c r="E31" s="163" t="e">
        <v>#N/A</v>
      </c>
      <c r="F31" s="168">
        <f>IF(Bxl_Inflow!E31=0,#N/A,Bxl_Inflow!E31)</f>
        <v>498.15</v>
      </c>
      <c r="G31" s="163" t="e">
        <v>#N/A</v>
      </c>
      <c r="H31" s="168">
        <f>IF(Bxl_Inflow!F31=0,#N/A,Bxl_Inflow!F31)</f>
        <v>49.295400000000001</v>
      </c>
      <c r="I31" s="163" t="e">
        <v>#N/A</v>
      </c>
      <c r="J31" s="168">
        <f>IF(Bxl_Inflow!G31=0,#N/A,Bxl_Inflow!G31)</f>
        <v>28.168799999999997</v>
      </c>
      <c r="K31" s="163" t="e">
        <v>#N/A</v>
      </c>
      <c r="L31" s="167" t="e">
        <f>IF(Bxl_Outflow!C31=0,#N/A,Bxl_Outflow!C31)</f>
        <v>#N/A</v>
      </c>
      <c r="M31" s="172" t="e">
        <v>#N/A</v>
      </c>
      <c r="N31" s="167" t="e">
        <f>IF(Bxl_Outflow!D31=0,#N/A,Bxl_Outflow!D31)</f>
        <v>#N/A</v>
      </c>
      <c r="O31" s="172" t="e">
        <v>#N/A</v>
      </c>
      <c r="P31" s="167" t="e">
        <f>IF(Bxl_Outflow!E31=0,#N/A,Bxl_Outflow!E31)</f>
        <v>#N/A</v>
      </c>
      <c r="Q31" s="172" t="e">
        <v>#N/A</v>
      </c>
      <c r="R31" s="167" t="e">
        <f>IF(Bxl_Outflow!F31=0,#N/A,Bxl_Outflow!F31)</f>
        <v>#N/A</v>
      </c>
      <c r="S31" s="172" t="e">
        <v>#N/A</v>
      </c>
      <c r="T31" s="167" t="e">
        <f>IF(Bxl_Outflow!G31=0,#N/A,Bxl_Outflow!G31)</f>
        <v>#N/A</v>
      </c>
      <c r="U31" s="172" t="e">
        <v>#N/A</v>
      </c>
      <c r="W31" s="204"/>
      <c r="X31" s="204"/>
      <c r="Y31" s="207"/>
      <c r="Z31" s="207"/>
      <c r="AA31" s="204"/>
      <c r="AB31" s="207"/>
      <c r="AC31" s="204"/>
      <c r="AD31" s="207"/>
      <c r="AF31" s="204"/>
      <c r="AG31" s="204"/>
      <c r="AH31" s="204"/>
      <c r="AI31" s="204"/>
      <c r="AJ31" s="204"/>
      <c r="AK31" s="204"/>
    </row>
    <row r="32" spans="1:37" x14ac:dyDescent="0.25">
      <c r="A32" s="94">
        <v>1977</v>
      </c>
      <c r="B32" s="168" t="e">
        <f>IF(Bxl_Inflow!C32=0,#N/A,Bxl_Inflow!C32)</f>
        <v>#N/A</v>
      </c>
      <c r="C32" s="163" t="e">
        <v>#N/A</v>
      </c>
      <c r="D32" s="168" t="e">
        <f>IF(Bxl_Inflow!D32=0,#N/A,Bxl_Inflow!D32)</f>
        <v>#N/A</v>
      </c>
      <c r="E32" s="163" t="e">
        <v>#N/A</v>
      </c>
      <c r="F32" s="168" t="e">
        <f>IF(Bxl_Inflow!E32=0,#N/A,Bxl_Inflow!E32)</f>
        <v>#N/A</v>
      </c>
      <c r="G32" s="163" t="e">
        <v>#N/A</v>
      </c>
      <c r="H32" s="168" t="e">
        <f>IF(Bxl_Inflow!F32=0,#N/A,Bxl_Inflow!F32)</f>
        <v>#N/A</v>
      </c>
      <c r="I32" s="163" t="e">
        <v>#N/A</v>
      </c>
      <c r="J32" s="168" t="e">
        <f>IF(Bxl_Inflow!G32=0,#N/A,Bxl_Inflow!G32)</f>
        <v>#N/A</v>
      </c>
      <c r="K32" s="163" t="e">
        <v>#N/A</v>
      </c>
      <c r="L32" s="167" t="e">
        <f>IF(Bxl_Outflow!C32=0,#N/A,Bxl_Outflow!C32)</f>
        <v>#N/A</v>
      </c>
      <c r="M32" s="172" t="e">
        <v>#N/A</v>
      </c>
      <c r="N32" s="167" t="e">
        <f>IF(Bxl_Outflow!D32=0,#N/A,Bxl_Outflow!D32)</f>
        <v>#N/A</v>
      </c>
      <c r="O32" s="172" t="e">
        <v>#N/A</v>
      </c>
      <c r="P32" s="167" t="e">
        <f>IF(Bxl_Outflow!E32=0,#N/A,Bxl_Outflow!E32)</f>
        <v>#N/A</v>
      </c>
      <c r="Q32" s="172" t="e">
        <v>#N/A</v>
      </c>
      <c r="R32" s="167" t="e">
        <f>IF(Bxl_Outflow!F32=0,#N/A,Bxl_Outflow!F32)</f>
        <v>#N/A</v>
      </c>
      <c r="S32" s="172" t="e">
        <v>#N/A</v>
      </c>
      <c r="T32" s="167" t="e">
        <f>IF(Bxl_Outflow!G32=0,#N/A,Bxl_Outflow!G32)</f>
        <v>#N/A</v>
      </c>
      <c r="U32" s="172" t="e">
        <v>#N/A</v>
      </c>
      <c r="W32" s="204"/>
      <c r="X32" s="204"/>
      <c r="Y32" s="207"/>
      <c r="Z32" s="207"/>
      <c r="AA32" s="204"/>
      <c r="AB32" s="207"/>
      <c r="AC32" s="204"/>
      <c r="AD32" s="207"/>
      <c r="AF32" s="204"/>
      <c r="AG32" s="204"/>
      <c r="AH32" s="204"/>
      <c r="AI32" s="204"/>
      <c r="AJ32" s="204"/>
      <c r="AK32" s="204"/>
    </row>
    <row r="33" spans="1:37" x14ac:dyDescent="0.25">
      <c r="A33" s="94">
        <v>1978</v>
      </c>
      <c r="B33" s="168">
        <f>IF(Bxl_Inflow!C33=0,#N/A,Bxl_Inflow!C33)</f>
        <v>531.30000000000007</v>
      </c>
      <c r="C33" s="163" t="e">
        <v>#N/A</v>
      </c>
      <c r="D33" s="168" t="e">
        <f>IF(Bxl_Inflow!D33=0,#N/A,Bxl_Inflow!D33)</f>
        <v>#N/A</v>
      </c>
      <c r="E33" s="163" t="e">
        <v>#N/A</v>
      </c>
      <c r="F33" s="168">
        <f>IF(Bxl_Inflow!E33=0,#N/A,Bxl_Inflow!E33)</f>
        <v>531.30000000000007</v>
      </c>
      <c r="G33" s="163" t="e">
        <v>#N/A</v>
      </c>
      <c r="H33" s="168">
        <f>IF(Bxl_Inflow!F33=0,#N/A,Bxl_Inflow!F33)</f>
        <v>36.225000000000001</v>
      </c>
      <c r="I33" s="163" t="e">
        <v>#N/A</v>
      </c>
      <c r="J33" s="168">
        <f>IF(Bxl_Inflow!G33=0,#N/A,Bxl_Inflow!G33)</f>
        <v>36.225000000000001</v>
      </c>
      <c r="K33" s="163" t="e">
        <v>#N/A</v>
      </c>
      <c r="L33" s="167" t="e">
        <f>IF(Bxl_Outflow!C33=0,#N/A,Bxl_Outflow!C33)</f>
        <v>#N/A</v>
      </c>
      <c r="M33" s="172" t="e">
        <v>#N/A</v>
      </c>
      <c r="N33" s="167" t="e">
        <f>IF(Bxl_Outflow!D33=0,#N/A,Bxl_Outflow!D33)</f>
        <v>#N/A</v>
      </c>
      <c r="O33" s="172" t="e">
        <v>#N/A</v>
      </c>
      <c r="P33" s="167" t="e">
        <f>IF(Bxl_Outflow!E33=0,#N/A,Bxl_Outflow!E33)</f>
        <v>#N/A</v>
      </c>
      <c r="Q33" s="172" t="e">
        <v>#N/A</v>
      </c>
      <c r="R33" s="167" t="e">
        <f>IF(Bxl_Outflow!F33=0,#N/A,Bxl_Outflow!F33)</f>
        <v>#N/A</v>
      </c>
      <c r="S33" s="172" t="e">
        <v>#N/A</v>
      </c>
      <c r="T33" s="167" t="e">
        <f>IF(Bxl_Outflow!G33=0,#N/A,Bxl_Outflow!G33)</f>
        <v>#N/A</v>
      </c>
      <c r="U33" s="172" t="e">
        <v>#N/A</v>
      </c>
      <c r="W33" s="204"/>
      <c r="X33" s="204"/>
      <c r="Y33" s="207"/>
      <c r="Z33" s="207"/>
      <c r="AA33" s="204"/>
      <c r="AB33" s="207"/>
      <c r="AC33" s="204"/>
      <c r="AD33" s="207"/>
      <c r="AF33" s="204"/>
      <c r="AG33" s="204"/>
      <c r="AH33" s="204"/>
      <c r="AI33" s="204"/>
      <c r="AJ33" s="204"/>
      <c r="AK33" s="204"/>
    </row>
    <row r="34" spans="1:37" x14ac:dyDescent="0.25">
      <c r="A34" s="94">
        <v>1979</v>
      </c>
      <c r="B34" s="168" t="e">
        <f>IF(Bxl_Inflow!C34=0,#N/A,Bxl_Inflow!C34)</f>
        <v>#N/A</v>
      </c>
      <c r="C34" s="163" t="e">
        <v>#N/A</v>
      </c>
      <c r="D34" s="168" t="e">
        <f>IF(Bxl_Inflow!D34=0,#N/A,Bxl_Inflow!D34)</f>
        <v>#N/A</v>
      </c>
      <c r="E34" s="163" t="e">
        <v>#N/A</v>
      </c>
      <c r="F34" s="168" t="e">
        <f>IF(Bxl_Inflow!E34=0,#N/A,Bxl_Inflow!E34)</f>
        <v>#N/A</v>
      </c>
      <c r="G34" s="163" t="e">
        <v>#N/A</v>
      </c>
      <c r="H34" s="168" t="e">
        <f>IF(Bxl_Inflow!F34=0,#N/A,Bxl_Inflow!F34)</f>
        <v>#N/A</v>
      </c>
      <c r="I34" s="163" t="e">
        <v>#N/A</v>
      </c>
      <c r="J34" s="168" t="e">
        <f>IF(Bxl_Inflow!G34=0,#N/A,Bxl_Inflow!G34)</f>
        <v>#N/A</v>
      </c>
      <c r="K34" s="163" t="e">
        <v>#N/A</v>
      </c>
      <c r="L34" s="167" t="e">
        <f>IF(Bxl_Outflow!C34=0,#N/A,Bxl_Outflow!C34)</f>
        <v>#N/A</v>
      </c>
      <c r="M34" s="172" t="e">
        <v>#N/A</v>
      </c>
      <c r="N34" s="167" t="e">
        <f>IF(Bxl_Outflow!D34=0,#N/A,Bxl_Outflow!D34)</f>
        <v>#N/A</v>
      </c>
      <c r="O34" s="172" t="e">
        <v>#N/A</v>
      </c>
      <c r="P34" s="167" t="e">
        <f>IF(Bxl_Outflow!E34=0,#N/A,Bxl_Outflow!E34)</f>
        <v>#N/A</v>
      </c>
      <c r="Q34" s="172" t="e">
        <v>#N/A</v>
      </c>
      <c r="R34" s="167" t="e">
        <f>IF(Bxl_Outflow!F34=0,#N/A,Bxl_Outflow!F34)</f>
        <v>#N/A</v>
      </c>
      <c r="S34" s="172" t="e">
        <v>#N/A</v>
      </c>
      <c r="T34" s="167" t="e">
        <f>IF(Bxl_Outflow!G34=0,#N/A,Bxl_Outflow!G34)</f>
        <v>#N/A</v>
      </c>
      <c r="U34" s="172" t="e">
        <v>#N/A</v>
      </c>
      <c r="W34" s="204"/>
      <c r="X34" s="204"/>
      <c r="Y34" s="207"/>
      <c r="Z34" s="207"/>
      <c r="AA34" s="204"/>
      <c r="AB34" s="207"/>
      <c r="AC34" s="204"/>
      <c r="AD34" s="207"/>
      <c r="AF34" s="204"/>
      <c r="AG34" s="204"/>
      <c r="AH34" s="204"/>
      <c r="AI34" s="204"/>
      <c r="AJ34" s="204"/>
      <c r="AK34" s="204"/>
    </row>
    <row r="35" spans="1:37" x14ac:dyDescent="0.25">
      <c r="A35" s="94">
        <v>1980</v>
      </c>
      <c r="B35" s="168" t="e">
        <f>IF(Bxl_Inflow!C35=0,#N/A,Bxl_Inflow!C35)</f>
        <v>#N/A</v>
      </c>
      <c r="C35" s="163" t="e">
        <v>#N/A</v>
      </c>
      <c r="D35" s="168" t="e">
        <f>IF(Bxl_Inflow!D35=0,#N/A,Bxl_Inflow!D35)</f>
        <v>#N/A</v>
      </c>
      <c r="E35" s="163" t="e">
        <v>#N/A</v>
      </c>
      <c r="F35" s="168" t="e">
        <f>IF(Bxl_Inflow!E35=0,#N/A,Bxl_Inflow!E35)</f>
        <v>#N/A</v>
      </c>
      <c r="G35" s="163" t="e">
        <v>#N/A</v>
      </c>
      <c r="H35" s="168" t="e">
        <f>IF(Bxl_Inflow!F35=0,#N/A,Bxl_Inflow!F35)</f>
        <v>#N/A</v>
      </c>
      <c r="I35" s="163" t="e">
        <v>#N/A</v>
      </c>
      <c r="J35" s="168" t="e">
        <f>IF(Bxl_Inflow!G35=0,#N/A,Bxl_Inflow!G35)</f>
        <v>#N/A</v>
      </c>
      <c r="K35" s="163" t="e">
        <v>#N/A</v>
      </c>
      <c r="L35" s="167" t="e">
        <f>IF(Bxl_Outflow!C35=0,#N/A,Bxl_Outflow!C35)</f>
        <v>#N/A</v>
      </c>
      <c r="M35" s="172" t="e">
        <v>#N/A</v>
      </c>
      <c r="N35" s="167" t="e">
        <f>IF(Bxl_Outflow!D35=0,#N/A,Bxl_Outflow!D35)</f>
        <v>#N/A</v>
      </c>
      <c r="O35" s="172" t="e">
        <v>#N/A</v>
      </c>
      <c r="P35" s="167" t="e">
        <f>IF(Bxl_Outflow!E35=0,#N/A,Bxl_Outflow!E35)</f>
        <v>#N/A</v>
      </c>
      <c r="Q35" s="172" t="e">
        <v>#N/A</v>
      </c>
      <c r="R35" s="167" t="e">
        <f>IF(Bxl_Outflow!F35=0,#N/A,Bxl_Outflow!F35)</f>
        <v>#N/A</v>
      </c>
      <c r="S35" s="172" t="e">
        <v>#N/A</v>
      </c>
      <c r="T35" s="167" t="e">
        <f>IF(Bxl_Outflow!G35=0,#N/A,Bxl_Outflow!G35)</f>
        <v>#N/A</v>
      </c>
      <c r="U35" s="172" t="e">
        <v>#N/A</v>
      </c>
      <c r="W35" s="204"/>
      <c r="X35" s="204"/>
      <c r="Y35" s="207"/>
      <c r="Z35" s="207"/>
      <c r="AA35" s="204"/>
      <c r="AB35" s="207"/>
      <c r="AC35" s="204"/>
      <c r="AD35" s="207"/>
      <c r="AF35" s="204"/>
      <c r="AG35" s="204"/>
      <c r="AH35" s="204"/>
      <c r="AI35" s="204"/>
      <c r="AJ35" s="204"/>
      <c r="AK35" s="204"/>
    </row>
    <row r="36" spans="1:37" x14ac:dyDescent="0.25">
      <c r="A36" s="94">
        <v>1981</v>
      </c>
      <c r="B36" s="168" t="e">
        <f>IF(Bxl_Inflow!C36=0,#N/A,Bxl_Inflow!C36)</f>
        <v>#N/A</v>
      </c>
      <c r="C36" s="163" t="e">
        <v>#N/A</v>
      </c>
      <c r="D36" s="168" t="e">
        <f>IF(Bxl_Inflow!D36=0,#N/A,Bxl_Inflow!D36)</f>
        <v>#N/A</v>
      </c>
      <c r="E36" s="163" t="e">
        <v>#N/A</v>
      </c>
      <c r="F36" s="168" t="e">
        <f>IF(Bxl_Inflow!E36=0,#N/A,Bxl_Inflow!E36)</f>
        <v>#N/A</v>
      </c>
      <c r="G36" s="163" t="e">
        <v>#N/A</v>
      </c>
      <c r="H36" s="168" t="e">
        <f>IF(Bxl_Inflow!F36=0,#N/A,Bxl_Inflow!F36)</f>
        <v>#N/A</v>
      </c>
      <c r="I36" s="163" t="e">
        <v>#N/A</v>
      </c>
      <c r="J36" s="168" t="e">
        <f>IF(Bxl_Inflow!G36=0,#N/A,Bxl_Inflow!G36)</f>
        <v>#N/A</v>
      </c>
      <c r="K36" s="163" t="e">
        <v>#N/A</v>
      </c>
      <c r="L36" s="167" t="e">
        <f>IF(Bxl_Outflow!C36=0,#N/A,Bxl_Outflow!C36)</f>
        <v>#N/A</v>
      </c>
      <c r="M36" s="172" t="e">
        <v>#N/A</v>
      </c>
      <c r="N36" s="167" t="e">
        <f>IF(Bxl_Outflow!D36=0,#N/A,Bxl_Outflow!D36)</f>
        <v>#N/A</v>
      </c>
      <c r="O36" s="172" t="e">
        <v>#N/A</v>
      </c>
      <c r="P36" s="167" t="e">
        <f>IF(Bxl_Outflow!E36=0,#N/A,Bxl_Outflow!E36)</f>
        <v>#N/A</v>
      </c>
      <c r="Q36" s="172" t="e">
        <v>#N/A</v>
      </c>
      <c r="R36" s="167" t="e">
        <f>IF(Bxl_Outflow!F36=0,#N/A,Bxl_Outflow!F36)</f>
        <v>#N/A</v>
      </c>
      <c r="S36" s="172" t="e">
        <v>#N/A</v>
      </c>
      <c r="T36" s="167" t="e">
        <f>IF(Bxl_Outflow!G36=0,#N/A,Bxl_Outflow!G36)</f>
        <v>#N/A</v>
      </c>
      <c r="U36" s="172" t="e">
        <v>#N/A</v>
      </c>
      <c r="W36" s="204"/>
      <c r="X36" s="204"/>
      <c r="Y36" s="207"/>
      <c r="Z36" s="207"/>
      <c r="AA36" s="204"/>
      <c r="AB36" s="207"/>
      <c r="AC36" s="204"/>
      <c r="AD36" s="207"/>
      <c r="AF36" s="204"/>
      <c r="AG36" s="204"/>
      <c r="AH36" s="204"/>
      <c r="AI36" s="204"/>
      <c r="AJ36" s="204"/>
      <c r="AK36" s="204"/>
    </row>
    <row r="37" spans="1:37" x14ac:dyDescent="0.25">
      <c r="A37" s="94">
        <v>1982</v>
      </c>
      <c r="B37" s="168" t="e">
        <f>IF(Bxl_Inflow!C37=0,#N/A,Bxl_Inflow!C37)</f>
        <v>#N/A</v>
      </c>
      <c r="C37" s="163" t="e">
        <v>#N/A</v>
      </c>
      <c r="D37" s="168" t="e">
        <f>IF(Bxl_Inflow!D37=0,#N/A,Bxl_Inflow!D37)</f>
        <v>#N/A</v>
      </c>
      <c r="E37" s="163" t="e">
        <v>#N/A</v>
      </c>
      <c r="F37" s="168" t="e">
        <f>IF(Bxl_Inflow!E37=0,#N/A,Bxl_Inflow!E37)</f>
        <v>#N/A</v>
      </c>
      <c r="G37" s="163" t="e">
        <v>#N/A</v>
      </c>
      <c r="H37" s="168" t="e">
        <f>IF(Bxl_Inflow!F37=0,#N/A,Bxl_Inflow!F37)</f>
        <v>#N/A</v>
      </c>
      <c r="I37" s="163" t="e">
        <v>#N/A</v>
      </c>
      <c r="J37" s="168" t="e">
        <f>IF(Bxl_Inflow!G37=0,#N/A,Bxl_Inflow!G37)</f>
        <v>#N/A</v>
      </c>
      <c r="K37" s="163" t="e">
        <v>#N/A</v>
      </c>
      <c r="L37" s="167" t="e">
        <f>IF(Bxl_Outflow!C37=0,#N/A,Bxl_Outflow!C37)</f>
        <v>#N/A</v>
      </c>
      <c r="M37" s="172" t="e">
        <v>#N/A</v>
      </c>
      <c r="N37" s="167" t="e">
        <f>IF(Bxl_Outflow!D37=0,#N/A,Bxl_Outflow!D37)</f>
        <v>#N/A</v>
      </c>
      <c r="O37" s="172" t="e">
        <v>#N/A</v>
      </c>
      <c r="P37" s="167" t="e">
        <f>IF(Bxl_Outflow!E37=0,#N/A,Bxl_Outflow!E37)</f>
        <v>#N/A</v>
      </c>
      <c r="Q37" s="172" t="e">
        <v>#N/A</v>
      </c>
      <c r="R37" s="167" t="e">
        <f>IF(Bxl_Outflow!F37=0,#N/A,Bxl_Outflow!F37)</f>
        <v>#N/A</v>
      </c>
      <c r="S37" s="172" t="e">
        <v>#N/A</v>
      </c>
      <c r="T37" s="167" t="e">
        <f>IF(Bxl_Outflow!G37=0,#N/A,Bxl_Outflow!G37)</f>
        <v>#N/A</v>
      </c>
      <c r="U37" s="172" t="e">
        <v>#N/A</v>
      </c>
      <c r="W37" s="204"/>
      <c r="X37" s="204"/>
      <c r="Y37" s="207"/>
      <c r="Z37" s="207"/>
      <c r="AA37" s="204"/>
      <c r="AB37" s="207"/>
      <c r="AC37" s="204"/>
      <c r="AD37" s="207"/>
      <c r="AF37" s="204"/>
      <c r="AG37" s="204"/>
      <c r="AH37" s="204"/>
      <c r="AI37" s="204"/>
      <c r="AJ37" s="204"/>
      <c r="AK37" s="204"/>
    </row>
    <row r="38" spans="1:37" x14ac:dyDescent="0.25">
      <c r="A38" s="94">
        <v>1983</v>
      </c>
      <c r="B38" s="168">
        <f>IF(Bxl_Inflow!C38=0,#N/A,Bxl_Inflow!C38)</f>
        <v>418.5675</v>
      </c>
      <c r="C38" s="163" t="e">
        <v>#N/A</v>
      </c>
      <c r="D38" s="168">
        <f>IF(Bxl_Inflow!D38=0,#N/A,Bxl_Inflow!D38)</f>
        <v>83.71350000000001</v>
      </c>
      <c r="E38" s="163" t="e">
        <v>#N/A</v>
      </c>
      <c r="F38" s="168">
        <f>IF(Bxl_Inflow!E38=0,#N/A,Bxl_Inflow!E38)</f>
        <v>334.85399999999998</v>
      </c>
      <c r="G38" s="163" t="e">
        <v>#N/A</v>
      </c>
      <c r="H38" s="168">
        <f>IF(Bxl_Inflow!F38=0,#N/A,Bxl_Inflow!F38)</f>
        <v>31.831800000000001</v>
      </c>
      <c r="I38" s="163" t="e">
        <v>#N/A</v>
      </c>
      <c r="J38" s="168">
        <f>IF(Bxl_Inflow!G38=0,#N/A,Bxl_Inflow!G38)</f>
        <v>18.189599999999999</v>
      </c>
      <c r="K38" s="163" t="e">
        <v>#N/A</v>
      </c>
      <c r="L38" s="167" t="e">
        <f>IF(Bxl_Outflow!C38=0,#N/A,Bxl_Outflow!C38)</f>
        <v>#N/A</v>
      </c>
      <c r="M38" s="172" t="e">
        <v>#N/A</v>
      </c>
      <c r="N38" s="167" t="e">
        <f>IF(Bxl_Outflow!D38=0,#N/A,Bxl_Outflow!D38)</f>
        <v>#N/A</v>
      </c>
      <c r="O38" s="172" t="e">
        <v>#N/A</v>
      </c>
      <c r="P38" s="167" t="e">
        <f>IF(Bxl_Outflow!E38=0,#N/A,Bxl_Outflow!E38)</f>
        <v>#N/A</v>
      </c>
      <c r="Q38" s="172" t="e">
        <v>#N/A</v>
      </c>
      <c r="R38" s="167" t="e">
        <f>IF(Bxl_Outflow!F38=0,#N/A,Bxl_Outflow!F38)</f>
        <v>#N/A</v>
      </c>
      <c r="S38" s="172" t="e">
        <v>#N/A</v>
      </c>
      <c r="T38" s="167" t="e">
        <f>IF(Bxl_Outflow!G38=0,#N/A,Bxl_Outflow!G38)</f>
        <v>#N/A</v>
      </c>
      <c r="U38" s="172" t="e">
        <v>#N/A</v>
      </c>
      <c r="W38" s="204"/>
      <c r="X38" s="204"/>
      <c r="Y38" s="207"/>
      <c r="Z38" s="207"/>
      <c r="AA38" s="204"/>
      <c r="AB38" s="207"/>
      <c r="AC38" s="204"/>
      <c r="AD38" s="207"/>
      <c r="AF38" s="204"/>
      <c r="AG38" s="204"/>
      <c r="AH38" s="204"/>
      <c r="AI38" s="204"/>
      <c r="AJ38" s="204"/>
      <c r="AK38" s="204"/>
    </row>
    <row r="39" spans="1:37" x14ac:dyDescent="0.25">
      <c r="A39" s="94">
        <v>1984</v>
      </c>
      <c r="B39" s="168" t="e">
        <f>IF(Bxl_Inflow!C39=0,#N/A,Bxl_Inflow!C39)</f>
        <v>#N/A</v>
      </c>
      <c r="C39" s="163" t="e">
        <v>#N/A</v>
      </c>
      <c r="D39" s="168" t="e">
        <f>IF(Bxl_Inflow!D39=0,#N/A,Bxl_Inflow!D39)</f>
        <v>#N/A</v>
      </c>
      <c r="E39" s="163" t="e">
        <v>#N/A</v>
      </c>
      <c r="F39" s="168" t="e">
        <f>IF(Bxl_Inflow!E39=0,#N/A,Bxl_Inflow!E39)</f>
        <v>#N/A</v>
      </c>
      <c r="G39" s="163" t="e">
        <v>#N/A</v>
      </c>
      <c r="H39" s="168" t="e">
        <f>IF(Bxl_Inflow!F39=0,#N/A,Bxl_Inflow!F39)</f>
        <v>#N/A</v>
      </c>
      <c r="I39" s="163" t="e">
        <v>#N/A</v>
      </c>
      <c r="J39" s="168" t="e">
        <f>IF(Bxl_Inflow!G39=0,#N/A,Bxl_Inflow!G39)</f>
        <v>#N/A</v>
      </c>
      <c r="K39" s="163" t="e">
        <v>#N/A</v>
      </c>
      <c r="L39" s="167" t="e">
        <f>IF(Bxl_Outflow!C39=0,#N/A,Bxl_Outflow!C39)</f>
        <v>#N/A</v>
      </c>
      <c r="M39" s="172" t="e">
        <v>#N/A</v>
      </c>
      <c r="N39" s="167" t="e">
        <f>IF(Bxl_Outflow!D39=0,#N/A,Bxl_Outflow!D39)</f>
        <v>#N/A</v>
      </c>
      <c r="O39" s="172" t="e">
        <v>#N/A</v>
      </c>
      <c r="P39" s="167" t="e">
        <f>IF(Bxl_Outflow!E39=0,#N/A,Bxl_Outflow!E39)</f>
        <v>#N/A</v>
      </c>
      <c r="Q39" s="172" t="e">
        <v>#N/A</v>
      </c>
      <c r="R39" s="167" t="e">
        <f>IF(Bxl_Outflow!F39=0,#N/A,Bxl_Outflow!F39)</f>
        <v>#N/A</v>
      </c>
      <c r="S39" s="172" t="e">
        <v>#N/A</v>
      </c>
      <c r="T39" s="167" t="e">
        <f>IF(Bxl_Outflow!G39=0,#N/A,Bxl_Outflow!G39)</f>
        <v>#N/A</v>
      </c>
      <c r="U39" s="172" t="e">
        <v>#N/A</v>
      </c>
      <c r="W39" s="204"/>
      <c r="X39" s="204"/>
      <c r="Y39" s="207"/>
      <c r="Z39" s="207"/>
      <c r="AA39" s="204"/>
      <c r="AB39" s="207"/>
      <c r="AC39" s="204"/>
      <c r="AD39" s="207"/>
      <c r="AF39" s="204"/>
      <c r="AG39" s="204"/>
      <c r="AH39" s="204"/>
      <c r="AI39" s="204"/>
      <c r="AJ39" s="204"/>
      <c r="AK39" s="204"/>
    </row>
    <row r="40" spans="1:37" x14ac:dyDescent="0.25">
      <c r="A40" s="94">
        <v>1985</v>
      </c>
      <c r="B40" s="168" t="e">
        <f>IF(Bxl_Inflow!C40=0,#N/A,Bxl_Inflow!C40)</f>
        <v>#N/A</v>
      </c>
      <c r="C40" s="163" t="e">
        <v>#N/A</v>
      </c>
      <c r="D40" s="168" t="e">
        <f>IF(Bxl_Inflow!D40=0,#N/A,Bxl_Inflow!D40)</f>
        <v>#N/A</v>
      </c>
      <c r="E40" s="163" t="e">
        <v>#N/A</v>
      </c>
      <c r="F40" s="168" t="e">
        <f>IF(Bxl_Inflow!E40=0,#N/A,Bxl_Inflow!E40)</f>
        <v>#N/A</v>
      </c>
      <c r="G40" s="163" t="e">
        <v>#N/A</v>
      </c>
      <c r="H40" s="168" t="e">
        <f>IF(Bxl_Inflow!F40=0,#N/A,Bxl_Inflow!F40)</f>
        <v>#N/A</v>
      </c>
      <c r="I40" s="163" t="e">
        <v>#N/A</v>
      </c>
      <c r="J40" s="168" t="e">
        <f>IF(Bxl_Inflow!G40=0,#N/A,Bxl_Inflow!G40)</f>
        <v>#N/A</v>
      </c>
      <c r="K40" s="163" t="e">
        <v>#N/A</v>
      </c>
      <c r="L40" s="167" t="e">
        <f>IF(Bxl_Outflow!C40=0,#N/A,Bxl_Outflow!C40)</f>
        <v>#N/A</v>
      </c>
      <c r="M40" s="172" t="e">
        <v>#N/A</v>
      </c>
      <c r="N40" s="167" t="e">
        <f>IF(Bxl_Outflow!D40=0,#N/A,Bxl_Outflow!D40)</f>
        <v>#N/A</v>
      </c>
      <c r="O40" s="172" t="e">
        <v>#N/A</v>
      </c>
      <c r="P40" s="167" t="e">
        <f>IF(Bxl_Outflow!E40=0,#N/A,Bxl_Outflow!E40)</f>
        <v>#N/A</v>
      </c>
      <c r="Q40" s="172" t="e">
        <v>#N/A</v>
      </c>
      <c r="R40" s="167" t="e">
        <f>IF(Bxl_Outflow!F40=0,#N/A,Bxl_Outflow!F40)</f>
        <v>#N/A</v>
      </c>
      <c r="S40" s="172" t="e">
        <v>#N/A</v>
      </c>
      <c r="T40" s="167" t="e">
        <f>IF(Bxl_Outflow!G40=0,#N/A,Bxl_Outflow!G40)</f>
        <v>#N/A</v>
      </c>
      <c r="U40" s="172" t="e">
        <v>#N/A</v>
      </c>
      <c r="W40" s="208">
        <f>AVERAGE(Bxl_Inflow!B40:B49)</f>
        <v>2256.48</v>
      </c>
      <c r="X40" s="208">
        <f>AVERAGE(Bxl_Inflow!C40:C49)</f>
        <v>45.129599999999996</v>
      </c>
      <c r="Y40" s="207">
        <f>AVERAGE(Bxl_Outflow!B40:B49)</f>
        <v>0</v>
      </c>
      <c r="Z40" s="207">
        <f>AVERAGE(Bxl_Outflow!C40:C49)</f>
        <v>0</v>
      </c>
      <c r="AA40" s="208">
        <f>AVERAGE(Bxl_Inflow!F40:F49)</f>
        <v>2.6325600000000002</v>
      </c>
      <c r="AB40" s="207">
        <f>AVERAGE(Bxl_Outflow!F40:F49)</f>
        <v>0</v>
      </c>
      <c r="AC40" s="208">
        <f>AVERAGE(Bxl_Inflow!G40:G49)</f>
        <v>2.6325600000000002</v>
      </c>
      <c r="AD40" s="207">
        <f>AVERAGE(Bxl_Outflow!G40:G49)</f>
        <v>0</v>
      </c>
      <c r="AF40" s="204"/>
      <c r="AG40" s="204"/>
      <c r="AH40" s="204"/>
      <c r="AI40" s="204"/>
      <c r="AJ40" s="204"/>
      <c r="AK40" s="204"/>
    </row>
    <row r="41" spans="1:37" x14ac:dyDescent="0.25">
      <c r="A41" s="94">
        <v>1986</v>
      </c>
      <c r="B41" s="168" t="e">
        <f>IF(Bxl_Inflow!C41=0,#N/A,Bxl_Inflow!C41)</f>
        <v>#N/A</v>
      </c>
      <c r="C41" s="163" t="e">
        <v>#N/A</v>
      </c>
      <c r="D41" s="168" t="e">
        <f>IF(Bxl_Inflow!D41=0,#N/A,Bxl_Inflow!D41)</f>
        <v>#N/A</v>
      </c>
      <c r="E41" s="163" t="e">
        <v>#N/A</v>
      </c>
      <c r="F41" s="168" t="e">
        <f>IF(Bxl_Inflow!E41=0,#N/A,Bxl_Inflow!E41)</f>
        <v>#N/A</v>
      </c>
      <c r="G41" s="163" t="e">
        <v>#N/A</v>
      </c>
      <c r="H41" s="168" t="e">
        <f>IF(Bxl_Inflow!F41=0,#N/A,Bxl_Inflow!F41)</f>
        <v>#N/A</v>
      </c>
      <c r="I41" s="163" t="e">
        <v>#N/A</v>
      </c>
      <c r="J41" s="168" t="e">
        <f>IF(Bxl_Inflow!G41=0,#N/A,Bxl_Inflow!G41)</f>
        <v>#N/A</v>
      </c>
      <c r="K41" s="163" t="e">
        <v>#N/A</v>
      </c>
      <c r="L41" s="167" t="e">
        <f>IF(Bxl_Outflow!C41=0,#N/A,Bxl_Outflow!C41)</f>
        <v>#N/A</v>
      </c>
      <c r="M41" s="172" t="e">
        <v>#N/A</v>
      </c>
      <c r="N41" s="167" t="e">
        <f>IF(Bxl_Outflow!D41=0,#N/A,Bxl_Outflow!D41)</f>
        <v>#N/A</v>
      </c>
      <c r="O41" s="172" t="e">
        <v>#N/A</v>
      </c>
      <c r="P41" s="167" t="e">
        <f>IF(Bxl_Outflow!E41=0,#N/A,Bxl_Outflow!E41)</f>
        <v>#N/A</v>
      </c>
      <c r="Q41" s="172" t="e">
        <v>#N/A</v>
      </c>
      <c r="R41" s="167" t="e">
        <f>IF(Bxl_Outflow!F41=0,#N/A,Bxl_Outflow!F41)</f>
        <v>#N/A</v>
      </c>
      <c r="S41" s="172" t="e">
        <v>#N/A</v>
      </c>
      <c r="T41" s="167" t="e">
        <f>IF(Bxl_Outflow!G41=0,#N/A,Bxl_Outflow!G41)</f>
        <v>#N/A</v>
      </c>
      <c r="U41" s="172" t="e">
        <v>#N/A</v>
      </c>
      <c r="W41" s="204"/>
      <c r="X41" s="204"/>
      <c r="Y41" s="207"/>
      <c r="Z41" s="207"/>
      <c r="AA41" s="204"/>
      <c r="AB41" s="207"/>
      <c r="AC41" s="204"/>
      <c r="AD41" s="207"/>
      <c r="AF41" s="204"/>
      <c r="AG41" s="204"/>
      <c r="AH41" s="204"/>
      <c r="AI41" s="204"/>
      <c r="AJ41" s="204"/>
      <c r="AK41" s="204"/>
    </row>
    <row r="42" spans="1:37" x14ac:dyDescent="0.25">
      <c r="A42" s="94">
        <v>1987</v>
      </c>
      <c r="B42" s="168" t="e">
        <f>IF(Bxl_Inflow!C42=0,#N/A,Bxl_Inflow!C42)</f>
        <v>#N/A</v>
      </c>
      <c r="C42" s="163" t="e">
        <v>#N/A</v>
      </c>
      <c r="D42" s="168" t="e">
        <f>IF(Bxl_Inflow!D42=0,#N/A,Bxl_Inflow!D42)</f>
        <v>#N/A</v>
      </c>
      <c r="E42" s="163" t="e">
        <v>#N/A</v>
      </c>
      <c r="F42" s="168" t="e">
        <f>IF(Bxl_Inflow!E42=0,#N/A,Bxl_Inflow!E42)</f>
        <v>#N/A</v>
      </c>
      <c r="G42" s="163" t="e">
        <v>#N/A</v>
      </c>
      <c r="H42" s="168" t="e">
        <f>IF(Bxl_Inflow!F42=0,#N/A,Bxl_Inflow!F42)</f>
        <v>#N/A</v>
      </c>
      <c r="I42" s="163" t="e">
        <v>#N/A</v>
      </c>
      <c r="J42" s="168" t="e">
        <f>IF(Bxl_Inflow!G42=0,#N/A,Bxl_Inflow!G42)</f>
        <v>#N/A</v>
      </c>
      <c r="K42" s="163" t="e">
        <v>#N/A</v>
      </c>
      <c r="L42" s="167" t="e">
        <f>IF(Bxl_Outflow!C42=0,#N/A,Bxl_Outflow!C42)</f>
        <v>#N/A</v>
      </c>
      <c r="M42" s="172" t="e">
        <v>#N/A</v>
      </c>
      <c r="N42" s="167" t="e">
        <f>IF(Bxl_Outflow!D42=0,#N/A,Bxl_Outflow!D42)</f>
        <v>#N/A</v>
      </c>
      <c r="O42" s="172" t="e">
        <v>#N/A</v>
      </c>
      <c r="P42" s="167" t="e">
        <f>IF(Bxl_Outflow!E42=0,#N/A,Bxl_Outflow!E42)</f>
        <v>#N/A</v>
      </c>
      <c r="Q42" s="172" t="e">
        <v>#N/A</v>
      </c>
      <c r="R42" s="167" t="e">
        <f>IF(Bxl_Outflow!F42=0,#N/A,Bxl_Outflow!F42)</f>
        <v>#N/A</v>
      </c>
      <c r="S42" s="172" t="e">
        <v>#N/A</v>
      </c>
      <c r="T42" s="167" t="e">
        <f>IF(Bxl_Outflow!G42=0,#N/A,Bxl_Outflow!G42)</f>
        <v>#N/A</v>
      </c>
      <c r="U42" s="172" t="e">
        <v>#N/A</v>
      </c>
      <c r="W42" s="204"/>
      <c r="X42" s="204"/>
      <c r="Y42" s="207"/>
      <c r="Z42" s="207"/>
      <c r="AA42" s="204"/>
      <c r="AB42" s="207"/>
      <c r="AC42" s="204"/>
      <c r="AD42" s="207"/>
      <c r="AF42" s="204"/>
      <c r="AG42" s="204"/>
      <c r="AH42" s="204"/>
      <c r="AI42" s="204"/>
      <c r="AJ42" s="204"/>
      <c r="AK42" s="204"/>
    </row>
    <row r="43" spans="1:37" x14ac:dyDescent="0.25">
      <c r="A43" s="94">
        <v>1988</v>
      </c>
      <c r="B43" s="168" t="e">
        <f>IF(Bxl_Inflow!C43=0,#N/A,Bxl_Inflow!C43)</f>
        <v>#N/A</v>
      </c>
      <c r="C43" s="163" t="e">
        <v>#N/A</v>
      </c>
      <c r="D43" s="168" t="e">
        <f>IF(Bxl_Inflow!D43=0,#N/A,Bxl_Inflow!D43)</f>
        <v>#N/A</v>
      </c>
      <c r="E43" s="163" t="e">
        <v>#N/A</v>
      </c>
      <c r="F43" s="168" t="e">
        <f>IF(Bxl_Inflow!E43=0,#N/A,Bxl_Inflow!E43)</f>
        <v>#N/A</v>
      </c>
      <c r="G43" s="163" t="e">
        <v>#N/A</v>
      </c>
      <c r="H43" s="168" t="e">
        <f>IF(Bxl_Inflow!F43=0,#N/A,Bxl_Inflow!F43)</f>
        <v>#N/A</v>
      </c>
      <c r="I43" s="163" t="e">
        <v>#N/A</v>
      </c>
      <c r="J43" s="168" t="e">
        <f>IF(Bxl_Inflow!G43=0,#N/A,Bxl_Inflow!G43)</f>
        <v>#N/A</v>
      </c>
      <c r="K43" s="163" t="e">
        <v>#N/A</v>
      </c>
      <c r="L43" s="167" t="e">
        <f>IF(Bxl_Outflow!C43=0,#N/A,Bxl_Outflow!C43)</f>
        <v>#N/A</v>
      </c>
      <c r="M43" s="172" t="e">
        <v>#N/A</v>
      </c>
      <c r="N43" s="167" t="e">
        <f>IF(Bxl_Outflow!D43=0,#N/A,Bxl_Outflow!D43)</f>
        <v>#N/A</v>
      </c>
      <c r="O43" s="172" t="e">
        <v>#N/A</v>
      </c>
      <c r="P43" s="167" t="e">
        <f>IF(Bxl_Outflow!E43=0,#N/A,Bxl_Outflow!E43)</f>
        <v>#N/A</v>
      </c>
      <c r="Q43" s="172" t="e">
        <v>#N/A</v>
      </c>
      <c r="R43" s="167" t="e">
        <f>IF(Bxl_Outflow!F43=0,#N/A,Bxl_Outflow!F43)</f>
        <v>#N/A</v>
      </c>
      <c r="S43" s="172" t="e">
        <v>#N/A</v>
      </c>
      <c r="T43" s="167" t="e">
        <f>IF(Bxl_Outflow!G43=0,#N/A,Bxl_Outflow!G43)</f>
        <v>#N/A</v>
      </c>
      <c r="U43" s="172" t="e">
        <v>#N/A</v>
      </c>
      <c r="W43" s="204"/>
      <c r="X43" s="204"/>
      <c r="Y43" s="207"/>
      <c r="Z43" s="207"/>
      <c r="AA43" s="204"/>
      <c r="AB43" s="207"/>
      <c r="AC43" s="204"/>
      <c r="AD43" s="207"/>
      <c r="AF43" s="204"/>
      <c r="AG43" s="204"/>
      <c r="AH43" s="204"/>
      <c r="AI43" s="204"/>
      <c r="AJ43" s="204"/>
      <c r="AK43" s="204"/>
    </row>
    <row r="44" spans="1:37" x14ac:dyDescent="0.25">
      <c r="A44" s="94">
        <v>1989</v>
      </c>
      <c r="B44" s="168" t="e">
        <f>IF(Bxl_Inflow!C44=0,#N/A,Bxl_Inflow!C44)</f>
        <v>#N/A</v>
      </c>
      <c r="C44" s="163" t="e">
        <v>#N/A</v>
      </c>
      <c r="D44" s="168" t="e">
        <f>IF(Bxl_Inflow!D44=0,#N/A,Bxl_Inflow!D44)</f>
        <v>#N/A</v>
      </c>
      <c r="E44" s="163" t="e">
        <v>#N/A</v>
      </c>
      <c r="F44" s="168" t="e">
        <f>IF(Bxl_Inflow!E44=0,#N/A,Bxl_Inflow!E44)</f>
        <v>#N/A</v>
      </c>
      <c r="G44" s="163" t="e">
        <v>#N/A</v>
      </c>
      <c r="H44" s="168" t="e">
        <f>IF(Bxl_Inflow!F44=0,#N/A,Bxl_Inflow!F44)</f>
        <v>#N/A</v>
      </c>
      <c r="I44" s="163" t="e">
        <v>#N/A</v>
      </c>
      <c r="J44" s="168" t="e">
        <f>IF(Bxl_Inflow!G44=0,#N/A,Bxl_Inflow!G44)</f>
        <v>#N/A</v>
      </c>
      <c r="K44" s="163" t="e">
        <v>#N/A</v>
      </c>
      <c r="L44" s="167" t="e">
        <f>IF(Bxl_Outflow!C44=0,#N/A,Bxl_Outflow!C44)</f>
        <v>#N/A</v>
      </c>
      <c r="M44" s="172" t="e">
        <v>#N/A</v>
      </c>
      <c r="N44" s="167" t="e">
        <f>IF(Bxl_Outflow!D44=0,#N/A,Bxl_Outflow!D44)</f>
        <v>#N/A</v>
      </c>
      <c r="O44" s="172" t="e">
        <v>#N/A</v>
      </c>
      <c r="P44" s="167" t="e">
        <f>IF(Bxl_Outflow!E44=0,#N/A,Bxl_Outflow!E44)</f>
        <v>#N/A</v>
      </c>
      <c r="Q44" s="172" t="e">
        <v>#N/A</v>
      </c>
      <c r="R44" s="167" t="e">
        <f>IF(Bxl_Outflow!F44=0,#N/A,Bxl_Outflow!F44)</f>
        <v>#N/A</v>
      </c>
      <c r="S44" s="172" t="e">
        <v>#N/A</v>
      </c>
      <c r="T44" s="167" t="e">
        <f>IF(Bxl_Outflow!G44=0,#N/A,Bxl_Outflow!G44)</f>
        <v>#N/A</v>
      </c>
      <c r="U44" s="172" t="e">
        <v>#N/A</v>
      </c>
      <c r="W44" s="204"/>
      <c r="X44" s="204"/>
      <c r="Y44" s="207"/>
      <c r="Z44" s="207"/>
      <c r="AA44" s="204"/>
      <c r="AB44" s="207"/>
      <c r="AC44" s="204"/>
      <c r="AD44" s="207"/>
      <c r="AF44" s="204"/>
      <c r="AG44" s="204"/>
      <c r="AH44" s="204"/>
      <c r="AI44" s="204"/>
      <c r="AJ44" s="204"/>
      <c r="AK44" s="204"/>
    </row>
    <row r="45" spans="1:37" x14ac:dyDescent="0.25">
      <c r="A45" s="94">
        <v>1990</v>
      </c>
      <c r="B45" s="168" t="e">
        <f>IF(Bxl_Inflow!C45=0,#N/A,Bxl_Inflow!C45)</f>
        <v>#N/A</v>
      </c>
      <c r="C45" s="163" t="e">
        <v>#N/A</v>
      </c>
      <c r="D45" s="168" t="e">
        <f>IF(Bxl_Inflow!D45=0,#N/A,Bxl_Inflow!D45)</f>
        <v>#N/A</v>
      </c>
      <c r="E45" s="163" t="e">
        <v>#N/A</v>
      </c>
      <c r="F45" s="168" t="e">
        <f>IF(Bxl_Inflow!E45=0,#N/A,Bxl_Inflow!E45)</f>
        <v>#N/A</v>
      </c>
      <c r="G45" s="163" t="e">
        <v>#N/A</v>
      </c>
      <c r="H45" s="168" t="e">
        <f>IF(Bxl_Inflow!F45=0,#N/A,Bxl_Inflow!F45)</f>
        <v>#N/A</v>
      </c>
      <c r="I45" s="163" t="e">
        <v>#N/A</v>
      </c>
      <c r="J45" s="168" t="e">
        <f>IF(Bxl_Inflow!G45=0,#N/A,Bxl_Inflow!G45)</f>
        <v>#N/A</v>
      </c>
      <c r="K45" s="163" t="e">
        <v>#N/A</v>
      </c>
      <c r="L45" s="167" t="e">
        <f>IF(Bxl_Outflow!C45=0,#N/A,Bxl_Outflow!C45)</f>
        <v>#N/A</v>
      </c>
      <c r="M45" s="172" t="e">
        <v>#N/A</v>
      </c>
      <c r="N45" s="167" t="e">
        <f>IF(Bxl_Outflow!D45=0,#N/A,Bxl_Outflow!D45)</f>
        <v>#N/A</v>
      </c>
      <c r="O45" s="172" t="e">
        <v>#N/A</v>
      </c>
      <c r="P45" s="167" t="e">
        <f>IF(Bxl_Outflow!E45=0,#N/A,Bxl_Outflow!E45)</f>
        <v>#N/A</v>
      </c>
      <c r="Q45" s="172" t="e">
        <v>#N/A</v>
      </c>
      <c r="R45" s="167" t="e">
        <f>IF(Bxl_Outflow!F45=0,#N/A,Bxl_Outflow!F45)</f>
        <v>#N/A</v>
      </c>
      <c r="S45" s="172" t="e">
        <v>#N/A</v>
      </c>
      <c r="T45" s="167" t="e">
        <f>IF(Bxl_Outflow!G45=0,#N/A,Bxl_Outflow!G45)</f>
        <v>#N/A</v>
      </c>
      <c r="U45" s="172" t="e">
        <v>#N/A</v>
      </c>
      <c r="W45" s="204"/>
      <c r="X45" s="204"/>
      <c r="Y45" s="207"/>
      <c r="Z45" s="207"/>
      <c r="AA45" s="204"/>
      <c r="AB45" s="207"/>
      <c r="AC45" s="204"/>
      <c r="AD45" s="207"/>
      <c r="AF45" s="204"/>
      <c r="AG45" s="204"/>
      <c r="AH45" s="204"/>
      <c r="AI45" s="204"/>
      <c r="AJ45" s="204"/>
      <c r="AK45" s="204"/>
    </row>
    <row r="46" spans="1:37" x14ac:dyDescent="0.25">
      <c r="A46" s="94">
        <v>1991</v>
      </c>
      <c r="B46" s="168" t="e">
        <f>IF(Bxl_Inflow!C46=0,#N/A,Bxl_Inflow!C46)</f>
        <v>#N/A</v>
      </c>
      <c r="C46" s="163" t="e">
        <v>#N/A</v>
      </c>
      <c r="D46" s="168" t="e">
        <f>IF(Bxl_Inflow!D46=0,#N/A,Bxl_Inflow!D46)</f>
        <v>#N/A</v>
      </c>
      <c r="E46" s="163" t="e">
        <v>#N/A</v>
      </c>
      <c r="F46" s="168" t="e">
        <f>IF(Bxl_Inflow!E46=0,#N/A,Bxl_Inflow!E46)</f>
        <v>#N/A</v>
      </c>
      <c r="G46" s="163" t="e">
        <v>#N/A</v>
      </c>
      <c r="H46" s="168" t="e">
        <f>IF(Bxl_Inflow!F46=0,#N/A,Bxl_Inflow!F46)</f>
        <v>#N/A</v>
      </c>
      <c r="I46" s="163" t="e">
        <v>#N/A</v>
      </c>
      <c r="J46" s="168" t="e">
        <f>IF(Bxl_Inflow!G46=0,#N/A,Bxl_Inflow!G46)</f>
        <v>#N/A</v>
      </c>
      <c r="K46" s="163" t="e">
        <v>#N/A</v>
      </c>
      <c r="L46" s="167" t="e">
        <f>IF(Bxl_Outflow!C46=0,#N/A,Bxl_Outflow!C46)</f>
        <v>#N/A</v>
      </c>
      <c r="M46" s="172" t="e">
        <v>#N/A</v>
      </c>
      <c r="N46" s="167" t="e">
        <f>IF(Bxl_Outflow!D46=0,#N/A,Bxl_Outflow!D46)</f>
        <v>#N/A</v>
      </c>
      <c r="O46" s="172" t="e">
        <v>#N/A</v>
      </c>
      <c r="P46" s="167" t="e">
        <f>IF(Bxl_Outflow!E46=0,#N/A,Bxl_Outflow!E46)</f>
        <v>#N/A</v>
      </c>
      <c r="Q46" s="172" t="e">
        <v>#N/A</v>
      </c>
      <c r="R46" s="167" t="e">
        <f>IF(Bxl_Outflow!F46=0,#N/A,Bxl_Outflow!F46)</f>
        <v>#N/A</v>
      </c>
      <c r="S46" s="172" t="e">
        <v>#N/A</v>
      </c>
      <c r="T46" s="167" t="e">
        <f>IF(Bxl_Outflow!G46=0,#N/A,Bxl_Outflow!G46)</f>
        <v>#N/A</v>
      </c>
      <c r="U46" s="172" t="e">
        <v>#N/A</v>
      </c>
      <c r="W46" s="204"/>
      <c r="X46" s="204"/>
      <c r="Y46" s="207"/>
      <c r="Z46" s="207"/>
      <c r="AA46" s="204"/>
      <c r="AB46" s="207"/>
      <c r="AC46" s="204"/>
      <c r="AD46" s="207"/>
      <c r="AF46" s="204"/>
      <c r="AG46" s="204"/>
      <c r="AH46" s="204"/>
      <c r="AI46" s="204"/>
      <c r="AJ46" s="204"/>
      <c r="AK46" s="204"/>
    </row>
    <row r="47" spans="1:37" x14ac:dyDescent="0.25">
      <c r="A47" s="94">
        <v>1992</v>
      </c>
      <c r="B47" s="168" t="e">
        <f>IF(Bxl_Inflow!C47=0,#N/A,Bxl_Inflow!C47)</f>
        <v>#N/A</v>
      </c>
      <c r="C47" s="163" t="e">
        <v>#N/A</v>
      </c>
      <c r="D47" s="168" t="e">
        <f>IF(Bxl_Inflow!D47=0,#N/A,Bxl_Inflow!D47)</f>
        <v>#N/A</v>
      </c>
      <c r="E47" s="163" t="e">
        <v>#N/A</v>
      </c>
      <c r="F47" s="168" t="e">
        <f>IF(Bxl_Inflow!E47=0,#N/A,Bxl_Inflow!E47)</f>
        <v>#N/A</v>
      </c>
      <c r="G47" s="163" t="e">
        <v>#N/A</v>
      </c>
      <c r="H47" s="168" t="e">
        <f>IF(Bxl_Inflow!F47=0,#N/A,Bxl_Inflow!F47)</f>
        <v>#N/A</v>
      </c>
      <c r="I47" s="163" t="e">
        <v>#N/A</v>
      </c>
      <c r="J47" s="168" t="e">
        <f>IF(Bxl_Inflow!G47=0,#N/A,Bxl_Inflow!G47)</f>
        <v>#N/A</v>
      </c>
      <c r="K47" s="163" t="e">
        <v>#N/A</v>
      </c>
      <c r="L47" s="167" t="e">
        <f>IF(Bxl_Outflow!C47=0,#N/A,Bxl_Outflow!C47)</f>
        <v>#N/A</v>
      </c>
      <c r="M47" s="172" t="e">
        <v>#N/A</v>
      </c>
      <c r="N47" s="167" t="e">
        <f>IF(Bxl_Outflow!D47=0,#N/A,Bxl_Outflow!D47)</f>
        <v>#N/A</v>
      </c>
      <c r="O47" s="172" t="e">
        <v>#N/A</v>
      </c>
      <c r="P47" s="167" t="e">
        <f>IF(Bxl_Outflow!E47=0,#N/A,Bxl_Outflow!E47)</f>
        <v>#N/A</v>
      </c>
      <c r="Q47" s="172" t="e">
        <v>#N/A</v>
      </c>
      <c r="R47" s="167" t="e">
        <f>IF(Bxl_Outflow!F47=0,#N/A,Bxl_Outflow!F47)</f>
        <v>#N/A</v>
      </c>
      <c r="S47" s="172" t="e">
        <v>#N/A</v>
      </c>
      <c r="T47" s="167" t="e">
        <f>IF(Bxl_Outflow!G47=0,#N/A,Bxl_Outflow!G47)</f>
        <v>#N/A</v>
      </c>
      <c r="U47" s="172" t="e">
        <v>#N/A</v>
      </c>
      <c r="W47" s="204"/>
      <c r="X47" s="204"/>
      <c r="Y47" s="207"/>
      <c r="Z47" s="207"/>
      <c r="AA47" s="204"/>
      <c r="AB47" s="207"/>
      <c r="AC47" s="204"/>
      <c r="AD47" s="207"/>
      <c r="AF47" s="204"/>
      <c r="AG47" s="204"/>
      <c r="AH47" s="204"/>
      <c r="AI47" s="204"/>
      <c r="AJ47" s="204"/>
      <c r="AK47" s="204"/>
    </row>
    <row r="48" spans="1:37" x14ac:dyDescent="0.25">
      <c r="A48" s="94">
        <v>1993</v>
      </c>
      <c r="B48" s="168" t="e">
        <f>IF(Bxl_Inflow!C48=0,#N/A,Bxl_Inflow!C48)</f>
        <v>#N/A</v>
      </c>
      <c r="C48" s="163" t="e">
        <v>#N/A</v>
      </c>
      <c r="D48" s="168" t="e">
        <f>IF(Bxl_Inflow!D48=0,#N/A,Bxl_Inflow!D48)</f>
        <v>#N/A</v>
      </c>
      <c r="E48" s="163" t="e">
        <v>#N/A</v>
      </c>
      <c r="F48" s="168" t="e">
        <f>IF(Bxl_Inflow!E48=0,#N/A,Bxl_Inflow!E48)</f>
        <v>#N/A</v>
      </c>
      <c r="G48" s="163" t="e">
        <v>#N/A</v>
      </c>
      <c r="H48" s="168" t="e">
        <f>IF(Bxl_Inflow!F48=0,#N/A,Bxl_Inflow!F48)</f>
        <v>#N/A</v>
      </c>
      <c r="I48" s="163" t="e">
        <v>#N/A</v>
      </c>
      <c r="J48" s="168" t="e">
        <f>IF(Bxl_Inflow!G48=0,#N/A,Bxl_Inflow!G48)</f>
        <v>#N/A</v>
      </c>
      <c r="K48" s="163" t="e">
        <v>#N/A</v>
      </c>
      <c r="L48" s="167" t="e">
        <f>IF(Bxl_Outflow!C48=0,#N/A,Bxl_Outflow!C48)</f>
        <v>#N/A</v>
      </c>
      <c r="M48" s="172" t="e">
        <v>#N/A</v>
      </c>
      <c r="N48" s="167" t="e">
        <f>IF(Bxl_Outflow!D48=0,#N/A,Bxl_Outflow!D48)</f>
        <v>#N/A</v>
      </c>
      <c r="O48" s="172" t="e">
        <v>#N/A</v>
      </c>
      <c r="P48" s="167" t="e">
        <f>IF(Bxl_Outflow!E48=0,#N/A,Bxl_Outflow!E48)</f>
        <v>#N/A</v>
      </c>
      <c r="Q48" s="172" t="e">
        <v>#N/A</v>
      </c>
      <c r="R48" s="167" t="e">
        <f>IF(Bxl_Outflow!F48=0,#N/A,Bxl_Outflow!F48)</f>
        <v>#N/A</v>
      </c>
      <c r="S48" s="172" t="e">
        <v>#N/A</v>
      </c>
      <c r="T48" s="167" t="e">
        <f>IF(Bxl_Outflow!G48=0,#N/A,Bxl_Outflow!G48)</f>
        <v>#N/A</v>
      </c>
      <c r="U48" s="172" t="e">
        <v>#N/A</v>
      </c>
      <c r="W48" s="204"/>
      <c r="X48" s="204"/>
      <c r="Y48" s="207"/>
      <c r="Z48" s="207"/>
      <c r="AA48" s="204"/>
      <c r="AB48" s="207"/>
      <c r="AC48" s="204"/>
      <c r="AD48" s="207"/>
      <c r="AF48" s="204"/>
      <c r="AG48" s="204"/>
      <c r="AH48" s="204"/>
      <c r="AI48" s="204"/>
      <c r="AJ48" s="204"/>
      <c r="AK48" s="204"/>
    </row>
    <row r="49" spans="1:37" x14ac:dyDescent="0.25">
      <c r="A49" s="94">
        <v>1994</v>
      </c>
      <c r="B49" s="168">
        <f>IF(Bxl_Inflow!C49=0,#N/A,Bxl_Inflow!C49)</f>
        <v>451.29599999999994</v>
      </c>
      <c r="C49" s="163" t="e">
        <v>#N/A</v>
      </c>
      <c r="D49" s="168" t="e">
        <f>IF(Bxl_Inflow!D49=0,#N/A,Bxl_Inflow!D49)</f>
        <v>#N/A</v>
      </c>
      <c r="E49" s="163" t="e">
        <v>#N/A</v>
      </c>
      <c r="F49" s="168">
        <f>IF(Bxl_Inflow!E49=0,#N/A,Bxl_Inflow!E49)</f>
        <v>451.29599999999994</v>
      </c>
      <c r="G49" s="163" t="e">
        <v>#N/A</v>
      </c>
      <c r="H49" s="168">
        <f>IF(Bxl_Inflow!F49=0,#N/A,Bxl_Inflow!F49)</f>
        <v>26.325600000000001</v>
      </c>
      <c r="I49" s="163" t="e">
        <v>#N/A</v>
      </c>
      <c r="J49" s="168">
        <f>IF(Bxl_Inflow!G49=0,#N/A,Bxl_Inflow!G49)</f>
        <v>26.325600000000001</v>
      </c>
      <c r="K49" s="163" t="e">
        <v>#N/A</v>
      </c>
      <c r="L49" s="167" t="e">
        <f>IF(Bxl_Outflow!C49=0,#N/A,Bxl_Outflow!C49)</f>
        <v>#N/A</v>
      </c>
      <c r="M49" s="172" t="e">
        <v>#N/A</v>
      </c>
      <c r="N49" s="167" t="e">
        <f>IF(Bxl_Outflow!D49=0,#N/A,Bxl_Outflow!D49)</f>
        <v>#N/A</v>
      </c>
      <c r="O49" s="172" t="e">
        <v>#N/A</v>
      </c>
      <c r="P49" s="167" t="e">
        <f>IF(Bxl_Outflow!E49=0,#N/A,Bxl_Outflow!E49)</f>
        <v>#N/A</v>
      </c>
      <c r="Q49" s="172" t="e">
        <v>#N/A</v>
      </c>
      <c r="R49" s="167" t="e">
        <f>IF(Bxl_Outflow!F49=0,#N/A,Bxl_Outflow!F49)</f>
        <v>#N/A</v>
      </c>
      <c r="S49" s="172" t="e">
        <v>#N/A</v>
      </c>
      <c r="T49" s="167" t="e">
        <f>IF(Bxl_Outflow!G49=0,#N/A,Bxl_Outflow!G49)</f>
        <v>#N/A</v>
      </c>
      <c r="U49" s="172" t="e">
        <v>#N/A</v>
      </c>
      <c r="W49" s="204"/>
      <c r="X49" s="204"/>
      <c r="Y49" s="207"/>
      <c r="Z49" s="207"/>
      <c r="AA49" s="204"/>
      <c r="AB49" s="207"/>
      <c r="AC49" s="204"/>
      <c r="AD49" s="207"/>
      <c r="AF49" s="204"/>
      <c r="AG49" s="204"/>
      <c r="AH49" s="204"/>
      <c r="AI49" s="204"/>
      <c r="AJ49" s="204"/>
      <c r="AK49" s="204"/>
    </row>
    <row r="50" spans="1:37" x14ac:dyDescent="0.25">
      <c r="A50" s="94">
        <v>1995</v>
      </c>
      <c r="B50" s="168" t="e">
        <f>IF(Bxl_Inflow!C50=0,#N/A,Bxl_Inflow!C50)</f>
        <v>#N/A</v>
      </c>
      <c r="C50" s="163" t="e">
        <v>#N/A</v>
      </c>
      <c r="D50" s="168" t="e">
        <f>IF(Bxl_Inflow!D50=0,#N/A,Bxl_Inflow!D50)</f>
        <v>#N/A</v>
      </c>
      <c r="E50" s="163" t="e">
        <v>#N/A</v>
      </c>
      <c r="F50" s="168" t="e">
        <f>IF(Bxl_Inflow!E50=0,#N/A,Bxl_Inflow!E50)</f>
        <v>#N/A</v>
      </c>
      <c r="G50" s="163" t="e">
        <v>#N/A</v>
      </c>
      <c r="H50" s="168" t="e">
        <f>IF(Bxl_Inflow!F50=0,#N/A,Bxl_Inflow!F50)</f>
        <v>#N/A</v>
      </c>
      <c r="I50" s="163" t="e">
        <v>#N/A</v>
      </c>
      <c r="J50" s="168" t="e">
        <f>IF(Bxl_Inflow!G50=0,#N/A,Bxl_Inflow!G50)</f>
        <v>#N/A</v>
      </c>
      <c r="K50" s="163" t="e">
        <v>#N/A</v>
      </c>
      <c r="L50" s="167" t="e">
        <f>IF(Bxl_Outflow!C50=0,#N/A,Bxl_Outflow!C50)</f>
        <v>#N/A</v>
      </c>
      <c r="M50" s="172" t="e">
        <v>#N/A</v>
      </c>
      <c r="N50" s="167" t="e">
        <f>IF(Bxl_Outflow!D50=0,#N/A,Bxl_Outflow!D50)</f>
        <v>#N/A</v>
      </c>
      <c r="O50" s="172" t="e">
        <v>#N/A</v>
      </c>
      <c r="P50" s="167" t="e">
        <f>IF(Bxl_Outflow!E50=0,#N/A,Bxl_Outflow!E50)</f>
        <v>#N/A</v>
      </c>
      <c r="Q50" s="172" t="e">
        <v>#N/A</v>
      </c>
      <c r="R50" s="167" t="e">
        <f>IF(Bxl_Outflow!F50=0,#N/A,Bxl_Outflow!F50)</f>
        <v>#N/A</v>
      </c>
      <c r="S50" s="172" t="e">
        <v>#N/A</v>
      </c>
      <c r="T50" s="167" t="e">
        <f>IF(Bxl_Outflow!G50=0,#N/A,Bxl_Outflow!G50)</f>
        <v>#N/A</v>
      </c>
      <c r="U50" s="172" t="e">
        <v>#N/A</v>
      </c>
      <c r="W50" s="208">
        <f>AVERAGE(Bxl_Inflow!B50:B59)</f>
        <v>18868.5072</v>
      </c>
      <c r="X50" s="208">
        <f>AVERAGE(Bxl_Inflow!C50:C59)</f>
        <v>416.05621200000007</v>
      </c>
      <c r="Y50" s="207">
        <f>AVERAGE(Bxl_Outflow!B50:B59)</f>
        <v>4620.5199999999995</v>
      </c>
      <c r="Z50" s="207">
        <f>AVERAGE(Bxl_Outflow!C50:C59)</f>
        <v>103.03507999999999</v>
      </c>
      <c r="AA50" s="208">
        <f>AVERAGE(Bxl_Inflow!F50:F59)</f>
        <v>27.681735000000003</v>
      </c>
      <c r="AB50" s="207">
        <f>AVERAGE(Bxl_Outflow!F50:F59)</f>
        <v>3.7247772631578955</v>
      </c>
      <c r="AC50" s="208">
        <f>AVERAGE(Bxl_Inflow!G50:G59)</f>
        <v>23.746629599999999</v>
      </c>
      <c r="AD50" s="207">
        <f>AVERAGE(Bxl_Outflow!G50:G59)</f>
        <v>1.563768</v>
      </c>
      <c r="AF50" s="204"/>
      <c r="AG50" s="204"/>
      <c r="AH50" s="204"/>
      <c r="AI50" s="204"/>
      <c r="AJ50" s="204"/>
      <c r="AK50" s="204"/>
    </row>
    <row r="51" spans="1:37" x14ac:dyDescent="0.25">
      <c r="A51" s="94">
        <v>1996</v>
      </c>
      <c r="B51" s="168">
        <f>IF(Bxl_Inflow!C51=0,#N/A,Bxl_Inflow!C51)</f>
        <v>1803.0211200000003</v>
      </c>
      <c r="C51" s="163" t="e">
        <v>#N/A</v>
      </c>
      <c r="D51" s="168" t="e">
        <f>IF(Bxl_Inflow!D51=0,#N/A,Bxl_Inflow!D51)</f>
        <v>#N/A</v>
      </c>
      <c r="E51" s="163" t="e">
        <v>#N/A</v>
      </c>
      <c r="F51" s="168">
        <f>IF(Bxl_Inflow!E51=0,#N/A,Bxl_Inflow!E51)</f>
        <v>1803.0211200000003</v>
      </c>
      <c r="G51" s="163" t="e">
        <v>#N/A</v>
      </c>
      <c r="H51" s="168">
        <f>IF(Bxl_Inflow!F51=0,#N/A,Bxl_Inflow!F51)</f>
        <v>106.845696</v>
      </c>
      <c r="I51" s="163" t="e">
        <v>#N/A</v>
      </c>
      <c r="J51" s="168">
        <f>IF(Bxl_Inflow!G51=0,#N/A,Bxl_Inflow!G51)</f>
        <v>106.845696</v>
      </c>
      <c r="K51" s="163" t="e">
        <v>#N/A</v>
      </c>
      <c r="L51" s="167" t="e">
        <f>IF(Bxl_Outflow!C51=0,#N/A,Bxl_Outflow!C51)</f>
        <v>#N/A</v>
      </c>
      <c r="M51" s="172" t="e">
        <v>#N/A</v>
      </c>
      <c r="N51" s="167" t="e">
        <f>IF(Bxl_Outflow!D51=0,#N/A,Bxl_Outflow!D51)</f>
        <v>#N/A</v>
      </c>
      <c r="O51" s="172" t="e">
        <v>#N/A</v>
      </c>
      <c r="P51" s="167" t="e">
        <f>IF(Bxl_Outflow!E51=0,#N/A,Bxl_Outflow!E51)</f>
        <v>#N/A</v>
      </c>
      <c r="Q51" s="172" t="e">
        <v>#N/A</v>
      </c>
      <c r="R51" s="167" t="e">
        <f>IF(Bxl_Outflow!F51=0,#N/A,Bxl_Outflow!F51)</f>
        <v>#N/A</v>
      </c>
      <c r="S51" s="172" t="e">
        <v>#N/A</v>
      </c>
      <c r="T51" s="167" t="e">
        <f>IF(Bxl_Outflow!G51=0,#N/A,Bxl_Outflow!G51)</f>
        <v>#N/A</v>
      </c>
      <c r="U51" s="172" t="e">
        <v>#N/A</v>
      </c>
      <c r="W51" s="204"/>
      <c r="X51" s="204"/>
      <c r="Y51" s="207"/>
      <c r="Z51" s="207"/>
      <c r="AA51" s="204"/>
      <c r="AB51" s="207"/>
      <c r="AC51" s="204"/>
      <c r="AD51" s="207"/>
      <c r="AF51" s="204"/>
      <c r="AG51" s="204"/>
      <c r="AH51" s="204"/>
      <c r="AI51" s="204"/>
      <c r="AJ51" s="204"/>
      <c r="AK51" s="204"/>
    </row>
    <row r="52" spans="1:37" x14ac:dyDescent="0.25">
      <c r="A52" s="94">
        <v>1997</v>
      </c>
      <c r="B52" s="168">
        <f>IF(Bxl_Inflow!C52=0,#N/A,Bxl_Inflow!C52)</f>
        <v>395.71199999999999</v>
      </c>
      <c r="C52" s="163" t="e">
        <v>#N/A</v>
      </c>
      <c r="D52" s="168" t="e">
        <f>IF(Bxl_Inflow!D52=0,#N/A,Bxl_Inflow!D52)</f>
        <v>#N/A</v>
      </c>
      <c r="E52" s="163" t="e">
        <v>#N/A</v>
      </c>
      <c r="F52" s="168">
        <f>IF(Bxl_Inflow!E52=0,#N/A,Bxl_Inflow!E52)</f>
        <v>395.71199999999999</v>
      </c>
      <c r="G52" s="163" t="e">
        <v>#N/A</v>
      </c>
      <c r="H52" s="168">
        <f>IF(Bxl_Inflow!F52=0,#N/A,Bxl_Inflow!F52)</f>
        <v>26.380799999999997</v>
      </c>
      <c r="I52" s="163" t="e">
        <v>#N/A</v>
      </c>
      <c r="J52" s="168">
        <f>IF(Bxl_Inflow!G52=0,#N/A,Bxl_Inflow!G52)</f>
        <v>26.380799999999997</v>
      </c>
      <c r="K52" s="163" t="e">
        <v>#N/A</v>
      </c>
      <c r="L52" s="167" t="e">
        <f>IF(Bxl_Outflow!C52=0,#N/A,Bxl_Outflow!C52)</f>
        <v>#N/A</v>
      </c>
      <c r="M52" s="172" t="e">
        <v>#N/A</v>
      </c>
      <c r="N52" s="167" t="e">
        <f>IF(Bxl_Outflow!D52=0,#N/A,Bxl_Outflow!D52)</f>
        <v>#N/A</v>
      </c>
      <c r="O52" s="172" t="e">
        <v>#N/A</v>
      </c>
      <c r="P52" s="167" t="e">
        <f>IF(Bxl_Outflow!E52=0,#N/A,Bxl_Outflow!E52)</f>
        <v>#N/A</v>
      </c>
      <c r="Q52" s="172" t="e">
        <v>#N/A</v>
      </c>
      <c r="R52" s="167" t="e">
        <f>IF(Bxl_Outflow!F52=0,#N/A,Bxl_Outflow!F52)</f>
        <v>#N/A</v>
      </c>
      <c r="S52" s="172" t="e">
        <v>#N/A</v>
      </c>
      <c r="T52" s="167" t="e">
        <f>IF(Bxl_Outflow!G52=0,#N/A,Bxl_Outflow!G52)</f>
        <v>#N/A</v>
      </c>
      <c r="U52" s="172" t="e">
        <v>#N/A</v>
      </c>
      <c r="W52" s="204"/>
      <c r="X52" s="204"/>
      <c r="Y52" s="207"/>
      <c r="Z52" s="207"/>
      <c r="AA52" s="204"/>
      <c r="AB52" s="207"/>
      <c r="AC52" s="204"/>
      <c r="AD52" s="207"/>
      <c r="AF52" s="204"/>
      <c r="AG52" s="204"/>
      <c r="AH52" s="204"/>
      <c r="AI52" s="204"/>
      <c r="AJ52" s="204"/>
      <c r="AK52" s="204"/>
    </row>
    <row r="53" spans="1:37" x14ac:dyDescent="0.25">
      <c r="A53" s="94">
        <v>1998</v>
      </c>
      <c r="B53" s="168">
        <f>IF(Bxl_Inflow!C53=0,#N/A,Bxl_Inflow!C53)</f>
        <v>320.54399999999998</v>
      </c>
      <c r="C53" s="163" t="e">
        <v>#N/A</v>
      </c>
      <c r="D53" s="168" t="e">
        <f>IF(Bxl_Inflow!D53=0,#N/A,Bxl_Inflow!D53)</f>
        <v>#N/A</v>
      </c>
      <c r="E53" s="163" t="e">
        <v>#N/A</v>
      </c>
      <c r="F53" s="168">
        <f>IF(Bxl_Inflow!E53=0,#N/A,Bxl_Inflow!E53)</f>
        <v>320.54399999999998</v>
      </c>
      <c r="G53" s="163" t="e">
        <v>#N/A</v>
      </c>
      <c r="H53" s="168">
        <f>IF(Bxl_Inflow!F53=0,#N/A,Bxl_Inflow!F53)</f>
        <v>21.369599999999998</v>
      </c>
      <c r="I53" s="163" t="e">
        <v>#N/A</v>
      </c>
      <c r="J53" s="168">
        <f>IF(Bxl_Inflow!G53=0,#N/A,Bxl_Inflow!G53)</f>
        <v>21.369599999999998</v>
      </c>
      <c r="K53" s="163" t="e">
        <v>#N/A</v>
      </c>
      <c r="L53" s="167" t="e">
        <f>IF(Bxl_Outflow!C53=0,#N/A,Bxl_Outflow!C53)</f>
        <v>#N/A</v>
      </c>
      <c r="M53" s="172" t="e">
        <v>#N/A</v>
      </c>
      <c r="N53" s="167" t="e">
        <f>IF(Bxl_Outflow!D53=0,#N/A,Bxl_Outflow!D53)</f>
        <v>#N/A</v>
      </c>
      <c r="O53" s="172" t="e">
        <v>#N/A</v>
      </c>
      <c r="P53" s="167" t="e">
        <f>IF(Bxl_Outflow!E53=0,#N/A,Bxl_Outflow!E53)</f>
        <v>#N/A</v>
      </c>
      <c r="Q53" s="172" t="e">
        <v>#N/A</v>
      </c>
      <c r="R53" s="167" t="e">
        <f>IF(Bxl_Outflow!F53=0,#N/A,Bxl_Outflow!F53)</f>
        <v>#N/A</v>
      </c>
      <c r="S53" s="172" t="e">
        <v>#N/A</v>
      </c>
      <c r="T53" s="167" t="e">
        <f>IF(Bxl_Outflow!G53=0,#N/A,Bxl_Outflow!G53)</f>
        <v>#N/A</v>
      </c>
      <c r="U53" s="172" t="e">
        <v>#N/A</v>
      </c>
      <c r="W53" s="204"/>
      <c r="X53" s="204"/>
      <c r="Y53" s="207"/>
      <c r="Z53" s="207"/>
      <c r="AA53" s="204"/>
      <c r="AB53" s="207"/>
      <c r="AC53" s="204"/>
      <c r="AD53" s="207"/>
      <c r="AF53" s="204"/>
      <c r="AG53" s="204"/>
      <c r="AH53" s="204"/>
      <c r="AI53" s="204"/>
      <c r="AJ53" s="204"/>
      <c r="AK53" s="204"/>
    </row>
    <row r="54" spans="1:37" x14ac:dyDescent="0.25">
      <c r="A54" s="94">
        <v>1999</v>
      </c>
      <c r="B54" s="168" t="e">
        <f>IF(Bxl_Inflow!C54=0,#N/A,Bxl_Inflow!C54)</f>
        <v>#N/A</v>
      </c>
      <c r="C54" s="163" t="e">
        <v>#N/A</v>
      </c>
      <c r="D54" s="168" t="e">
        <f>IF(Bxl_Inflow!D54=0,#N/A,Bxl_Inflow!D54)</f>
        <v>#N/A</v>
      </c>
      <c r="E54" s="163" t="e">
        <v>#N/A</v>
      </c>
      <c r="F54" s="168" t="e">
        <f>IF(Bxl_Inflow!E54=0,#N/A,Bxl_Inflow!E54)</f>
        <v>#N/A</v>
      </c>
      <c r="G54" s="163" t="e">
        <v>#N/A</v>
      </c>
      <c r="H54" s="168" t="e">
        <f>IF(Bxl_Inflow!F54=0,#N/A,Bxl_Inflow!F54)</f>
        <v>#N/A</v>
      </c>
      <c r="I54" s="163" t="e">
        <v>#N/A</v>
      </c>
      <c r="J54" s="168" t="e">
        <f>IF(Bxl_Inflow!G54=0,#N/A,Bxl_Inflow!G54)</f>
        <v>#N/A</v>
      </c>
      <c r="K54" s="163" t="e">
        <v>#N/A</v>
      </c>
      <c r="L54" s="167" t="e">
        <f>IF(Bxl_Outflow!C54=0,#N/A,Bxl_Outflow!C54)</f>
        <v>#N/A</v>
      </c>
      <c r="M54" s="172" t="e">
        <v>#N/A</v>
      </c>
      <c r="N54" s="167" t="e">
        <f>IF(Bxl_Outflow!D54=0,#N/A,Bxl_Outflow!D54)</f>
        <v>#N/A</v>
      </c>
      <c r="O54" s="172" t="e">
        <v>#N/A</v>
      </c>
      <c r="P54" s="167" t="e">
        <f>IF(Bxl_Outflow!E54=0,#N/A,Bxl_Outflow!E54)</f>
        <v>#N/A</v>
      </c>
      <c r="Q54" s="172" t="e">
        <v>#N/A</v>
      </c>
      <c r="R54" s="167" t="e">
        <f>IF(Bxl_Outflow!F54=0,#N/A,Bxl_Outflow!F54)</f>
        <v>#N/A</v>
      </c>
      <c r="S54" s="172" t="e">
        <v>#N/A</v>
      </c>
      <c r="T54" s="167" t="e">
        <f>IF(Bxl_Outflow!G54=0,#N/A,Bxl_Outflow!G54)</f>
        <v>#N/A</v>
      </c>
      <c r="U54" s="172" t="e">
        <v>#N/A</v>
      </c>
      <c r="W54" s="204"/>
      <c r="X54" s="204"/>
      <c r="Y54" s="207"/>
      <c r="Z54" s="207"/>
      <c r="AA54" s="204"/>
      <c r="AB54" s="207"/>
      <c r="AC54" s="204"/>
      <c r="AD54" s="207"/>
      <c r="AF54" s="204"/>
      <c r="AG54" s="204"/>
      <c r="AH54" s="204"/>
      <c r="AI54" s="204"/>
      <c r="AJ54" s="204"/>
      <c r="AK54" s="204"/>
    </row>
    <row r="55" spans="1:37" x14ac:dyDescent="0.25">
      <c r="A55" s="94">
        <v>2000</v>
      </c>
      <c r="B55" s="168">
        <f>IF(Bxl_Inflow!C55=0,#N/A,Bxl_Inflow!C55)</f>
        <v>400.89599999999996</v>
      </c>
      <c r="C55" s="163" t="e">
        <v>#N/A</v>
      </c>
      <c r="D55" s="168" t="e">
        <f>IF(Bxl_Inflow!D55=0,#N/A,Bxl_Inflow!D55)</f>
        <v>#N/A</v>
      </c>
      <c r="E55" s="163" t="e">
        <v>#N/A</v>
      </c>
      <c r="F55" s="168">
        <f>IF(Bxl_Inflow!E55=0,#N/A,Bxl_Inflow!E55)</f>
        <v>400.89599999999996</v>
      </c>
      <c r="G55" s="163" t="e">
        <v>#N/A</v>
      </c>
      <c r="H55" s="168">
        <f>IF(Bxl_Inflow!F55=0,#N/A,Bxl_Inflow!F55)</f>
        <v>26.726399999999998</v>
      </c>
      <c r="I55" s="163" t="e">
        <v>#N/A</v>
      </c>
      <c r="J55" s="168">
        <f>IF(Bxl_Inflow!G55=0,#N/A,Bxl_Inflow!G55)</f>
        <v>26.726399999999998</v>
      </c>
      <c r="K55" s="163" t="e">
        <v>#N/A</v>
      </c>
      <c r="L55" s="167" t="e">
        <f>IF(Bxl_Outflow!C55=0,#N/A,Bxl_Outflow!C55)</f>
        <v>#N/A</v>
      </c>
      <c r="M55" s="172" t="e">
        <v>#N/A</v>
      </c>
      <c r="N55" s="167" t="e">
        <f>IF(Bxl_Outflow!D55=0,#N/A,Bxl_Outflow!D55)</f>
        <v>#N/A</v>
      </c>
      <c r="O55" s="172" t="e">
        <v>#N/A</v>
      </c>
      <c r="P55" s="167" t="e">
        <f>IF(Bxl_Outflow!E55=0,#N/A,Bxl_Outflow!E55)</f>
        <v>#N/A</v>
      </c>
      <c r="Q55" s="172" t="e">
        <v>#N/A</v>
      </c>
      <c r="R55" s="167" t="e">
        <f>IF(Bxl_Outflow!F55=0,#N/A,Bxl_Outflow!F55)</f>
        <v>#N/A</v>
      </c>
      <c r="S55" s="172" t="e">
        <v>#N/A</v>
      </c>
      <c r="T55" s="167" t="e">
        <f>IF(Bxl_Outflow!G55=0,#N/A,Bxl_Outflow!G55)</f>
        <v>#N/A</v>
      </c>
      <c r="U55" s="172" t="e">
        <v>#N/A</v>
      </c>
      <c r="W55" s="204"/>
      <c r="X55" s="204"/>
      <c r="Y55" s="207"/>
      <c r="Z55" s="207"/>
      <c r="AA55" s="204"/>
      <c r="AB55" s="207"/>
      <c r="AC55" s="204"/>
      <c r="AD55" s="207"/>
      <c r="AF55" s="204"/>
      <c r="AG55" s="204"/>
      <c r="AH55" s="204"/>
      <c r="AI55" s="204"/>
      <c r="AJ55" s="204"/>
      <c r="AK55" s="204"/>
    </row>
    <row r="56" spans="1:37" x14ac:dyDescent="0.25">
      <c r="A56" s="94">
        <v>2001</v>
      </c>
      <c r="B56" s="168" t="e">
        <f>IF(Bxl_Inflow!C56=0,#N/A,Bxl_Inflow!C56)</f>
        <v>#N/A</v>
      </c>
      <c r="C56" s="163" t="e">
        <v>#N/A</v>
      </c>
      <c r="D56" s="168" t="e">
        <f>IF(Bxl_Inflow!D56=0,#N/A,Bxl_Inflow!D56)</f>
        <v>#N/A</v>
      </c>
      <c r="E56" s="163" t="e">
        <v>#N/A</v>
      </c>
      <c r="F56" s="168" t="e">
        <f>IF(Bxl_Inflow!E56=0,#N/A,Bxl_Inflow!E56)</f>
        <v>#N/A</v>
      </c>
      <c r="G56" s="163" t="e">
        <v>#N/A</v>
      </c>
      <c r="H56" s="168" t="e">
        <f>IF(Bxl_Inflow!F56=0,#N/A,Bxl_Inflow!F56)</f>
        <v>#N/A</v>
      </c>
      <c r="I56" s="163" t="e">
        <v>#N/A</v>
      </c>
      <c r="J56" s="168" t="e">
        <f>IF(Bxl_Inflow!G56=0,#N/A,Bxl_Inflow!G56)</f>
        <v>#N/A</v>
      </c>
      <c r="K56" s="163" t="e">
        <v>#N/A</v>
      </c>
      <c r="L56" s="167">
        <f>IF(Bxl_Outflow!C56=0,#N/A,Bxl_Outflow!C56)</f>
        <v>726.05</v>
      </c>
      <c r="M56" s="172" t="e">
        <v>#N/A</v>
      </c>
      <c r="N56" s="167">
        <f>IF(Bxl_Outflow!D56=0,#N/A,Bxl_Outflow!D56)</f>
        <v>166.05</v>
      </c>
      <c r="O56" s="172" t="e">
        <v>#N/A</v>
      </c>
      <c r="P56" s="167">
        <f>IF(Bxl_Outflow!E56=0,#N/A,Bxl_Outflow!E56)</f>
        <v>560</v>
      </c>
      <c r="Q56" s="172" t="e">
        <v>#N/A</v>
      </c>
      <c r="R56" s="167">
        <f>IF(Bxl_Outflow!F56=0,#N/A,Bxl_Outflow!F56)</f>
        <v>16.961052631578948</v>
      </c>
      <c r="S56" s="172" t="e">
        <v>#N/A</v>
      </c>
      <c r="T56" s="167" t="e">
        <f>IF(Bxl_Outflow!G56=0,#N/A,Bxl_Outflow!G56)</f>
        <v>#N/A</v>
      </c>
      <c r="U56" s="172" t="e">
        <v>#N/A</v>
      </c>
      <c r="W56" s="204"/>
      <c r="X56" s="204"/>
      <c r="Y56" s="207"/>
      <c r="Z56" s="207"/>
      <c r="AA56" s="204"/>
      <c r="AB56" s="207"/>
      <c r="AC56" s="204"/>
      <c r="AD56" s="207"/>
      <c r="AF56" s="204"/>
      <c r="AG56" s="204"/>
      <c r="AH56" s="204"/>
      <c r="AI56" s="204"/>
      <c r="AJ56" s="204"/>
      <c r="AK56" s="204"/>
    </row>
    <row r="57" spans="1:37" x14ac:dyDescent="0.25">
      <c r="A57" s="94">
        <v>2002</v>
      </c>
      <c r="B57" s="168" t="e">
        <f>IF(Bxl_Inflow!C57=0,#N/A,Bxl_Inflow!C57)</f>
        <v>#N/A</v>
      </c>
      <c r="C57" s="163" t="e">
        <v>#N/A</v>
      </c>
      <c r="D57" s="168" t="e">
        <f>IF(Bxl_Inflow!D57=0,#N/A,Bxl_Inflow!D57)</f>
        <v>#N/A</v>
      </c>
      <c r="E57" s="163" t="e">
        <v>#N/A</v>
      </c>
      <c r="F57" s="168" t="e">
        <f>IF(Bxl_Inflow!E57=0,#N/A,Bxl_Inflow!E57)</f>
        <v>#N/A</v>
      </c>
      <c r="G57" s="163" t="e">
        <v>#N/A</v>
      </c>
      <c r="H57" s="168" t="e">
        <f>IF(Bxl_Inflow!F57=0,#N/A,Bxl_Inflow!F57)</f>
        <v>#N/A</v>
      </c>
      <c r="I57" s="163" t="e">
        <v>#N/A</v>
      </c>
      <c r="J57" s="168" t="e">
        <f>IF(Bxl_Inflow!G57=0,#N/A,Bxl_Inflow!G57)</f>
        <v>#N/A</v>
      </c>
      <c r="K57" s="163" t="e">
        <v>#N/A</v>
      </c>
      <c r="L57" s="167" t="e">
        <f>IF(Bxl_Outflow!C57=0,#N/A,Bxl_Outflow!C57)</f>
        <v>#N/A</v>
      </c>
      <c r="M57" s="172" t="e">
        <v>#N/A</v>
      </c>
      <c r="N57" s="167" t="e">
        <f>IF(Bxl_Outflow!D57=0,#N/A,Bxl_Outflow!D57)</f>
        <v>#N/A</v>
      </c>
      <c r="O57" s="172" t="e">
        <v>#N/A</v>
      </c>
      <c r="P57" s="167" t="e">
        <f>IF(Bxl_Outflow!E57=0,#N/A,Bxl_Outflow!E57)</f>
        <v>#N/A</v>
      </c>
      <c r="Q57" s="172" t="e">
        <v>#N/A</v>
      </c>
      <c r="R57" s="167" t="e">
        <f>IF(Bxl_Outflow!F57=0,#N/A,Bxl_Outflow!F57)</f>
        <v>#N/A</v>
      </c>
      <c r="S57" s="172" t="e">
        <v>#N/A</v>
      </c>
      <c r="T57" s="167" t="e">
        <f>IF(Bxl_Outflow!G57=0,#N/A,Bxl_Outflow!G57)</f>
        <v>#N/A</v>
      </c>
      <c r="U57" s="172" t="e">
        <v>#N/A</v>
      </c>
      <c r="W57" s="204"/>
      <c r="X57" s="204"/>
      <c r="Y57" s="207"/>
      <c r="Z57" s="207"/>
      <c r="AA57" s="204"/>
      <c r="AB57" s="207"/>
      <c r="AC57" s="204"/>
      <c r="AD57" s="207"/>
      <c r="AF57" s="204"/>
      <c r="AG57" s="204"/>
      <c r="AH57" s="204"/>
      <c r="AI57" s="204"/>
      <c r="AJ57" s="204"/>
      <c r="AK57" s="204"/>
    </row>
    <row r="58" spans="1:37" x14ac:dyDescent="0.25">
      <c r="A58" s="94">
        <v>2003</v>
      </c>
      <c r="B58" s="168" t="e">
        <f>IF(Bxl_Inflow!C58=0,#N/A,Bxl_Inflow!C58)</f>
        <v>#N/A</v>
      </c>
      <c r="C58" s="163" t="e">
        <v>#N/A</v>
      </c>
      <c r="D58" s="168" t="e">
        <f>IF(Bxl_Inflow!D58=0,#N/A,Bxl_Inflow!D58)</f>
        <v>#N/A</v>
      </c>
      <c r="E58" s="163" t="e">
        <v>#N/A</v>
      </c>
      <c r="F58" s="168" t="e">
        <f>IF(Bxl_Inflow!E58=0,#N/A,Bxl_Inflow!E58)</f>
        <v>#N/A</v>
      </c>
      <c r="G58" s="163" t="e">
        <v>#N/A</v>
      </c>
      <c r="H58" s="168" t="e">
        <f>IF(Bxl_Inflow!F58=0,#N/A,Bxl_Inflow!F58)</f>
        <v>#N/A</v>
      </c>
      <c r="I58" s="163" t="e">
        <v>#N/A</v>
      </c>
      <c r="J58" s="168" t="e">
        <f>IF(Bxl_Inflow!G58=0,#N/A,Bxl_Inflow!G58)</f>
        <v>#N/A</v>
      </c>
      <c r="K58" s="163" t="e">
        <v>#N/A</v>
      </c>
      <c r="L58" s="167" t="e">
        <f>IF(Bxl_Outflow!C58=0,#N/A,Bxl_Outflow!C58)</f>
        <v>#N/A</v>
      </c>
      <c r="M58" s="172" t="e">
        <v>#N/A</v>
      </c>
      <c r="N58" s="167" t="e">
        <f>IF(Bxl_Outflow!D58=0,#N/A,Bxl_Outflow!D58)</f>
        <v>#N/A</v>
      </c>
      <c r="O58" s="172" t="e">
        <v>#N/A</v>
      </c>
      <c r="P58" s="167" t="e">
        <f>IF(Bxl_Outflow!E58=0,#N/A,Bxl_Outflow!E58)</f>
        <v>#N/A</v>
      </c>
      <c r="Q58" s="172" t="e">
        <v>#N/A</v>
      </c>
      <c r="R58" s="167" t="e">
        <f>IF(Bxl_Outflow!F58=0,#N/A,Bxl_Outflow!F58)</f>
        <v>#N/A</v>
      </c>
      <c r="S58" s="172" t="e">
        <v>#N/A</v>
      </c>
      <c r="T58" s="167" t="e">
        <f>IF(Bxl_Outflow!G58=0,#N/A,Bxl_Outflow!G58)</f>
        <v>#N/A</v>
      </c>
      <c r="U58" s="172" t="e">
        <v>#N/A</v>
      </c>
      <c r="W58" s="204"/>
      <c r="X58" s="204"/>
      <c r="Y58" s="207"/>
      <c r="Z58" s="207"/>
      <c r="AA58" s="204"/>
      <c r="AB58" s="207"/>
      <c r="AC58" s="204"/>
      <c r="AD58" s="207"/>
      <c r="AF58" s="204"/>
      <c r="AG58" s="204"/>
      <c r="AH58" s="204"/>
      <c r="AI58" s="204"/>
      <c r="AJ58" s="204"/>
      <c r="AK58" s="204"/>
    </row>
    <row r="59" spans="1:37" x14ac:dyDescent="0.25">
      <c r="A59" s="94">
        <v>2004</v>
      </c>
      <c r="B59" s="168">
        <f>IF(Bxl_Inflow!C59=0,#N/A,Bxl_Inflow!C59)</f>
        <v>1240.3890000000001</v>
      </c>
      <c r="C59" s="163" t="e">
        <v>#N/A</v>
      </c>
      <c r="D59" s="168">
        <f>IF(Bxl_Inflow!D59=0,#N/A,Bxl_Inflow!D59)</f>
        <v>243.14400000000001</v>
      </c>
      <c r="E59" s="163" t="e">
        <v>#N/A</v>
      </c>
      <c r="F59" s="168">
        <f>IF(Bxl_Inflow!E59=0,#N/A,Bxl_Inflow!E59)</f>
        <v>997.245</v>
      </c>
      <c r="G59" s="163" t="e">
        <v>#N/A</v>
      </c>
      <c r="H59" s="168">
        <f>IF(Bxl_Inflow!F59=0,#N/A,Bxl_Inflow!F59)</f>
        <v>95.494854000000004</v>
      </c>
      <c r="I59" s="163" t="e">
        <v>#N/A</v>
      </c>
      <c r="J59" s="168">
        <f>IF(Bxl_Inflow!G59=0,#N/A,Bxl_Inflow!G59)</f>
        <v>56.143799999999999</v>
      </c>
      <c r="K59" s="163" t="e">
        <v>#N/A</v>
      </c>
      <c r="L59" s="167">
        <f>IF(Bxl_Outflow!C59=0,#N/A,Bxl_Outflow!C59)</f>
        <v>304.30079999999998</v>
      </c>
      <c r="M59" s="172" t="e">
        <v>#N/A</v>
      </c>
      <c r="N59" s="167">
        <f>IF(Bxl_Outflow!D59=0,#N/A,Bxl_Outflow!D59)</f>
        <v>19.018800000000002</v>
      </c>
      <c r="O59" s="172" t="e">
        <v>#N/A</v>
      </c>
      <c r="P59" s="167">
        <f>IF(Bxl_Outflow!E59=0,#N/A,Bxl_Outflow!E59)</f>
        <v>285.28199999999998</v>
      </c>
      <c r="Q59" s="172" t="e">
        <v>#N/A</v>
      </c>
      <c r="R59" s="167">
        <f>IF(Bxl_Outflow!F59=0,#N/A,Bxl_Outflow!F59)</f>
        <v>20.286720000000003</v>
      </c>
      <c r="S59" s="172" t="e">
        <v>#N/A</v>
      </c>
      <c r="T59" s="167">
        <f>IF(Bxl_Outflow!G59=0,#N/A,Bxl_Outflow!G59)</f>
        <v>15.63768</v>
      </c>
      <c r="U59" s="172" t="e">
        <v>#N/A</v>
      </c>
      <c r="W59" s="204"/>
      <c r="X59" s="204"/>
      <c r="Y59" s="207"/>
      <c r="Z59" s="207"/>
      <c r="AA59" s="204"/>
      <c r="AB59" s="207"/>
      <c r="AC59" s="204"/>
      <c r="AD59" s="207"/>
      <c r="AF59" s="204"/>
      <c r="AG59" s="204"/>
      <c r="AH59" s="204"/>
      <c r="AI59" s="204"/>
      <c r="AJ59" s="204"/>
      <c r="AK59" s="204"/>
    </row>
    <row r="60" spans="1:37" x14ac:dyDescent="0.25">
      <c r="A60" s="94">
        <v>2005</v>
      </c>
      <c r="B60" s="168" t="e">
        <f>IF(Bxl_Inflow!C60=0,#N/A,Bxl_Inflow!C60)</f>
        <v>#N/A</v>
      </c>
      <c r="C60" s="163" t="e">
        <v>#N/A</v>
      </c>
      <c r="D60" s="168" t="e">
        <f>IF(Bxl_Inflow!D60=0,#N/A,Bxl_Inflow!D60)</f>
        <v>#N/A</v>
      </c>
      <c r="E60" s="163" t="e">
        <v>#N/A</v>
      </c>
      <c r="F60" s="168" t="e">
        <f>IF(Bxl_Inflow!E60=0,#N/A,Bxl_Inflow!E60)</f>
        <v>#N/A</v>
      </c>
      <c r="G60" s="163" t="e">
        <v>#N/A</v>
      </c>
      <c r="H60" s="168" t="e">
        <f>IF(Bxl_Inflow!F60=0,#N/A,Bxl_Inflow!F60)</f>
        <v>#N/A</v>
      </c>
      <c r="I60" s="163" t="e">
        <v>#N/A</v>
      </c>
      <c r="J60" s="168" t="e">
        <f>IF(Bxl_Inflow!G60=0,#N/A,Bxl_Inflow!G60)</f>
        <v>#N/A</v>
      </c>
      <c r="K60" s="163" t="e">
        <v>#N/A</v>
      </c>
      <c r="L60" s="167" t="e">
        <f>IF(Bxl_Outflow!C60=0,#N/A,Bxl_Outflow!C60)</f>
        <v>#N/A</v>
      </c>
      <c r="M60" s="172" t="e">
        <v>#N/A</v>
      </c>
      <c r="N60" s="167" t="e">
        <f>IF(Bxl_Outflow!D60=0,#N/A,Bxl_Outflow!D60)</f>
        <v>#N/A</v>
      </c>
      <c r="O60" s="172" t="e">
        <v>#N/A</v>
      </c>
      <c r="P60" s="167" t="e">
        <f>IF(Bxl_Outflow!E60=0,#N/A,Bxl_Outflow!E60)</f>
        <v>#N/A</v>
      </c>
      <c r="Q60" s="172" t="e">
        <v>#N/A</v>
      </c>
      <c r="R60" s="167" t="e">
        <f>IF(Bxl_Outflow!F60=0,#N/A,Bxl_Outflow!F60)</f>
        <v>#N/A</v>
      </c>
      <c r="S60" s="172" t="e">
        <v>#N/A</v>
      </c>
      <c r="T60" s="167" t="e">
        <f>IF(Bxl_Outflow!G60=0,#N/A,Bxl_Outflow!G60)</f>
        <v>#N/A</v>
      </c>
      <c r="U60" s="172" t="e">
        <v>#N/A</v>
      </c>
      <c r="W60" s="208">
        <f>AVERAGE(Bxl_Inflow!B60:B69)</f>
        <v>18872.087500000001</v>
      </c>
      <c r="X60" s="208">
        <f>AVERAGE(Bxl_Inflow!C60:C69)</f>
        <v>385.44175000000001</v>
      </c>
      <c r="Y60" s="207">
        <f>AVERAGE(Bxl_Outflow!B60:B69)</f>
        <v>0</v>
      </c>
      <c r="Z60" s="207">
        <f>AVERAGE(Bxl_Outflow!C60:C69)</f>
        <v>0</v>
      </c>
      <c r="AA60" s="208">
        <f>AVERAGE(Bxl_Inflow!F60:F69)</f>
        <v>25.618426666666664</v>
      </c>
      <c r="AB60" s="207">
        <f>AVERAGE(Bxl_Outflow!F60:F69)</f>
        <v>0</v>
      </c>
      <c r="AC60" s="208">
        <f>AVERAGE(Bxl_Inflow!G60:G69)</f>
        <v>20.561969999999999</v>
      </c>
      <c r="AD60" s="207">
        <f>AVERAGE(Bxl_Outflow!G60:G69)</f>
        <v>0</v>
      </c>
      <c r="AF60" s="204"/>
      <c r="AG60" s="204"/>
      <c r="AH60" s="204"/>
      <c r="AI60" s="204"/>
      <c r="AJ60" s="204"/>
      <c r="AK60" s="204"/>
    </row>
    <row r="61" spans="1:37" x14ac:dyDescent="0.25">
      <c r="A61" s="94">
        <v>2006</v>
      </c>
      <c r="B61" s="168">
        <f>IF(Bxl_Inflow!C61=0,#N/A,Bxl_Inflow!C61)</f>
        <v>2262.4974999999999</v>
      </c>
      <c r="C61" s="163" t="e">
        <v>#N/A</v>
      </c>
      <c r="D61" s="168">
        <f>IF(Bxl_Inflow!D61=0,#N/A,Bxl_Inflow!D61)</f>
        <v>344.3175</v>
      </c>
      <c r="E61" s="163" t="e">
        <v>#N/A</v>
      </c>
      <c r="F61" s="168">
        <f>IF(Bxl_Inflow!E61=0,#N/A,Bxl_Inflow!E61)</f>
        <v>1918.1799999999998</v>
      </c>
      <c r="G61" s="163" t="e">
        <v>#N/A</v>
      </c>
      <c r="H61" s="168">
        <f>IF(Bxl_Inflow!F61=0,#N/A,Bxl_Inflow!F61)</f>
        <v>156.44426666666666</v>
      </c>
      <c r="I61" s="163" t="e">
        <v>#N/A</v>
      </c>
      <c r="J61" s="168">
        <f>IF(Bxl_Inflow!G61=0,#N/A,Bxl_Inflow!G61)</f>
        <v>116.14636666666667</v>
      </c>
      <c r="K61" s="163" t="e">
        <v>#N/A</v>
      </c>
      <c r="L61" s="167" t="e">
        <f>IF(Bxl_Outflow!C61=0,#N/A,Bxl_Outflow!C61)</f>
        <v>#N/A</v>
      </c>
      <c r="M61" s="172" t="e">
        <v>#N/A</v>
      </c>
      <c r="N61" s="167" t="e">
        <f>IF(Bxl_Outflow!D61=0,#N/A,Bxl_Outflow!D61)</f>
        <v>#N/A</v>
      </c>
      <c r="O61" s="172" t="e">
        <v>#N/A</v>
      </c>
      <c r="P61" s="167" t="e">
        <f>IF(Bxl_Outflow!E61=0,#N/A,Bxl_Outflow!E61)</f>
        <v>#N/A</v>
      </c>
      <c r="Q61" s="172" t="e">
        <v>#N/A</v>
      </c>
      <c r="R61" s="167" t="e">
        <f>IF(Bxl_Outflow!F61=0,#N/A,Bxl_Outflow!F61)</f>
        <v>#N/A</v>
      </c>
      <c r="S61" s="172" t="e">
        <v>#N/A</v>
      </c>
      <c r="T61" s="167" t="e">
        <f>IF(Bxl_Outflow!G61=0,#N/A,Bxl_Outflow!G61)</f>
        <v>#N/A</v>
      </c>
      <c r="U61" s="172" t="e">
        <v>#N/A</v>
      </c>
      <c r="W61" s="204"/>
      <c r="X61" s="204"/>
      <c r="Y61" s="207"/>
      <c r="Z61" s="207"/>
      <c r="AA61" s="204"/>
      <c r="AB61" s="207"/>
      <c r="AC61" s="204"/>
      <c r="AD61" s="207"/>
      <c r="AF61" s="204"/>
      <c r="AG61" s="204"/>
      <c r="AH61" s="204"/>
      <c r="AI61" s="204"/>
      <c r="AJ61" s="204"/>
      <c r="AK61" s="204"/>
    </row>
    <row r="62" spans="1:37" x14ac:dyDescent="0.25">
      <c r="A62" s="94">
        <v>2007</v>
      </c>
      <c r="B62" s="168">
        <f>IF(Bxl_Inflow!C62=0,#N/A,Bxl_Inflow!C62)</f>
        <v>720</v>
      </c>
      <c r="C62" s="163" t="e">
        <v>#N/A</v>
      </c>
      <c r="D62" s="168" t="e">
        <f>IF(Bxl_Inflow!D62=0,#N/A,Bxl_Inflow!D62)</f>
        <v>#N/A</v>
      </c>
      <c r="E62" s="163" t="e">
        <v>#N/A</v>
      </c>
      <c r="F62" s="168">
        <f>IF(Bxl_Inflow!E62=0,#N/A,Bxl_Inflow!E62)</f>
        <v>720</v>
      </c>
      <c r="G62" s="163" t="e">
        <v>#N/A</v>
      </c>
      <c r="H62" s="168">
        <f>IF(Bxl_Inflow!F62=0,#N/A,Bxl_Inflow!F62)</f>
        <v>42.666666666666671</v>
      </c>
      <c r="I62" s="163" t="e">
        <v>#N/A</v>
      </c>
      <c r="J62" s="168">
        <f>IF(Bxl_Inflow!G62=0,#N/A,Bxl_Inflow!G62)</f>
        <v>42.666666666666671</v>
      </c>
      <c r="K62" s="163" t="e">
        <v>#N/A</v>
      </c>
      <c r="L62" s="167" t="e">
        <f>IF(Bxl_Outflow!C62=0,#N/A,Bxl_Outflow!C62)</f>
        <v>#N/A</v>
      </c>
      <c r="M62" s="172" t="e">
        <v>#N/A</v>
      </c>
      <c r="N62" s="167" t="e">
        <f>IF(Bxl_Outflow!D62=0,#N/A,Bxl_Outflow!D62)</f>
        <v>#N/A</v>
      </c>
      <c r="O62" s="172" t="e">
        <v>#N/A</v>
      </c>
      <c r="P62" s="167" t="e">
        <f>IF(Bxl_Outflow!E62=0,#N/A,Bxl_Outflow!E62)</f>
        <v>#N/A</v>
      </c>
      <c r="Q62" s="172" t="e">
        <v>#N/A</v>
      </c>
      <c r="R62" s="167" t="e">
        <f>IF(Bxl_Outflow!F62=0,#N/A,Bxl_Outflow!F62)</f>
        <v>#N/A</v>
      </c>
      <c r="S62" s="172" t="e">
        <v>#N/A</v>
      </c>
      <c r="T62" s="167" t="e">
        <f>IF(Bxl_Outflow!G62=0,#N/A,Bxl_Outflow!G62)</f>
        <v>#N/A</v>
      </c>
      <c r="U62" s="172" t="e">
        <v>#N/A</v>
      </c>
      <c r="W62" s="204"/>
      <c r="X62" s="204"/>
      <c r="Y62" s="207"/>
      <c r="Z62" s="207"/>
      <c r="AA62" s="204"/>
      <c r="AB62" s="207"/>
      <c r="AC62" s="204"/>
      <c r="AD62" s="207"/>
      <c r="AF62" s="204"/>
      <c r="AG62" s="204"/>
      <c r="AH62" s="204"/>
      <c r="AI62" s="204"/>
      <c r="AJ62" s="204"/>
      <c r="AK62" s="204"/>
    </row>
    <row r="63" spans="1:37" x14ac:dyDescent="0.25">
      <c r="A63" s="94">
        <v>2008</v>
      </c>
      <c r="B63" s="168" t="e">
        <f>IF(Bxl_Inflow!C63=0,#N/A,Bxl_Inflow!C63)</f>
        <v>#N/A</v>
      </c>
      <c r="C63" s="163" t="e">
        <v>#N/A</v>
      </c>
      <c r="D63" s="168" t="e">
        <f>IF(Bxl_Inflow!D63=0,#N/A,Bxl_Inflow!D63)</f>
        <v>#N/A</v>
      </c>
      <c r="E63" s="163" t="e">
        <v>#N/A</v>
      </c>
      <c r="F63" s="168" t="e">
        <f>IF(Bxl_Inflow!E63=0,#N/A,Bxl_Inflow!E63)</f>
        <v>#N/A</v>
      </c>
      <c r="G63" s="163" t="e">
        <v>#N/A</v>
      </c>
      <c r="H63" s="168" t="e">
        <f>IF(Bxl_Inflow!F63=0,#N/A,Bxl_Inflow!F63)</f>
        <v>#N/A</v>
      </c>
      <c r="I63" s="163" t="e">
        <v>#N/A</v>
      </c>
      <c r="J63" s="168" t="e">
        <f>IF(Bxl_Inflow!G63=0,#N/A,Bxl_Inflow!G63)</f>
        <v>#N/A</v>
      </c>
      <c r="K63" s="163" t="e">
        <v>#N/A</v>
      </c>
      <c r="L63" s="167" t="e">
        <f>IF(Bxl_Outflow!C63=0,#N/A,Bxl_Outflow!C63)</f>
        <v>#N/A</v>
      </c>
      <c r="M63" s="172" t="e">
        <v>#N/A</v>
      </c>
      <c r="N63" s="167" t="e">
        <f>IF(Bxl_Outflow!D63=0,#N/A,Bxl_Outflow!D63)</f>
        <v>#N/A</v>
      </c>
      <c r="O63" s="172" t="e">
        <v>#N/A</v>
      </c>
      <c r="P63" s="167" t="e">
        <f>IF(Bxl_Outflow!E63=0,#N/A,Bxl_Outflow!E63)</f>
        <v>#N/A</v>
      </c>
      <c r="Q63" s="172" t="e">
        <v>#N/A</v>
      </c>
      <c r="R63" s="167" t="e">
        <f>IF(Bxl_Outflow!F63=0,#N/A,Bxl_Outflow!F63)</f>
        <v>#N/A</v>
      </c>
      <c r="S63" s="172" t="e">
        <v>#N/A</v>
      </c>
      <c r="T63" s="167" t="e">
        <f>IF(Bxl_Outflow!G63=0,#N/A,Bxl_Outflow!G63)</f>
        <v>#N/A</v>
      </c>
      <c r="U63" s="172" t="e">
        <v>#N/A</v>
      </c>
      <c r="W63" s="204"/>
      <c r="X63" s="204"/>
      <c r="Y63" s="207"/>
      <c r="Z63" s="207"/>
      <c r="AA63" s="204"/>
      <c r="AB63" s="207"/>
      <c r="AC63" s="204"/>
      <c r="AD63" s="207"/>
      <c r="AF63" s="204"/>
      <c r="AG63" s="204"/>
      <c r="AH63" s="204"/>
      <c r="AI63" s="204"/>
      <c r="AJ63" s="204"/>
      <c r="AK63" s="204"/>
    </row>
    <row r="64" spans="1:37" x14ac:dyDescent="0.25">
      <c r="A64" s="94">
        <v>2009</v>
      </c>
      <c r="B64" s="168">
        <f>IF(Bxl_Inflow!C64=0,#N/A,Bxl_Inflow!C64)</f>
        <v>245.51999999999998</v>
      </c>
      <c r="C64" s="163" t="e">
        <v>#N/A</v>
      </c>
      <c r="D64" s="168">
        <f>IF(Bxl_Inflow!D64=0,#N/A,Bxl_Inflow!D64)</f>
        <v>91.52</v>
      </c>
      <c r="E64" s="163" t="e">
        <v>#N/A</v>
      </c>
      <c r="F64" s="168">
        <f>IF(Bxl_Inflow!E64=0,#N/A,Bxl_Inflow!E64)</f>
        <v>154</v>
      </c>
      <c r="G64" s="163" t="e">
        <v>#N/A</v>
      </c>
      <c r="H64" s="168">
        <f>IF(Bxl_Inflow!F64=0,#N/A,Bxl_Inflow!F64)</f>
        <v>20.533333333333331</v>
      </c>
      <c r="I64" s="163" t="e">
        <v>#N/A</v>
      </c>
      <c r="J64" s="168">
        <f>IF(Bxl_Inflow!G64=0,#N/A,Bxl_Inflow!G64)</f>
        <v>10.266666666666666</v>
      </c>
      <c r="K64" s="163" t="e">
        <v>#N/A</v>
      </c>
      <c r="L64" s="167" t="e">
        <f>IF(Bxl_Outflow!C64=0,#N/A,Bxl_Outflow!C64)</f>
        <v>#N/A</v>
      </c>
      <c r="M64" s="172" t="e">
        <v>#N/A</v>
      </c>
      <c r="N64" s="167" t="e">
        <f>IF(Bxl_Outflow!D64=0,#N/A,Bxl_Outflow!D64)</f>
        <v>#N/A</v>
      </c>
      <c r="O64" s="172" t="e">
        <v>#N/A</v>
      </c>
      <c r="P64" s="167" t="e">
        <f>IF(Bxl_Outflow!E64=0,#N/A,Bxl_Outflow!E64)</f>
        <v>#N/A</v>
      </c>
      <c r="Q64" s="172" t="e">
        <v>#N/A</v>
      </c>
      <c r="R64" s="167" t="e">
        <f>IF(Bxl_Outflow!F64=0,#N/A,Bxl_Outflow!F64)</f>
        <v>#N/A</v>
      </c>
      <c r="S64" s="172" t="e">
        <v>#N/A</v>
      </c>
      <c r="T64" s="167" t="e">
        <f>IF(Bxl_Outflow!G64=0,#N/A,Bxl_Outflow!G64)</f>
        <v>#N/A</v>
      </c>
      <c r="U64" s="172" t="e">
        <v>#N/A</v>
      </c>
      <c r="W64" s="204"/>
      <c r="X64" s="204"/>
      <c r="Y64" s="207"/>
      <c r="Z64" s="207"/>
      <c r="AA64" s="204"/>
      <c r="AB64" s="207"/>
      <c r="AC64" s="204"/>
      <c r="AD64" s="207"/>
      <c r="AF64" s="204"/>
      <c r="AG64" s="204"/>
      <c r="AH64" s="204"/>
      <c r="AI64" s="204"/>
      <c r="AJ64" s="204"/>
      <c r="AK64" s="204"/>
    </row>
    <row r="65" spans="1:37" x14ac:dyDescent="0.25">
      <c r="A65" s="94">
        <v>2010</v>
      </c>
      <c r="B65" s="168" t="e">
        <f>IF(Bxl_Inflow!C65=0,#N/A,Bxl_Inflow!C65)</f>
        <v>#N/A</v>
      </c>
      <c r="C65" s="163" t="e">
        <v>#N/A</v>
      </c>
      <c r="D65" s="168" t="e">
        <f>IF(Bxl_Inflow!D65=0,#N/A,Bxl_Inflow!D65)</f>
        <v>#N/A</v>
      </c>
      <c r="E65" s="163" t="e">
        <v>#N/A</v>
      </c>
      <c r="F65" s="168" t="e">
        <f>IF(Bxl_Inflow!E65=0,#N/A,Bxl_Inflow!E65)</f>
        <v>#N/A</v>
      </c>
      <c r="G65" s="163" t="e">
        <v>#N/A</v>
      </c>
      <c r="H65" s="168" t="e">
        <f>IF(Bxl_Inflow!F65=0,#N/A,Bxl_Inflow!F65)</f>
        <v>#N/A</v>
      </c>
      <c r="I65" s="163" t="e">
        <v>#N/A</v>
      </c>
      <c r="J65" s="168" t="e">
        <f>IF(Bxl_Inflow!G65=0,#N/A,Bxl_Inflow!G65)</f>
        <v>#N/A</v>
      </c>
      <c r="K65" s="163" t="e">
        <v>#N/A</v>
      </c>
      <c r="L65" s="167" t="e">
        <f>IF(Bxl_Outflow!C65=0,#N/A,Bxl_Outflow!C65)</f>
        <v>#N/A</v>
      </c>
      <c r="M65" s="172" t="e">
        <v>#N/A</v>
      </c>
      <c r="N65" s="167" t="e">
        <f>IF(Bxl_Outflow!D65=0,#N/A,Bxl_Outflow!D65)</f>
        <v>#N/A</v>
      </c>
      <c r="O65" s="172" t="e">
        <v>#N/A</v>
      </c>
      <c r="P65" s="167" t="e">
        <f>IF(Bxl_Outflow!E65=0,#N/A,Bxl_Outflow!E65)</f>
        <v>#N/A</v>
      </c>
      <c r="Q65" s="172" t="e">
        <v>#N/A</v>
      </c>
      <c r="R65" s="167" t="e">
        <f>IF(Bxl_Outflow!F65=0,#N/A,Bxl_Outflow!F65)</f>
        <v>#N/A</v>
      </c>
      <c r="S65" s="172" t="e">
        <v>#N/A</v>
      </c>
      <c r="T65" s="167" t="e">
        <f>IF(Bxl_Outflow!G65=0,#N/A,Bxl_Outflow!G65)</f>
        <v>#N/A</v>
      </c>
      <c r="U65" s="172" t="e">
        <v>#N/A</v>
      </c>
      <c r="W65" s="204"/>
      <c r="X65" s="204"/>
      <c r="Y65" s="207"/>
      <c r="Z65" s="207"/>
      <c r="AA65" s="204"/>
      <c r="AB65" s="207"/>
      <c r="AC65" s="204"/>
      <c r="AD65" s="207"/>
      <c r="AF65" s="204"/>
      <c r="AG65" s="204"/>
      <c r="AH65" s="204"/>
      <c r="AI65" s="204"/>
      <c r="AJ65" s="204"/>
      <c r="AK65" s="204"/>
    </row>
    <row r="66" spans="1:37" x14ac:dyDescent="0.25">
      <c r="A66" s="94">
        <v>2011</v>
      </c>
      <c r="B66" s="168" t="e">
        <f>IF(Bxl_Inflow!C66=0,#N/A,Bxl_Inflow!C66)</f>
        <v>#N/A</v>
      </c>
      <c r="C66" s="163" t="e">
        <v>#N/A</v>
      </c>
      <c r="D66" s="168" t="e">
        <f>IF(Bxl_Inflow!D66=0,#N/A,Bxl_Inflow!D66)</f>
        <v>#N/A</v>
      </c>
      <c r="E66" s="163" t="e">
        <v>#N/A</v>
      </c>
      <c r="F66" s="168" t="e">
        <f>IF(Bxl_Inflow!E66=0,#N/A,Bxl_Inflow!E66)</f>
        <v>#N/A</v>
      </c>
      <c r="G66" s="163" t="e">
        <v>#N/A</v>
      </c>
      <c r="H66" s="168" t="e">
        <f>IF(Bxl_Inflow!F66=0,#N/A,Bxl_Inflow!F66)</f>
        <v>#N/A</v>
      </c>
      <c r="I66" s="163" t="e">
        <v>#N/A</v>
      </c>
      <c r="J66" s="168" t="e">
        <f>IF(Bxl_Inflow!G66=0,#N/A,Bxl_Inflow!G66)</f>
        <v>#N/A</v>
      </c>
      <c r="K66" s="163" t="e">
        <v>#N/A</v>
      </c>
      <c r="L66" s="167" t="e">
        <f>IF(Bxl_Outflow!C66=0,#N/A,Bxl_Outflow!C66)</f>
        <v>#N/A</v>
      </c>
      <c r="M66" s="172" t="e">
        <v>#N/A</v>
      </c>
      <c r="N66" s="167" t="e">
        <f>IF(Bxl_Outflow!D66=0,#N/A,Bxl_Outflow!D66)</f>
        <v>#N/A</v>
      </c>
      <c r="O66" s="172" t="e">
        <v>#N/A</v>
      </c>
      <c r="P66" s="167" t="e">
        <f>IF(Bxl_Outflow!E66=0,#N/A,Bxl_Outflow!E66)</f>
        <v>#N/A</v>
      </c>
      <c r="Q66" s="172" t="e">
        <v>#N/A</v>
      </c>
      <c r="R66" s="167" t="e">
        <f>IF(Bxl_Outflow!F66=0,#N/A,Bxl_Outflow!F66)</f>
        <v>#N/A</v>
      </c>
      <c r="S66" s="172" t="e">
        <v>#N/A</v>
      </c>
      <c r="T66" s="167" t="e">
        <f>IF(Bxl_Outflow!G66=0,#N/A,Bxl_Outflow!G66)</f>
        <v>#N/A</v>
      </c>
      <c r="U66" s="172" t="e">
        <v>#N/A</v>
      </c>
      <c r="W66" s="204"/>
      <c r="X66" s="204"/>
      <c r="Y66" s="207"/>
      <c r="Z66" s="207"/>
      <c r="AA66" s="204"/>
      <c r="AB66" s="207"/>
      <c r="AC66" s="204"/>
      <c r="AD66" s="207"/>
      <c r="AF66" s="204"/>
      <c r="AG66" s="204"/>
      <c r="AH66" s="204"/>
      <c r="AI66" s="204"/>
      <c r="AJ66" s="204"/>
      <c r="AK66" s="204"/>
    </row>
    <row r="67" spans="1:37" x14ac:dyDescent="0.25">
      <c r="A67" s="94">
        <v>2012</v>
      </c>
      <c r="B67" s="168" t="e">
        <f>IF(Bxl_Inflow!C67=0,#N/A,Bxl_Inflow!C67)</f>
        <v>#N/A</v>
      </c>
      <c r="C67" s="163" t="e">
        <v>#N/A</v>
      </c>
      <c r="D67" s="168" t="e">
        <f>IF(Bxl_Inflow!D67=0,#N/A,Bxl_Inflow!D67)</f>
        <v>#N/A</v>
      </c>
      <c r="E67" s="163" t="e">
        <v>#N/A</v>
      </c>
      <c r="F67" s="168" t="e">
        <f>IF(Bxl_Inflow!E67=0,#N/A,Bxl_Inflow!E67)</f>
        <v>#N/A</v>
      </c>
      <c r="G67" s="163" t="e">
        <v>#N/A</v>
      </c>
      <c r="H67" s="168" t="e">
        <f>IF(Bxl_Inflow!F67=0,#N/A,Bxl_Inflow!F67)</f>
        <v>#N/A</v>
      </c>
      <c r="I67" s="163" t="e">
        <v>#N/A</v>
      </c>
      <c r="J67" s="168" t="e">
        <f>IF(Bxl_Inflow!G67=0,#N/A,Bxl_Inflow!G67)</f>
        <v>#N/A</v>
      </c>
      <c r="K67" s="163" t="e">
        <v>#N/A</v>
      </c>
      <c r="L67" s="167" t="e">
        <f>IF(Bxl_Outflow!C67=0,#N/A,Bxl_Outflow!C67)</f>
        <v>#N/A</v>
      </c>
      <c r="M67" s="172" t="e">
        <v>#N/A</v>
      </c>
      <c r="N67" s="167" t="e">
        <f>IF(Bxl_Outflow!D67=0,#N/A,Bxl_Outflow!D67)</f>
        <v>#N/A</v>
      </c>
      <c r="O67" s="172" t="e">
        <v>#N/A</v>
      </c>
      <c r="P67" s="167" t="e">
        <f>IF(Bxl_Outflow!E67=0,#N/A,Bxl_Outflow!E67)</f>
        <v>#N/A</v>
      </c>
      <c r="Q67" s="172" t="e">
        <v>#N/A</v>
      </c>
      <c r="R67" s="167" t="e">
        <f>IF(Bxl_Outflow!F67=0,#N/A,Bxl_Outflow!F67)</f>
        <v>#N/A</v>
      </c>
      <c r="S67" s="172" t="e">
        <v>#N/A</v>
      </c>
      <c r="T67" s="167" t="e">
        <f>IF(Bxl_Outflow!G67=0,#N/A,Bxl_Outflow!G67)</f>
        <v>#N/A</v>
      </c>
      <c r="U67" s="172" t="e">
        <v>#N/A</v>
      </c>
      <c r="W67" s="204"/>
      <c r="X67" s="204"/>
      <c r="Y67" s="207"/>
      <c r="Z67" s="207"/>
      <c r="AA67" s="204"/>
      <c r="AB67" s="207"/>
      <c r="AC67" s="204"/>
      <c r="AD67" s="207"/>
      <c r="AF67" s="204"/>
      <c r="AG67" s="204"/>
      <c r="AH67" s="204"/>
      <c r="AI67" s="204"/>
      <c r="AJ67" s="204"/>
      <c r="AK67" s="204"/>
    </row>
    <row r="68" spans="1:37" x14ac:dyDescent="0.25">
      <c r="A68" s="94">
        <v>2013</v>
      </c>
      <c r="B68" s="168">
        <f>IF(Bxl_Inflow!C68=0,#N/A,Bxl_Inflow!C68)</f>
        <v>626.4</v>
      </c>
      <c r="C68" s="163" t="e">
        <v>#N/A</v>
      </c>
      <c r="D68" s="168" t="e">
        <f>IF(Bxl_Inflow!D68=0,#N/A,Bxl_Inflow!D68)</f>
        <v>#N/A</v>
      </c>
      <c r="E68" s="163" t="e">
        <v>#N/A</v>
      </c>
      <c r="F68" s="168">
        <f>IF(Bxl_Inflow!E68=0,#N/A,Bxl_Inflow!E68)</f>
        <v>626.4</v>
      </c>
      <c r="G68" s="163" t="e">
        <v>#N/A</v>
      </c>
      <c r="H68" s="168">
        <f>IF(Bxl_Inflow!F68=0,#N/A,Bxl_Inflow!F68)</f>
        <v>36.54</v>
      </c>
      <c r="I68" s="163" t="e">
        <v>#N/A</v>
      </c>
      <c r="J68" s="168">
        <f>IF(Bxl_Inflow!G68=0,#N/A,Bxl_Inflow!G68)</f>
        <v>36.54</v>
      </c>
      <c r="K68" s="163" t="e">
        <v>#N/A</v>
      </c>
      <c r="L68" s="167" t="e">
        <f>IF(Bxl_Outflow!C68=0,#N/A,Bxl_Outflow!C68)</f>
        <v>#N/A</v>
      </c>
      <c r="M68" s="172" t="e">
        <v>#N/A</v>
      </c>
      <c r="N68" s="167" t="e">
        <f>IF(Bxl_Outflow!D68=0,#N/A,Bxl_Outflow!D68)</f>
        <v>#N/A</v>
      </c>
      <c r="O68" s="172" t="e">
        <v>#N/A</v>
      </c>
      <c r="P68" s="167" t="e">
        <f>IF(Bxl_Outflow!E68=0,#N/A,Bxl_Outflow!E68)</f>
        <v>#N/A</v>
      </c>
      <c r="Q68" s="172" t="e">
        <v>#N/A</v>
      </c>
      <c r="R68" s="167" t="e">
        <f>IF(Bxl_Outflow!F68=0,#N/A,Bxl_Outflow!F68)</f>
        <v>#N/A</v>
      </c>
      <c r="S68" s="172" t="e">
        <v>#N/A</v>
      </c>
      <c r="T68" s="167" t="e">
        <f>IF(Bxl_Outflow!G68=0,#N/A,Bxl_Outflow!G68)</f>
        <v>#N/A</v>
      </c>
      <c r="U68" s="172" t="e">
        <v>#N/A</v>
      </c>
      <c r="W68" s="204"/>
      <c r="X68" s="204"/>
      <c r="Y68" s="207"/>
      <c r="Z68" s="207"/>
      <c r="AA68" s="204"/>
      <c r="AB68" s="207"/>
      <c r="AC68" s="204"/>
      <c r="AD68" s="207"/>
      <c r="AF68" s="204"/>
      <c r="AG68" s="204"/>
      <c r="AH68" s="204"/>
      <c r="AI68" s="204"/>
      <c r="AJ68" s="204"/>
      <c r="AK68" s="204"/>
    </row>
    <row r="69" spans="1:37" x14ac:dyDescent="0.25">
      <c r="A69" s="94">
        <v>2014</v>
      </c>
      <c r="B69" s="168" t="e">
        <f>IF(Bxl_Inflow!C69=0,#N/A,Bxl_Inflow!C69)</f>
        <v>#N/A</v>
      </c>
      <c r="C69" s="163" t="e">
        <v>#N/A</v>
      </c>
      <c r="D69" s="168" t="e">
        <f>IF(Bxl_Inflow!D69=0,#N/A,Bxl_Inflow!D69)</f>
        <v>#N/A</v>
      </c>
      <c r="E69" s="163" t="e">
        <v>#N/A</v>
      </c>
      <c r="F69" s="168" t="e">
        <f>IF(Bxl_Inflow!E69=0,#N/A,Bxl_Inflow!E69)</f>
        <v>#N/A</v>
      </c>
      <c r="G69" s="163" t="e">
        <v>#N/A</v>
      </c>
      <c r="H69" s="168" t="e">
        <f>IF(Bxl_Inflow!F69=0,#N/A,Bxl_Inflow!F69)</f>
        <v>#N/A</v>
      </c>
      <c r="I69" s="163" t="e">
        <v>#N/A</v>
      </c>
      <c r="J69" s="168" t="e">
        <f>IF(Bxl_Inflow!G69=0,#N/A,Bxl_Inflow!G69)</f>
        <v>#N/A</v>
      </c>
      <c r="K69" s="163" t="e">
        <v>#N/A</v>
      </c>
      <c r="L69" s="167" t="e">
        <f>IF(Bxl_Outflow!C69=0,#N/A,Bxl_Outflow!C69)</f>
        <v>#N/A</v>
      </c>
      <c r="M69" s="172" t="e">
        <v>#N/A</v>
      </c>
      <c r="N69" s="167" t="e">
        <f>IF(Bxl_Outflow!D69=0,#N/A,Bxl_Outflow!D69)</f>
        <v>#N/A</v>
      </c>
      <c r="O69" s="172" t="e">
        <v>#N/A</v>
      </c>
      <c r="P69" s="167" t="e">
        <f>IF(Bxl_Outflow!E69=0,#N/A,Bxl_Outflow!E69)</f>
        <v>#N/A</v>
      </c>
      <c r="Q69" s="172" t="e">
        <v>#N/A</v>
      </c>
      <c r="R69" s="167" t="e">
        <f>IF(Bxl_Outflow!F69=0,#N/A,Bxl_Outflow!F69)</f>
        <v>#N/A</v>
      </c>
      <c r="S69" s="172" t="e">
        <v>#N/A</v>
      </c>
      <c r="T69" s="167" t="e">
        <f>IF(Bxl_Outflow!G69=0,#N/A,Bxl_Outflow!G69)</f>
        <v>#N/A</v>
      </c>
      <c r="U69" s="172" t="e">
        <v>#N/A</v>
      </c>
      <c r="W69" s="204"/>
      <c r="X69" s="204"/>
      <c r="Y69" s="207"/>
      <c r="Z69" s="207"/>
      <c r="AA69" s="204"/>
      <c r="AB69" s="207"/>
      <c r="AC69" s="204"/>
      <c r="AD69" s="207"/>
      <c r="AF69" s="204"/>
      <c r="AG69" s="204"/>
      <c r="AH69" s="204"/>
      <c r="AI69" s="204"/>
      <c r="AJ69" s="204"/>
      <c r="AK69" s="204"/>
    </row>
    <row r="70" spans="1:37" x14ac:dyDescent="0.25">
      <c r="A70" s="94">
        <v>2015</v>
      </c>
      <c r="B70" s="168" t="e">
        <f>IF(Bxl_Inflow!C70=0,#N/A,Bxl_Inflow!C70)</f>
        <v>#N/A</v>
      </c>
      <c r="C70" s="163" t="e">
        <v>#N/A</v>
      </c>
      <c r="D70" s="168" t="e">
        <f>IF(Bxl_Inflow!D70=0,#N/A,Bxl_Inflow!D70)</f>
        <v>#N/A</v>
      </c>
      <c r="E70" s="163" t="e">
        <v>#N/A</v>
      </c>
      <c r="F70" s="168" t="e">
        <f>IF(Bxl_Inflow!E70=0,#N/A,Bxl_Inflow!E70)</f>
        <v>#N/A</v>
      </c>
      <c r="G70" s="163" t="e">
        <v>#N/A</v>
      </c>
      <c r="H70" s="168" t="e">
        <f>IF(Bxl_Inflow!F70=0,#N/A,Bxl_Inflow!F70)</f>
        <v>#N/A</v>
      </c>
      <c r="I70" s="163" t="e">
        <v>#N/A</v>
      </c>
      <c r="J70" s="168" t="e">
        <f>IF(Bxl_Inflow!G70=0,#N/A,Bxl_Inflow!G70)</f>
        <v>#N/A</v>
      </c>
      <c r="K70" s="163" t="e">
        <v>#N/A</v>
      </c>
      <c r="L70" s="167" t="e">
        <f>IF(Bxl_Outflow!C70=0,#N/A,Bxl_Outflow!C70)</f>
        <v>#N/A</v>
      </c>
      <c r="M70" s="172" t="e">
        <v>#N/A</v>
      </c>
      <c r="N70" s="167" t="e">
        <f>IF(Bxl_Outflow!D70=0,#N/A,Bxl_Outflow!D70)</f>
        <v>#N/A</v>
      </c>
      <c r="O70" s="172" t="e">
        <v>#N/A</v>
      </c>
      <c r="P70" s="167" t="e">
        <f>IF(Bxl_Outflow!E70=0,#N/A,Bxl_Outflow!E70)</f>
        <v>#N/A</v>
      </c>
      <c r="Q70" s="172" t="e">
        <v>#N/A</v>
      </c>
      <c r="R70" s="167" t="e">
        <f>IF(Bxl_Outflow!F70=0,#N/A,Bxl_Outflow!F70)</f>
        <v>#N/A</v>
      </c>
      <c r="S70" s="172" t="e">
        <v>#N/A</v>
      </c>
      <c r="T70" s="167" t="e">
        <f>IF(Bxl_Outflow!G70=0,#N/A,Bxl_Outflow!G70)</f>
        <v>#N/A</v>
      </c>
      <c r="U70" s="172" t="e">
        <v>#N/A</v>
      </c>
      <c r="W70" s="208">
        <f>AVERAGE(Bxl_Inflow!B70:B79)</f>
        <v>15692.9375</v>
      </c>
      <c r="X70" s="208">
        <f>AVERAGE(Bxl_Inflow!C70:C79)</f>
        <v>369.10675000000003</v>
      </c>
      <c r="Y70" s="207">
        <f>AVERAGE(Bxl_Outflow!B70:B79)</f>
        <v>9193.4025000000001</v>
      </c>
      <c r="Z70" s="207">
        <f>AVERAGE(Bxl_Outflow!C70:C79)</f>
        <v>198.47437500000001</v>
      </c>
      <c r="AA70" s="208">
        <f>AVERAGE(Bxl_Inflow!F70:F79)</f>
        <v>27.756493333333331</v>
      </c>
      <c r="AB70" s="207">
        <f>AVERAGE(Bxl_Outflow!F70:F79)</f>
        <v>14.918400000000002</v>
      </c>
      <c r="AC70" s="208">
        <f>AVERAGE(Bxl_Inflow!G70:G79)</f>
        <v>19.725606666666668</v>
      </c>
      <c r="AD70" s="207">
        <f>AVERAGE(Bxl_Outflow!G70:G79)</f>
        <v>10.077299999999999</v>
      </c>
      <c r="AF70" s="204"/>
      <c r="AG70" s="204"/>
      <c r="AH70" s="204"/>
      <c r="AI70" s="204"/>
      <c r="AJ70" s="204"/>
      <c r="AK70" s="204"/>
    </row>
    <row r="71" spans="1:37" x14ac:dyDescent="0.25">
      <c r="A71" s="94">
        <v>2016</v>
      </c>
      <c r="B71" s="168" t="e">
        <f>IF(Bxl_Inflow!C71=0,#N/A,Bxl_Inflow!C71)</f>
        <v>#N/A</v>
      </c>
      <c r="C71" s="163" t="e">
        <v>#N/A</v>
      </c>
      <c r="D71" s="168" t="e">
        <f>IF(Bxl_Inflow!D71=0,#N/A,Bxl_Inflow!D71)</f>
        <v>#N/A</v>
      </c>
      <c r="E71" s="163" t="e">
        <v>#N/A</v>
      </c>
      <c r="F71" s="168" t="e">
        <f>IF(Bxl_Inflow!E71=0,#N/A,Bxl_Inflow!E71)</f>
        <v>#N/A</v>
      </c>
      <c r="G71" s="163" t="e">
        <v>#N/A</v>
      </c>
      <c r="H71" s="168" t="e">
        <f>IF(Bxl_Inflow!F71=0,#N/A,Bxl_Inflow!F71)</f>
        <v>#N/A</v>
      </c>
      <c r="I71" s="163" t="e">
        <v>#N/A</v>
      </c>
      <c r="J71" s="168" t="e">
        <f>IF(Bxl_Inflow!G71=0,#N/A,Bxl_Inflow!G71)</f>
        <v>#N/A</v>
      </c>
      <c r="K71" s="163" t="e">
        <v>#N/A</v>
      </c>
      <c r="L71" s="167" t="e">
        <f>IF(Bxl_Outflow!C71=0,#N/A,Bxl_Outflow!C71)</f>
        <v>#N/A</v>
      </c>
      <c r="M71" s="172" t="e">
        <v>#N/A</v>
      </c>
      <c r="N71" s="167" t="e">
        <f>IF(Bxl_Outflow!D71=0,#N/A,Bxl_Outflow!D71)</f>
        <v>#N/A</v>
      </c>
      <c r="O71" s="172" t="e">
        <v>#N/A</v>
      </c>
      <c r="P71" s="167" t="e">
        <f>IF(Bxl_Outflow!E71=0,#N/A,Bxl_Outflow!E71)</f>
        <v>#N/A</v>
      </c>
      <c r="Q71" s="172" t="e">
        <v>#N/A</v>
      </c>
      <c r="R71" s="167" t="e">
        <f>IF(Bxl_Outflow!F71=0,#N/A,Bxl_Outflow!F71)</f>
        <v>#N/A</v>
      </c>
      <c r="S71" s="172" t="e">
        <v>#N/A</v>
      </c>
      <c r="T71" s="167" t="e">
        <f>IF(Bxl_Outflow!G71=0,#N/A,Bxl_Outflow!G71)</f>
        <v>#N/A</v>
      </c>
      <c r="U71" s="172" t="e">
        <v>#N/A</v>
      </c>
      <c r="W71" s="204"/>
      <c r="X71" s="204"/>
      <c r="Y71" s="204"/>
      <c r="Z71" s="204"/>
      <c r="AA71" s="204"/>
      <c r="AB71" s="204"/>
      <c r="AC71" s="204"/>
      <c r="AD71" s="204"/>
      <c r="AF71" s="204"/>
      <c r="AG71" s="204"/>
      <c r="AH71" s="204"/>
      <c r="AI71" s="204"/>
      <c r="AJ71" s="204"/>
      <c r="AK71" s="204"/>
    </row>
    <row r="72" spans="1:37" x14ac:dyDescent="0.25">
      <c r="A72" s="94">
        <v>2017</v>
      </c>
      <c r="B72" s="168" t="e">
        <f>IF(Bxl_Inflow!C72=0,#N/A,Bxl_Inflow!C72)</f>
        <v>#N/A</v>
      </c>
      <c r="C72" s="163" t="e">
        <v>#N/A</v>
      </c>
      <c r="D72" s="168" t="e">
        <f>IF(Bxl_Inflow!D72=0,#N/A,Bxl_Inflow!D72)</f>
        <v>#N/A</v>
      </c>
      <c r="E72" s="163" t="e">
        <v>#N/A</v>
      </c>
      <c r="F72" s="168" t="e">
        <f>IF(Bxl_Inflow!E72=0,#N/A,Bxl_Inflow!E72)</f>
        <v>#N/A</v>
      </c>
      <c r="G72" s="163" t="e">
        <v>#N/A</v>
      </c>
      <c r="H72" s="168" t="e">
        <f>IF(Bxl_Inflow!F72=0,#N/A,Bxl_Inflow!F72)</f>
        <v>#N/A</v>
      </c>
      <c r="I72" s="163" t="e">
        <v>#N/A</v>
      </c>
      <c r="J72" s="168" t="e">
        <f>IF(Bxl_Inflow!G72=0,#N/A,Bxl_Inflow!G72)</f>
        <v>#N/A</v>
      </c>
      <c r="K72" s="163" t="e">
        <v>#N/A</v>
      </c>
      <c r="L72" s="167">
        <f>IF(Bxl_Outflow!C72=0,#N/A,Bxl_Outflow!C72)</f>
        <v>197.74124999999998</v>
      </c>
      <c r="M72" s="172" t="e">
        <v>#N/A</v>
      </c>
      <c r="N72" s="167">
        <f>IF(Bxl_Outflow!D72=0,#N/A,Bxl_Outflow!D72)</f>
        <v>34.445250000000001</v>
      </c>
      <c r="O72" s="172" t="e">
        <v>#N/A</v>
      </c>
      <c r="P72" s="167">
        <f>IF(Bxl_Outflow!E72=0,#N/A,Bxl_Outflow!E72)</f>
        <v>163.29599999999999</v>
      </c>
      <c r="Q72" s="172" t="e">
        <v>#N/A</v>
      </c>
      <c r="R72" s="167">
        <f>IF(Bxl_Outflow!F72=0,#N/A,Bxl_Outflow!F72)</f>
        <v>17.4636</v>
      </c>
      <c r="S72" s="172" t="e">
        <v>#N/A</v>
      </c>
      <c r="T72" s="167">
        <f>IF(Bxl_Outflow!G72=0,#N/A,Bxl_Outflow!G72)</f>
        <v>9.9791999999999987</v>
      </c>
      <c r="U72" s="172" t="e">
        <v>#N/A</v>
      </c>
      <c r="W72" s="204"/>
      <c r="X72" s="204"/>
      <c r="Y72" s="204"/>
      <c r="Z72" s="204"/>
      <c r="AA72" s="204"/>
      <c r="AB72" s="204"/>
      <c r="AC72" s="204"/>
      <c r="AD72" s="204"/>
      <c r="AF72" s="204"/>
      <c r="AG72" s="204"/>
      <c r="AH72" s="204"/>
      <c r="AI72" s="204"/>
      <c r="AJ72" s="204"/>
      <c r="AK72" s="204"/>
    </row>
    <row r="73" spans="1:37" x14ac:dyDescent="0.25">
      <c r="A73" s="94">
        <v>2018</v>
      </c>
      <c r="B73" s="168" t="e">
        <f>IF(Bxl_Inflow!C73=0,#N/A,Bxl_Inflow!C73)</f>
        <v>#N/A</v>
      </c>
      <c r="C73" s="163" t="e">
        <v>#N/A</v>
      </c>
      <c r="D73" s="168" t="e">
        <f>IF(Bxl_Inflow!D73=0,#N/A,Bxl_Inflow!D73)</f>
        <v>#N/A</v>
      </c>
      <c r="E73" s="163" t="e">
        <v>#N/A</v>
      </c>
      <c r="F73" s="168" t="e">
        <f>IF(Bxl_Inflow!E73=0,#N/A,Bxl_Inflow!E73)</f>
        <v>#N/A</v>
      </c>
      <c r="G73" s="163" t="e">
        <v>#N/A</v>
      </c>
      <c r="H73" s="168" t="e">
        <f>IF(Bxl_Inflow!F73=0,#N/A,Bxl_Inflow!F73)</f>
        <v>#N/A</v>
      </c>
      <c r="I73" s="163" t="e">
        <v>#N/A</v>
      </c>
      <c r="J73" s="168" t="e">
        <f>IF(Bxl_Inflow!G73=0,#N/A,Bxl_Inflow!G73)</f>
        <v>#N/A</v>
      </c>
      <c r="K73" s="163" t="e">
        <v>#N/A</v>
      </c>
      <c r="L73" s="167" t="e">
        <f>IF(Bxl_Outflow!C73=0,#N/A,Bxl_Outflow!C73)</f>
        <v>#N/A</v>
      </c>
      <c r="M73" s="172" t="e">
        <v>#N/A</v>
      </c>
      <c r="N73" s="167" t="e">
        <f>IF(Bxl_Outflow!D73=0,#N/A,Bxl_Outflow!D73)</f>
        <v>#N/A</v>
      </c>
      <c r="O73" s="172" t="e">
        <v>#N/A</v>
      </c>
      <c r="P73" s="167" t="e">
        <f>IF(Bxl_Outflow!E73=0,#N/A,Bxl_Outflow!E73)</f>
        <v>#N/A</v>
      </c>
      <c r="Q73" s="172" t="e">
        <v>#N/A</v>
      </c>
      <c r="R73" s="167" t="e">
        <f>IF(Bxl_Outflow!F73=0,#N/A,Bxl_Outflow!F73)</f>
        <v>#N/A</v>
      </c>
      <c r="S73" s="172" t="e">
        <v>#N/A</v>
      </c>
      <c r="T73" s="167" t="e">
        <f>IF(Bxl_Outflow!G73=0,#N/A,Bxl_Outflow!G73)</f>
        <v>#N/A</v>
      </c>
      <c r="U73" s="172" t="e">
        <v>#N/A</v>
      </c>
      <c r="W73" s="204"/>
      <c r="X73" s="204"/>
      <c r="Y73" s="204"/>
      <c r="Z73" s="204"/>
      <c r="AA73" s="204"/>
      <c r="AB73" s="204"/>
      <c r="AC73" s="204"/>
      <c r="AD73" s="204"/>
      <c r="AF73" s="204"/>
      <c r="AG73" s="204"/>
      <c r="AH73" s="204"/>
      <c r="AI73" s="204"/>
      <c r="AJ73" s="204"/>
      <c r="AK73" s="204"/>
    </row>
    <row r="74" spans="1:37" x14ac:dyDescent="0.25">
      <c r="A74" s="94">
        <v>2019</v>
      </c>
      <c r="B74" s="168" t="e">
        <f>IF(Bxl_Inflow!C74=0,#N/A,Bxl_Inflow!C74)</f>
        <v>#N/A</v>
      </c>
      <c r="C74" s="163" t="e">
        <v>#N/A</v>
      </c>
      <c r="D74" s="168" t="e">
        <f>IF(Bxl_Inflow!D74=0,#N/A,Bxl_Inflow!D74)</f>
        <v>#N/A</v>
      </c>
      <c r="E74" s="163" t="e">
        <v>#N/A</v>
      </c>
      <c r="F74" s="168" t="e">
        <f>IF(Bxl_Inflow!E74=0,#N/A,Bxl_Inflow!E74)</f>
        <v>#N/A</v>
      </c>
      <c r="G74" s="163" t="e">
        <v>#N/A</v>
      </c>
      <c r="H74" s="168" t="e">
        <f>IF(Bxl_Inflow!F74=0,#N/A,Bxl_Inflow!F74)</f>
        <v>#N/A</v>
      </c>
      <c r="I74" s="163" t="e">
        <v>#N/A</v>
      </c>
      <c r="J74" s="168" t="e">
        <f>IF(Bxl_Inflow!G74=0,#N/A,Bxl_Inflow!G74)</f>
        <v>#N/A</v>
      </c>
      <c r="K74" s="163" t="e">
        <v>#N/A</v>
      </c>
      <c r="L74" s="167" t="e">
        <f>IF(Bxl_Outflow!C74=0,#N/A,Bxl_Outflow!C74)</f>
        <v>#N/A</v>
      </c>
      <c r="M74" s="172" t="e">
        <v>#N/A</v>
      </c>
      <c r="N74" s="167" t="e">
        <f>IF(Bxl_Outflow!D74=0,#N/A,Bxl_Outflow!D74)</f>
        <v>#N/A</v>
      </c>
      <c r="O74" s="172" t="e">
        <v>#N/A</v>
      </c>
      <c r="P74" s="167" t="e">
        <f>IF(Bxl_Outflow!E74=0,#N/A,Bxl_Outflow!E74)</f>
        <v>#N/A</v>
      </c>
      <c r="Q74" s="172" t="e">
        <v>#N/A</v>
      </c>
      <c r="R74" s="167" t="e">
        <f>IF(Bxl_Outflow!F74=0,#N/A,Bxl_Outflow!F74)</f>
        <v>#N/A</v>
      </c>
      <c r="S74" s="172" t="e">
        <v>#N/A</v>
      </c>
      <c r="T74" s="167" t="e">
        <f>IF(Bxl_Outflow!G74=0,#N/A,Bxl_Outflow!G74)</f>
        <v>#N/A</v>
      </c>
      <c r="U74" s="172" t="e">
        <v>#N/A</v>
      </c>
      <c r="W74" s="204"/>
      <c r="X74" s="204"/>
      <c r="Y74" s="204"/>
      <c r="Z74" s="204"/>
      <c r="AA74" s="204"/>
      <c r="AB74" s="204"/>
      <c r="AC74" s="204"/>
      <c r="AD74" s="204"/>
      <c r="AF74" s="204"/>
      <c r="AG74" s="204"/>
      <c r="AH74" s="204"/>
      <c r="AI74" s="204"/>
      <c r="AJ74" s="204"/>
      <c r="AK74" s="204"/>
    </row>
    <row r="75" spans="1:37" x14ac:dyDescent="0.25">
      <c r="A75" s="94">
        <v>2020</v>
      </c>
      <c r="B75" s="168">
        <f>IF(Bxl_Inflow!C75=0,#N/A,Bxl_Inflow!C75)</f>
        <v>1047.5999999999999</v>
      </c>
      <c r="C75" s="163" t="e">
        <v>#N/A</v>
      </c>
      <c r="D75" s="168" t="e">
        <f>IF(Bxl_Inflow!D75=0,#N/A,Bxl_Inflow!D75)</f>
        <v>#N/A</v>
      </c>
      <c r="E75" s="163" t="e">
        <v>#N/A</v>
      </c>
      <c r="F75" s="168">
        <f>IF(Bxl_Inflow!E75=0,#N/A,Bxl_Inflow!E75)</f>
        <v>1047.5999999999999</v>
      </c>
      <c r="G75" s="163" t="e">
        <v>#N/A</v>
      </c>
      <c r="H75" s="168">
        <f>IF(Bxl_Inflow!F75=0,#N/A,Bxl_Inflow!F75)</f>
        <v>57.229199999999999</v>
      </c>
      <c r="I75" s="163" t="e">
        <v>#N/A</v>
      </c>
      <c r="J75" s="168">
        <f>IF(Bxl_Inflow!G75=0,#N/A,Bxl_Inflow!G75)</f>
        <v>57.229199999999999</v>
      </c>
      <c r="K75" s="163" t="e">
        <v>#N/A</v>
      </c>
      <c r="L75" s="167">
        <f>IF(Bxl_Outflow!C75=0,#N/A,Bxl_Outflow!C75)</f>
        <v>837.13499999999999</v>
      </c>
      <c r="M75" s="172" t="e">
        <v>#N/A</v>
      </c>
      <c r="N75" s="167">
        <f>IF(Bxl_Outflow!D75=0,#N/A,Bxl_Outflow!D75)</f>
        <v>167.42700000000002</v>
      </c>
      <c r="O75" s="172" t="e">
        <v>#N/A</v>
      </c>
      <c r="P75" s="167">
        <f>IF(Bxl_Outflow!E75=0,#N/A,Bxl_Outflow!E75)</f>
        <v>669.70799999999997</v>
      </c>
      <c r="Q75" s="172" t="e">
        <v>#N/A</v>
      </c>
      <c r="R75" s="167">
        <f>IF(Bxl_Outflow!F75=0,#N/A,Bxl_Outflow!F75)</f>
        <v>63.663600000000002</v>
      </c>
      <c r="S75" s="172" t="e">
        <v>#N/A</v>
      </c>
      <c r="T75" s="167">
        <f>IF(Bxl_Outflow!G75=0,#N/A,Bxl_Outflow!G75)</f>
        <v>36.379199999999997</v>
      </c>
      <c r="U75" s="172" t="e">
        <v>#N/A</v>
      </c>
      <c r="W75" s="204"/>
      <c r="X75" s="204"/>
      <c r="Y75" s="204"/>
      <c r="Z75" s="204"/>
      <c r="AA75" s="204"/>
      <c r="AB75" s="204"/>
      <c r="AC75" s="204"/>
      <c r="AD75" s="204"/>
      <c r="AF75" s="204"/>
      <c r="AG75" s="204"/>
      <c r="AH75" s="204"/>
      <c r="AI75" s="204"/>
      <c r="AJ75" s="204"/>
      <c r="AK75" s="204"/>
    </row>
    <row r="76" spans="1:37" x14ac:dyDescent="0.25">
      <c r="A76" s="94">
        <v>2021</v>
      </c>
      <c r="B76" s="168">
        <f>IF(Bxl_Inflow!C76=0,#N/A,Bxl_Inflow!C76)</f>
        <v>453.6</v>
      </c>
      <c r="C76" s="163" t="e">
        <v>#N/A</v>
      </c>
      <c r="D76" s="168" t="e">
        <f>IF(Bxl_Inflow!D76=0,#N/A,Bxl_Inflow!D76)</f>
        <v>#N/A</v>
      </c>
      <c r="E76" s="163" t="e">
        <v>#N/A</v>
      </c>
      <c r="F76" s="168">
        <f>IF(Bxl_Inflow!E76=0,#N/A,Bxl_Inflow!E76)</f>
        <v>453.6</v>
      </c>
      <c r="G76" s="163" t="e">
        <v>#N/A</v>
      </c>
      <c r="H76" s="168">
        <f>IF(Bxl_Inflow!F76=0,#N/A,Bxl_Inflow!F76)</f>
        <v>22.5792</v>
      </c>
      <c r="I76" s="163" t="e">
        <v>#N/A</v>
      </c>
      <c r="J76" s="168">
        <f>IF(Bxl_Inflow!G76=0,#N/A,Bxl_Inflow!G76)</f>
        <v>22.5792</v>
      </c>
      <c r="K76" s="163" t="e">
        <v>#N/A</v>
      </c>
      <c r="L76" s="167" t="e">
        <f>IF(Bxl_Outflow!C76=0,#N/A,Bxl_Outflow!C76)</f>
        <v>#N/A</v>
      </c>
      <c r="M76" s="172" t="e">
        <v>#N/A</v>
      </c>
      <c r="N76" s="167" t="e">
        <f>IF(Bxl_Outflow!D76=0,#N/A,Bxl_Outflow!D76)</f>
        <v>#N/A</v>
      </c>
      <c r="O76" s="172" t="e">
        <v>#N/A</v>
      </c>
      <c r="P76" s="167" t="e">
        <f>IF(Bxl_Outflow!E76=0,#N/A,Bxl_Outflow!E76)</f>
        <v>#N/A</v>
      </c>
      <c r="Q76" s="172" t="e">
        <v>#N/A</v>
      </c>
      <c r="R76" s="167" t="e">
        <f>IF(Bxl_Outflow!F76=0,#N/A,Bxl_Outflow!F76)</f>
        <v>#N/A</v>
      </c>
      <c r="S76" s="172" t="e">
        <v>#N/A</v>
      </c>
      <c r="T76" s="167" t="e">
        <f>IF(Bxl_Outflow!G76=0,#N/A,Bxl_Outflow!G76)</f>
        <v>#N/A</v>
      </c>
      <c r="U76" s="172" t="e">
        <v>#N/A</v>
      </c>
      <c r="W76" s="204"/>
      <c r="X76" s="204"/>
      <c r="Y76" s="204"/>
      <c r="Z76" s="204"/>
      <c r="AA76" s="204"/>
      <c r="AB76" s="204"/>
      <c r="AC76" s="204"/>
      <c r="AD76" s="204"/>
      <c r="AF76" s="204"/>
      <c r="AG76" s="204"/>
      <c r="AH76" s="204"/>
      <c r="AI76" s="204"/>
      <c r="AJ76" s="204"/>
      <c r="AK76" s="204"/>
    </row>
    <row r="77" spans="1:37" x14ac:dyDescent="0.25">
      <c r="A77" s="94">
        <v>2022</v>
      </c>
      <c r="B77" s="168">
        <f>IF(Bxl_Inflow!C77=0,#N/A,Bxl_Inflow!C77)</f>
        <v>531.30000000000007</v>
      </c>
      <c r="C77" s="163" t="e">
        <v>#N/A</v>
      </c>
      <c r="D77" s="168" t="e">
        <f>IF(Bxl_Inflow!D77=0,#N/A,Bxl_Inflow!D77)</f>
        <v>#N/A</v>
      </c>
      <c r="E77" s="163" t="e">
        <v>#N/A</v>
      </c>
      <c r="F77" s="168">
        <f>IF(Bxl_Inflow!E77=0,#N/A,Bxl_Inflow!E77)</f>
        <v>531.30000000000007</v>
      </c>
      <c r="G77" s="163" t="e">
        <v>#N/A</v>
      </c>
      <c r="H77" s="168">
        <f>IF(Bxl_Inflow!F77=0,#N/A,Bxl_Inflow!F77)</f>
        <v>32.5914</v>
      </c>
      <c r="I77" s="163" t="e">
        <v>#N/A</v>
      </c>
      <c r="J77" s="168">
        <f>IF(Bxl_Inflow!G77=0,#N/A,Bxl_Inflow!G77)</f>
        <v>32.5914</v>
      </c>
      <c r="K77" s="163" t="e">
        <v>#N/A</v>
      </c>
      <c r="L77" s="167">
        <f>IF(Bxl_Outflow!C77=0,#N/A,Bxl_Outflow!C77)</f>
        <v>531.30000000000007</v>
      </c>
      <c r="M77" s="172" t="e">
        <v>#N/A</v>
      </c>
      <c r="N77" s="167" t="e">
        <f>IF(Bxl_Outflow!D77=0,#N/A,Bxl_Outflow!D77)</f>
        <v>#N/A</v>
      </c>
      <c r="O77" s="172" t="e">
        <v>#N/A</v>
      </c>
      <c r="P77" s="167">
        <f>IF(Bxl_Outflow!E77=0,#N/A,Bxl_Outflow!E77)</f>
        <v>531.30000000000007</v>
      </c>
      <c r="Q77" s="172" t="e">
        <v>#N/A</v>
      </c>
      <c r="R77" s="167">
        <f>IF(Bxl_Outflow!F77=0,#N/A,Bxl_Outflow!F77)</f>
        <v>36.225000000000001</v>
      </c>
      <c r="S77" s="172" t="e">
        <v>#N/A</v>
      </c>
      <c r="T77" s="167">
        <f>IF(Bxl_Outflow!G77=0,#N/A,Bxl_Outflow!G77)</f>
        <v>36.225000000000001</v>
      </c>
      <c r="U77" s="172" t="e">
        <v>#N/A</v>
      </c>
      <c r="W77" s="204"/>
      <c r="X77" s="204"/>
      <c r="Y77" s="204"/>
      <c r="Z77" s="204"/>
      <c r="AA77" s="204"/>
      <c r="AB77" s="204"/>
      <c r="AC77" s="204"/>
      <c r="AD77" s="204"/>
      <c r="AF77" s="204"/>
      <c r="AG77" s="204"/>
      <c r="AH77" s="204"/>
      <c r="AI77" s="204"/>
      <c r="AJ77" s="204"/>
      <c r="AK77" s="204"/>
    </row>
    <row r="78" spans="1:37" x14ac:dyDescent="0.25">
      <c r="A78" s="94">
        <v>2023</v>
      </c>
      <c r="B78" s="168">
        <f>IF(Bxl_Inflow!C78=0,#N/A,Bxl_Inflow!C78)</f>
        <v>1658.5675000000001</v>
      </c>
      <c r="C78" s="163" t="e">
        <v>#N/A</v>
      </c>
      <c r="D78" s="168">
        <f>IF(Bxl_Inflow!D78=0,#N/A,Bxl_Inflow!D78)</f>
        <v>323.71350000000001</v>
      </c>
      <c r="E78" s="163" t="e">
        <v>#N/A</v>
      </c>
      <c r="F78" s="168">
        <f>IF(Bxl_Inflow!E78=0,#N/A,Bxl_Inflow!E78)</f>
        <v>1334.854</v>
      </c>
      <c r="G78" s="163" t="e">
        <v>#N/A</v>
      </c>
      <c r="H78" s="168">
        <f>IF(Bxl_Inflow!F78=0,#N/A,Bxl_Inflow!F78)</f>
        <v>165.16513333333336</v>
      </c>
      <c r="I78" s="163" t="e">
        <v>#N/A</v>
      </c>
      <c r="J78" s="168">
        <f>IF(Bxl_Inflow!G78=0,#N/A,Bxl_Inflow!G78)</f>
        <v>84.85626666666667</v>
      </c>
      <c r="K78" s="163" t="e">
        <v>#N/A</v>
      </c>
      <c r="L78" s="167">
        <f>IF(Bxl_Outflow!C78=0,#N/A,Bxl_Outflow!C78)</f>
        <v>418.5675</v>
      </c>
      <c r="M78" s="172" t="e">
        <v>#N/A</v>
      </c>
      <c r="N78" s="167">
        <f>IF(Bxl_Outflow!D78=0,#N/A,Bxl_Outflow!D78)</f>
        <v>83.71350000000001</v>
      </c>
      <c r="O78" s="172" t="e">
        <v>#N/A</v>
      </c>
      <c r="P78" s="167">
        <f>IF(Bxl_Outflow!E78=0,#N/A,Bxl_Outflow!E78)</f>
        <v>334.85399999999998</v>
      </c>
      <c r="Q78" s="172" t="e">
        <v>#N/A</v>
      </c>
      <c r="R78" s="167">
        <f>IF(Bxl_Outflow!F78=0,#N/A,Bxl_Outflow!F78)</f>
        <v>31.831800000000001</v>
      </c>
      <c r="S78" s="172" t="e">
        <v>#N/A</v>
      </c>
      <c r="T78" s="167">
        <f>IF(Bxl_Outflow!G78=0,#N/A,Bxl_Outflow!G78)</f>
        <v>18.189599999999999</v>
      </c>
      <c r="U78" s="172" t="e">
        <v>#N/A</v>
      </c>
      <c r="W78" s="204"/>
      <c r="X78" s="204"/>
      <c r="Y78" s="204"/>
      <c r="Z78" s="204"/>
      <c r="AA78" s="204"/>
      <c r="AB78" s="204"/>
      <c r="AC78" s="204"/>
      <c r="AD78" s="204"/>
      <c r="AF78" s="204"/>
      <c r="AG78" s="204"/>
      <c r="AH78" s="204"/>
      <c r="AI78" s="204"/>
      <c r="AJ78" s="204"/>
      <c r="AK78" s="204"/>
    </row>
    <row r="79" spans="1:37" x14ac:dyDescent="0.25">
      <c r="A79" s="94">
        <v>2024</v>
      </c>
      <c r="B79" s="168" t="e">
        <f>IF(Bxl_Inflow!C79=0,#N/A,Bxl_Inflow!C79)</f>
        <v>#N/A</v>
      </c>
      <c r="C79" s="163" t="e">
        <v>#N/A</v>
      </c>
      <c r="D79" s="168" t="e">
        <f>IF(Bxl_Inflow!D79=0,#N/A,Bxl_Inflow!D79)</f>
        <v>#N/A</v>
      </c>
      <c r="E79" s="163" t="e">
        <v>#N/A</v>
      </c>
      <c r="F79" s="168" t="e">
        <f>IF(Bxl_Inflow!E79=0,#N/A,Bxl_Inflow!E79)</f>
        <v>#N/A</v>
      </c>
      <c r="G79" s="163" t="e">
        <v>#N/A</v>
      </c>
      <c r="H79" s="168" t="e">
        <f>IF(Bxl_Inflow!F79=0,#N/A,Bxl_Inflow!F79)</f>
        <v>#N/A</v>
      </c>
      <c r="I79" s="163" t="e">
        <v>#N/A</v>
      </c>
      <c r="J79" s="168" t="e">
        <f>IF(Bxl_Inflow!G79=0,#N/A,Bxl_Inflow!G79)</f>
        <v>#N/A</v>
      </c>
      <c r="K79" s="163" t="e">
        <v>#N/A</v>
      </c>
      <c r="L79" s="167" t="e">
        <f>IF(Bxl_Outflow!C79=0,#N/A,Bxl_Outflow!C79)</f>
        <v>#N/A</v>
      </c>
      <c r="M79" s="172" t="e">
        <v>#N/A</v>
      </c>
      <c r="N79" s="167" t="e">
        <f>IF(Bxl_Outflow!D79=0,#N/A,Bxl_Outflow!D79)</f>
        <v>#N/A</v>
      </c>
      <c r="O79" s="172" t="e">
        <v>#N/A</v>
      </c>
      <c r="P79" s="167" t="e">
        <f>IF(Bxl_Outflow!E79=0,#N/A,Bxl_Outflow!E79)</f>
        <v>#N/A</v>
      </c>
      <c r="Q79" s="172" t="e">
        <v>#N/A</v>
      </c>
      <c r="R79" s="167" t="e">
        <f>IF(Bxl_Outflow!F79=0,#N/A,Bxl_Outflow!F79)</f>
        <v>#N/A</v>
      </c>
      <c r="S79" s="172" t="e">
        <v>#N/A</v>
      </c>
      <c r="T79" s="167" t="e">
        <f>IF(Bxl_Outflow!G79=0,#N/A,Bxl_Outflow!G79)</f>
        <v>#N/A</v>
      </c>
      <c r="U79" s="172" t="e">
        <v>#N/A</v>
      </c>
      <c r="W79" s="204"/>
      <c r="X79" s="204"/>
      <c r="Y79" s="204"/>
      <c r="Z79" s="204"/>
      <c r="AA79" s="204"/>
      <c r="AB79" s="204"/>
      <c r="AC79" s="204"/>
      <c r="AD79" s="204"/>
      <c r="AF79" s="204"/>
      <c r="AG79" s="204"/>
      <c r="AH79" s="204"/>
      <c r="AI79" s="204"/>
      <c r="AJ79" s="204"/>
      <c r="AK79" s="204"/>
    </row>
    <row r="80" spans="1:37" x14ac:dyDescent="0.25">
      <c r="A80" s="94">
        <v>2025</v>
      </c>
      <c r="B80" s="168">
        <f>IF(Bxl_Inflow!C80=0,#N/A,Bxl_Inflow!C80)</f>
        <v>654.31406249999998</v>
      </c>
      <c r="C80" s="163" t="e">
        <v>#N/A</v>
      </c>
      <c r="D80" s="168" t="e">
        <f>IF(Bxl_Inflow!D80=0,#N/A,Bxl_Inflow!D80)</f>
        <v>#N/A</v>
      </c>
      <c r="E80" s="163" t="e">
        <v>#N/A</v>
      </c>
      <c r="F80" s="168">
        <f>IF(Bxl_Inflow!E80=0,#N/A,Bxl_Inflow!E80)</f>
        <v>654.31406249999998</v>
      </c>
      <c r="G80" s="163" t="e">
        <v>#N/A</v>
      </c>
      <c r="H80" s="168">
        <f>IF(Bxl_Inflow!F80=0,#N/A,Bxl_Inflow!F80)</f>
        <v>32.5914</v>
      </c>
      <c r="I80" s="163" t="e">
        <v>#N/A</v>
      </c>
      <c r="J80" s="168">
        <f>IF(Bxl_Inflow!G80=0,#N/A,Bxl_Inflow!G80)</f>
        <v>32.5914</v>
      </c>
      <c r="K80" s="163" t="e">
        <v>#N/A</v>
      </c>
      <c r="L80" s="167">
        <f>IF(Bxl_Outflow!C80=0,#N/A,Bxl_Outflow!C80)</f>
        <v>413.23499999999996</v>
      </c>
      <c r="M80" s="172" t="e">
        <v>#N/A</v>
      </c>
      <c r="N80" s="167" t="e">
        <f>IF(Bxl_Outflow!D80=0,#N/A,Bxl_Outflow!D80)</f>
        <v>#N/A</v>
      </c>
      <c r="O80" s="172" t="e">
        <v>#N/A</v>
      </c>
      <c r="P80" s="167">
        <f>IF(Bxl_Outflow!E80=0,#N/A,Bxl_Outflow!E80)</f>
        <v>413.23499999999996</v>
      </c>
      <c r="Q80" s="172" t="e">
        <v>#N/A</v>
      </c>
      <c r="R80" s="167">
        <f>IF(Bxl_Outflow!F80=0,#N/A,Bxl_Outflow!F80)</f>
        <v>20.187200000000001</v>
      </c>
      <c r="S80" s="172" t="e">
        <v>#N/A</v>
      </c>
      <c r="T80" s="167">
        <f>IF(Bxl_Outflow!G80=0,#N/A,Bxl_Outflow!G80)</f>
        <v>20.187200000000001</v>
      </c>
      <c r="U80" s="172" t="e">
        <v>#N/A</v>
      </c>
      <c r="W80" s="222">
        <f>AVERAGE(Bxl_Inflow!B80:B89)</f>
        <v>2582.2712500000002</v>
      </c>
      <c r="X80" s="222">
        <f>AVERAGE(Bxl_Inflow!C80:C89)</f>
        <v>110.56100624999999</v>
      </c>
      <c r="Y80" s="223">
        <f>AVERAGE(Bxl_Outflow!B80:B89)</f>
        <v>4093.0800000000004</v>
      </c>
      <c r="Z80" s="223">
        <f>AVERAGE(Bxl_Outflow!C80:C89)</f>
        <v>86.453099999999992</v>
      </c>
      <c r="AA80" s="222">
        <f>AVERAGE(Bxl_Inflow!F80:F89)</f>
        <v>5.8917000000000002</v>
      </c>
      <c r="AB80" s="223">
        <f>AVERAGE(Bxl_Outflow!F80:F89)</f>
        <v>4.6512799999999999</v>
      </c>
      <c r="AC80" s="222">
        <f>AVERAGE(Bxl_Inflow!G80:G89)</f>
        <v>5.8917000000000002</v>
      </c>
      <c r="AD80" s="223">
        <f>AVERAGE(Bxl_Outflow!G80:G89)</f>
        <v>4.6512799999999999</v>
      </c>
      <c r="AF80" s="208">
        <f>AVERAGE(Bxl_Outflow!W81:W90)</f>
        <v>-2.707776</v>
      </c>
      <c r="AG80" s="208">
        <f>AVERAGE(Bxl_Outflow!X81:X90)</f>
        <v>-6.7969582479822677</v>
      </c>
      <c r="AH80" s="208">
        <f>AVERAGE(Bxl_Outflow!Y81:Y90)</f>
        <v>-11.908436057960099</v>
      </c>
      <c r="AI80" s="208">
        <f>AVERAGE(Bxl_Outflow!Z81:Z90)</f>
        <v>-0.67694399999999999</v>
      </c>
      <c r="AJ80" s="208">
        <f>AVERAGE(Bxl_Outflow!AA81:AA90)</f>
        <v>-1.6992395619955669</v>
      </c>
      <c r="AK80" s="208">
        <f>AVERAGE(Bxl_Outflow!AB81:AB90)</f>
        <v>-2.9771090144900247</v>
      </c>
    </row>
    <row r="81" spans="1:37" x14ac:dyDescent="0.25">
      <c r="A81" s="94">
        <v>2026</v>
      </c>
      <c r="B81" s="163" t="e">
        <v>#N/A</v>
      </c>
      <c r="C81" s="168" t="e">
        <f>IF(Bxl_Inflow!C81=0,#N/A,Bxl_Inflow!C81)</f>
        <v>#N/A</v>
      </c>
      <c r="D81" s="163" t="e">
        <v>#N/A</v>
      </c>
      <c r="E81" s="168" t="e">
        <f>IF(Bxl_Inflow!D81=0,#N/A,Bxl_Inflow!D81)</f>
        <v>#N/A</v>
      </c>
      <c r="F81" s="163" t="e">
        <v>#N/A</v>
      </c>
      <c r="G81" s="168" t="e">
        <f>IF(Bxl_Inflow!E81=0,#N/A,Bxl_Inflow!E81)</f>
        <v>#N/A</v>
      </c>
      <c r="H81" s="163" t="e">
        <v>#N/A</v>
      </c>
      <c r="I81" s="168" t="e">
        <f>IF(Bxl_Inflow!F81=0,#N/A,Bxl_Inflow!F81)</f>
        <v>#N/A</v>
      </c>
      <c r="J81" s="163" t="e">
        <v>#N/A</v>
      </c>
      <c r="K81" s="168" t="e">
        <f>IF(Bxl_Inflow!G81=0,#N/A,Bxl_Inflow!G81)</f>
        <v>#N/A</v>
      </c>
      <c r="L81" s="172" t="e">
        <v>#N/A</v>
      </c>
      <c r="M81" s="167" t="e">
        <f>IF(Bxl_Outflow!C81=0,#N/A,Bxl_Outflow!C81)</f>
        <v>#N/A</v>
      </c>
      <c r="N81" s="172" t="e">
        <v>#N/A</v>
      </c>
      <c r="O81" s="167" t="e">
        <f>IF(Bxl_Outflow!D81=0,#N/A,Bxl_Outflow!D81)</f>
        <v>#N/A</v>
      </c>
      <c r="P81" s="172" t="e">
        <v>#N/A</v>
      </c>
      <c r="Q81" s="167" t="e">
        <f>IF(Bxl_Outflow!E81=0,#N/A,Bxl_Outflow!E81)</f>
        <v>#N/A</v>
      </c>
      <c r="R81" s="172" t="e">
        <v>#N/A</v>
      </c>
      <c r="S81" s="167" t="e">
        <f>IF(Bxl_Outflow!F81=0,#N/A,Bxl_Outflow!F81)</f>
        <v>#N/A</v>
      </c>
      <c r="T81" s="172" t="e">
        <v>#N/A</v>
      </c>
      <c r="U81" s="167" t="e">
        <f>IF(Bxl_Outflow!G81=0,#N/A,Bxl_Outflow!G81)</f>
        <v>#N/A</v>
      </c>
      <c r="W81" s="224"/>
      <c r="X81" s="224"/>
      <c r="Y81" s="224"/>
      <c r="Z81" s="224"/>
      <c r="AA81" s="224"/>
      <c r="AB81" s="224"/>
      <c r="AC81" s="224"/>
      <c r="AD81" s="224"/>
      <c r="AF81" s="204"/>
      <c r="AG81" s="204"/>
      <c r="AH81" s="204"/>
      <c r="AI81" s="204"/>
      <c r="AJ81" s="204"/>
      <c r="AK81" s="204"/>
    </row>
    <row r="82" spans="1:37" x14ac:dyDescent="0.25">
      <c r="A82" s="94">
        <v>2027</v>
      </c>
      <c r="B82" s="163" t="e">
        <v>#N/A</v>
      </c>
      <c r="C82" s="168" t="e">
        <f>IF(Bxl_Inflow!C82=0,#N/A,Bxl_Inflow!C82)</f>
        <v>#N/A</v>
      </c>
      <c r="D82" s="163" t="e">
        <v>#N/A</v>
      </c>
      <c r="E82" s="168" t="e">
        <f>IF(Bxl_Inflow!D82=0,#N/A,Bxl_Inflow!D82)</f>
        <v>#N/A</v>
      </c>
      <c r="F82" s="163" t="e">
        <v>#N/A</v>
      </c>
      <c r="G82" s="168" t="e">
        <f>IF(Bxl_Inflow!E82=0,#N/A,Bxl_Inflow!E82)</f>
        <v>#N/A</v>
      </c>
      <c r="H82" s="163" t="e">
        <v>#N/A</v>
      </c>
      <c r="I82" s="168" t="e">
        <f>IF(Bxl_Inflow!F82=0,#N/A,Bxl_Inflow!F82)</f>
        <v>#N/A</v>
      </c>
      <c r="J82" s="163" t="e">
        <v>#N/A</v>
      </c>
      <c r="K82" s="168" t="e">
        <f>IF(Bxl_Inflow!G82=0,#N/A,Bxl_Inflow!G82)</f>
        <v>#N/A</v>
      </c>
      <c r="L82" s="172" t="e">
        <v>#N/A</v>
      </c>
      <c r="M82" s="167" t="e">
        <f>IF(Bxl_Outflow!C82=0,#N/A,Bxl_Outflow!C82)</f>
        <v>#N/A</v>
      </c>
      <c r="N82" s="172" t="e">
        <v>#N/A</v>
      </c>
      <c r="O82" s="167" t="e">
        <f>IF(Bxl_Outflow!D82=0,#N/A,Bxl_Outflow!D82)</f>
        <v>#N/A</v>
      </c>
      <c r="P82" s="172" t="e">
        <v>#N/A</v>
      </c>
      <c r="Q82" s="167" t="e">
        <f>IF(Bxl_Outflow!E82=0,#N/A,Bxl_Outflow!E82)</f>
        <v>#N/A</v>
      </c>
      <c r="R82" s="172" t="e">
        <v>#N/A</v>
      </c>
      <c r="S82" s="167" t="e">
        <f>IF(Bxl_Outflow!F82=0,#N/A,Bxl_Outflow!F82)</f>
        <v>#N/A</v>
      </c>
      <c r="T82" s="172" t="e">
        <v>#N/A</v>
      </c>
      <c r="U82" s="167" t="e">
        <f>IF(Bxl_Outflow!G82=0,#N/A,Bxl_Outflow!G82)</f>
        <v>#N/A</v>
      </c>
      <c r="W82" s="224"/>
      <c r="X82" s="224"/>
      <c r="Y82" s="224"/>
      <c r="Z82" s="224"/>
      <c r="AA82" s="224"/>
      <c r="AB82" s="224"/>
      <c r="AC82" s="224"/>
      <c r="AD82" s="224"/>
      <c r="AF82" s="204"/>
      <c r="AG82" s="204"/>
      <c r="AH82" s="204"/>
      <c r="AI82" s="204"/>
      <c r="AJ82" s="204"/>
      <c r="AK82" s="204"/>
    </row>
    <row r="83" spans="1:37" x14ac:dyDescent="0.25">
      <c r="A83" s="94">
        <v>2028</v>
      </c>
      <c r="B83" s="163" t="e">
        <v>#N/A</v>
      </c>
      <c r="C83" s="168" t="e">
        <f>IF(Bxl_Inflow!C83=0,#N/A,Bxl_Inflow!C83)</f>
        <v>#N/A</v>
      </c>
      <c r="D83" s="163" t="e">
        <v>#N/A</v>
      </c>
      <c r="E83" s="168" t="e">
        <f>IF(Bxl_Inflow!D83=0,#N/A,Bxl_Inflow!D83)</f>
        <v>#N/A</v>
      </c>
      <c r="F83" s="163" t="e">
        <v>#N/A</v>
      </c>
      <c r="G83" s="168" t="e">
        <f>IF(Bxl_Inflow!E83=0,#N/A,Bxl_Inflow!E83)</f>
        <v>#N/A</v>
      </c>
      <c r="H83" s="163" t="e">
        <v>#N/A</v>
      </c>
      <c r="I83" s="168" t="e">
        <f>IF(Bxl_Inflow!F83=0,#N/A,Bxl_Inflow!F83)</f>
        <v>#N/A</v>
      </c>
      <c r="J83" s="163" t="e">
        <v>#N/A</v>
      </c>
      <c r="K83" s="168" t="e">
        <f>IF(Bxl_Inflow!G83=0,#N/A,Bxl_Inflow!G83)</f>
        <v>#N/A</v>
      </c>
      <c r="L83" s="172" t="e">
        <v>#N/A</v>
      </c>
      <c r="M83" s="167" t="e">
        <f>IF(Bxl_Outflow!C83=0,#N/A,Bxl_Outflow!C83)</f>
        <v>#N/A</v>
      </c>
      <c r="N83" s="172" t="e">
        <v>#N/A</v>
      </c>
      <c r="O83" s="167" t="e">
        <f>IF(Bxl_Outflow!D83=0,#N/A,Bxl_Outflow!D83)</f>
        <v>#N/A</v>
      </c>
      <c r="P83" s="172" t="e">
        <v>#N/A</v>
      </c>
      <c r="Q83" s="167" t="e">
        <f>IF(Bxl_Outflow!E83=0,#N/A,Bxl_Outflow!E83)</f>
        <v>#N/A</v>
      </c>
      <c r="R83" s="172" t="e">
        <v>#N/A</v>
      </c>
      <c r="S83" s="167" t="e">
        <f>IF(Bxl_Outflow!F83=0,#N/A,Bxl_Outflow!F83)</f>
        <v>#N/A</v>
      </c>
      <c r="T83" s="172" t="e">
        <v>#N/A</v>
      </c>
      <c r="U83" s="167" t="e">
        <f>IF(Bxl_Outflow!G83=0,#N/A,Bxl_Outflow!G83)</f>
        <v>#N/A</v>
      </c>
      <c r="W83" s="224"/>
      <c r="X83" s="224"/>
      <c r="Y83" s="224"/>
      <c r="Z83" s="224"/>
      <c r="AA83" s="224"/>
      <c r="AB83" s="224"/>
      <c r="AC83" s="224"/>
      <c r="AD83" s="224"/>
      <c r="AF83" s="204"/>
      <c r="AG83" s="204"/>
      <c r="AH83" s="204"/>
      <c r="AI83" s="204"/>
      <c r="AJ83" s="204"/>
      <c r="AK83" s="204"/>
    </row>
    <row r="84" spans="1:37" x14ac:dyDescent="0.25">
      <c r="A84" s="94">
        <v>2029</v>
      </c>
      <c r="B84" s="163" t="e">
        <v>#N/A</v>
      </c>
      <c r="C84" s="168" t="e">
        <f>IF(Bxl_Inflow!C84=0,#N/A,Bxl_Inflow!C84)</f>
        <v>#N/A</v>
      </c>
      <c r="D84" s="163" t="e">
        <v>#N/A</v>
      </c>
      <c r="E84" s="168" t="e">
        <f>IF(Bxl_Inflow!D84=0,#N/A,Bxl_Inflow!D84)</f>
        <v>#N/A</v>
      </c>
      <c r="F84" s="163" t="e">
        <v>#N/A</v>
      </c>
      <c r="G84" s="168" t="e">
        <f>IF(Bxl_Inflow!E84=0,#N/A,Bxl_Inflow!E84)</f>
        <v>#N/A</v>
      </c>
      <c r="H84" s="163" t="e">
        <v>#N/A</v>
      </c>
      <c r="I84" s="168" t="e">
        <f>IF(Bxl_Inflow!F84=0,#N/A,Bxl_Inflow!F84)</f>
        <v>#N/A</v>
      </c>
      <c r="J84" s="163" t="e">
        <v>#N/A</v>
      </c>
      <c r="K84" s="168" t="e">
        <f>IF(Bxl_Inflow!G84=0,#N/A,Bxl_Inflow!G84)</f>
        <v>#N/A</v>
      </c>
      <c r="L84" s="172" t="e">
        <v>#N/A</v>
      </c>
      <c r="M84" s="167" t="e">
        <f>IF(Bxl_Outflow!C84=0,#N/A,Bxl_Outflow!C84)</f>
        <v>#N/A</v>
      </c>
      <c r="N84" s="172" t="e">
        <v>#N/A</v>
      </c>
      <c r="O84" s="167" t="e">
        <f>IF(Bxl_Outflow!D84=0,#N/A,Bxl_Outflow!D84)</f>
        <v>#N/A</v>
      </c>
      <c r="P84" s="172" t="e">
        <v>#N/A</v>
      </c>
      <c r="Q84" s="167" t="e">
        <f>IF(Bxl_Outflow!E84=0,#N/A,Bxl_Outflow!E84)</f>
        <v>#N/A</v>
      </c>
      <c r="R84" s="172" t="e">
        <v>#N/A</v>
      </c>
      <c r="S84" s="167" t="e">
        <f>IF(Bxl_Outflow!F84=0,#N/A,Bxl_Outflow!F84)</f>
        <v>#N/A</v>
      </c>
      <c r="T84" s="172" t="e">
        <v>#N/A</v>
      </c>
      <c r="U84" s="167" t="e">
        <f>IF(Bxl_Outflow!G84=0,#N/A,Bxl_Outflow!G84)</f>
        <v>#N/A</v>
      </c>
      <c r="W84" s="224"/>
      <c r="X84" s="224"/>
      <c r="Y84" s="224"/>
      <c r="Z84" s="224"/>
      <c r="AA84" s="224"/>
      <c r="AB84" s="224"/>
      <c r="AC84" s="224"/>
      <c r="AD84" s="224"/>
      <c r="AF84" s="204"/>
      <c r="AG84" s="204"/>
      <c r="AH84" s="204"/>
      <c r="AI84" s="204"/>
      <c r="AJ84" s="204"/>
      <c r="AK84" s="204"/>
    </row>
    <row r="85" spans="1:37" x14ac:dyDescent="0.25">
      <c r="A85" s="94">
        <v>2030</v>
      </c>
      <c r="B85" s="163" t="e">
        <v>#N/A</v>
      </c>
      <c r="C85" s="168" t="e">
        <f>IF(Bxl_Inflow!C85=0,#N/A,Bxl_Inflow!C85)</f>
        <v>#N/A</v>
      </c>
      <c r="D85" s="163" t="e">
        <v>#N/A</v>
      </c>
      <c r="E85" s="168" t="e">
        <f>IF(Bxl_Inflow!D85=0,#N/A,Bxl_Inflow!D85)</f>
        <v>#N/A</v>
      </c>
      <c r="F85" s="163" t="e">
        <v>#N/A</v>
      </c>
      <c r="G85" s="168" t="e">
        <f>IF(Bxl_Inflow!E85=0,#N/A,Bxl_Inflow!E85)</f>
        <v>#N/A</v>
      </c>
      <c r="H85" s="163" t="e">
        <v>#N/A</v>
      </c>
      <c r="I85" s="168" t="e">
        <f>IF(Bxl_Inflow!F85=0,#N/A,Bxl_Inflow!F85)</f>
        <v>#N/A</v>
      </c>
      <c r="J85" s="163" t="e">
        <v>#N/A</v>
      </c>
      <c r="K85" s="168" t="e">
        <f>IF(Bxl_Inflow!G85=0,#N/A,Bxl_Inflow!G85)</f>
        <v>#N/A</v>
      </c>
      <c r="L85" s="172" t="e">
        <v>#N/A</v>
      </c>
      <c r="M85" s="167" t="e">
        <f>IF(Bxl_Outflow!C85=0,#N/A,Bxl_Outflow!C85)</f>
        <v>#N/A</v>
      </c>
      <c r="N85" s="172" t="e">
        <v>#N/A</v>
      </c>
      <c r="O85" s="167" t="e">
        <f>IF(Bxl_Outflow!D85=0,#N/A,Bxl_Outflow!D85)</f>
        <v>#N/A</v>
      </c>
      <c r="P85" s="172" t="e">
        <v>#N/A</v>
      </c>
      <c r="Q85" s="167" t="e">
        <f>IF(Bxl_Outflow!E85=0,#N/A,Bxl_Outflow!E85)</f>
        <v>#N/A</v>
      </c>
      <c r="R85" s="172" t="e">
        <v>#N/A</v>
      </c>
      <c r="S85" s="167" t="e">
        <f>IF(Bxl_Outflow!F85=0,#N/A,Bxl_Outflow!F85)</f>
        <v>#N/A</v>
      </c>
      <c r="T85" s="172" t="e">
        <v>#N/A</v>
      </c>
      <c r="U85" s="167" t="e">
        <f>IF(Bxl_Outflow!G85=0,#N/A,Bxl_Outflow!G85)</f>
        <v>#N/A</v>
      </c>
      <c r="W85" s="224"/>
      <c r="X85" s="224"/>
      <c r="Y85" s="224"/>
      <c r="Z85" s="224"/>
      <c r="AA85" s="224"/>
      <c r="AB85" s="224"/>
      <c r="AC85" s="224"/>
      <c r="AD85" s="224"/>
      <c r="AF85" s="204"/>
      <c r="AG85" s="204"/>
      <c r="AH85" s="204"/>
      <c r="AI85" s="204"/>
      <c r="AJ85" s="204"/>
      <c r="AK85" s="204"/>
    </row>
    <row r="86" spans="1:37" x14ac:dyDescent="0.25">
      <c r="A86" s="94">
        <v>2031</v>
      </c>
      <c r="B86" s="163" t="e">
        <v>#N/A</v>
      </c>
      <c r="C86" s="168" t="e">
        <f>IF(Bxl_Inflow!C86=0,#N/A,Bxl_Inflow!C86)</f>
        <v>#N/A</v>
      </c>
      <c r="D86" s="163" t="e">
        <v>#N/A</v>
      </c>
      <c r="E86" s="168" t="e">
        <f>IF(Bxl_Inflow!D86=0,#N/A,Bxl_Inflow!D86)</f>
        <v>#N/A</v>
      </c>
      <c r="F86" s="163" t="e">
        <v>#N/A</v>
      </c>
      <c r="G86" s="168" t="e">
        <f>IF(Bxl_Inflow!E86=0,#N/A,Bxl_Inflow!E86)</f>
        <v>#N/A</v>
      </c>
      <c r="H86" s="163" t="e">
        <v>#N/A</v>
      </c>
      <c r="I86" s="168" t="e">
        <f>IF(Bxl_Inflow!F86=0,#N/A,Bxl_Inflow!F86)</f>
        <v>#N/A</v>
      </c>
      <c r="J86" s="163" t="e">
        <v>#N/A</v>
      </c>
      <c r="K86" s="168" t="e">
        <f>IF(Bxl_Inflow!G86=0,#N/A,Bxl_Inflow!G86)</f>
        <v>#N/A</v>
      </c>
      <c r="L86" s="172" t="e">
        <v>#N/A</v>
      </c>
      <c r="M86" s="167" t="e">
        <f>IF(Bxl_Outflow!C86=0,#N/A,Bxl_Outflow!C86)</f>
        <v>#N/A</v>
      </c>
      <c r="N86" s="172" t="e">
        <v>#N/A</v>
      </c>
      <c r="O86" s="167" t="e">
        <f>IF(Bxl_Outflow!D86=0,#N/A,Bxl_Outflow!D86)</f>
        <v>#N/A</v>
      </c>
      <c r="P86" s="172" t="e">
        <v>#N/A</v>
      </c>
      <c r="Q86" s="167" t="e">
        <f>IF(Bxl_Outflow!E86=0,#N/A,Bxl_Outflow!E86)</f>
        <v>#N/A</v>
      </c>
      <c r="R86" s="172" t="e">
        <v>#N/A</v>
      </c>
      <c r="S86" s="167" t="e">
        <f>IF(Bxl_Outflow!F86=0,#N/A,Bxl_Outflow!F86)</f>
        <v>#N/A</v>
      </c>
      <c r="T86" s="172" t="e">
        <v>#N/A</v>
      </c>
      <c r="U86" s="167" t="e">
        <f>IF(Bxl_Outflow!G86=0,#N/A,Bxl_Outflow!G86)</f>
        <v>#N/A</v>
      </c>
      <c r="W86" s="224"/>
      <c r="X86" s="224"/>
      <c r="Y86" s="224"/>
      <c r="Z86" s="224"/>
      <c r="AA86" s="224"/>
      <c r="AB86" s="224"/>
      <c r="AC86" s="224"/>
      <c r="AD86" s="224"/>
      <c r="AF86" s="204"/>
      <c r="AG86" s="204"/>
      <c r="AH86" s="204"/>
      <c r="AI86" s="204"/>
      <c r="AJ86" s="204"/>
      <c r="AK86" s="204"/>
    </row>
    <row r="87" spans="1:37" x14ac:dyDescent="0.25">
      <c r="A87" s="94">
        <v>2032</v>
      </c>
      <c r="B87" s="163" t="e">
        <v>#N/A</v>
      </c>
      <c r="C87" s="168" t="e">
        <f>IF(Bxl_Inflow!C87=0,#N/A,Bxl_Inflow!C87)</f>
        <v>#N/A</v>
      </c>
      <c r="D87" s="163" t="e">
        <v>#N/A</v>
      </c>
      <c r="E87" s="168" t="e">
        <f>IF(Bxl_Inflow!D87=0,#N/A,Bxl_Inflow!D87)</f>
        <v>#N/A</v>
      </c>
      <c r="F87" s="163" t="e">
        <v>#N/A</v>
      </c>
      <c r="G87" s="168" t="e">
        <f>IF(Bxl_Inflow!E87=0,#N/A,Bxl_Inflow!E87)</f>
        <v>#N/A</v>
      </c>
      <c r="H87" s="163" t="e">
        <v>#N/A</v>
      </c>
      <c r="I87" s="168" t="e">
        <f>IF(Bxl_Inflow!F87=0,#N/A,Bxl_Inflow!F87)</f>
        <v>#N/A</v>
      </c>
      <c r="J87" s="163" t="e">
        <v>#N/A</v>
      </c>
      <c r="K87" s="168" t="e">
        <f>IF(Bxl_Inflow!G87=0,#N/A,Bxl_Inflow!G87)</f>
        <v>#N/A</v>
      </c>
      <c r="L87" s="172" t="e">
        <v>#N/A</v>
      </c>
      <c r="M87" s="167" t="e">
        <f>IF(Bxl_Outflow!C87=0,#N/A,Bxl_Outflow!C87)</f>
        <v>#N/A</v>
      </c>
      <c r="N87" s="172" t="e">
        <v>#N/A</v>
      </c>
      <c r="O87" s="167" t="e">
        <f>IF(Bxl_Outflow!D87=0,#N/A,Bxl_Outflow!D87)</f>
        <v>#N/A</v>
      </c>
      <c r="P87" s="172" t="e">
        <v>#N/A</v>
      </c>
      <c r="Q87" s="167" t="e">
        <f>IF(Bxl_Outflow!E87=0,#N/A,Bxl_Outflow!E87)</f>
        <v>#N/A</v>
      </c>
      <c r="R87" s="172" t="e">
        <v>#N/A</v>
      </c>
      <c r="S87" s="167" t="e">
        <f>IF(Bxl_Outflow!F87=0,#N/A,Bxl_Outflow!F87)</f>
        <v>#N/A</v>
      </c>
      <c r="T87" s="172" t="e">
        <v>#N/A</v>
      </c>
      <c r="U87" s="167" t="e">
        <f>IF(Bxl_Outflow!G87=0,#N/A,Bxl_Outflow!G87)</f>
        <v>#N/A</v>
      </c>
      <c r="W87" s="224"/>
      <c r="X87" s="224"/>
      <c r="Y87" s="224"/>
      <c r="Z87" s="224"/>
      <c r="AA87" s="224"/>
      <c r="AB87" s="224"/>
      <c r="AC87" s="224"/>
      <c r="AD87" s="224"/>
      <c r="AF87" s="204"/>
      <c r="AG87" s="204"/>
      <c r="AH87" s="204"/>
      <c r="AI87" s="204"/>
      <c r="AJ87" s="204"/>
      <c r="AK87" s="204"/>
    </row>
    <row r="88" spans="1:37" x14ac:dyDescent="0.25">
      <c r="A88" s="94">
        <v>2033</v>
      </c>
      <c r="B88" s="163" t="e">
        <v>#N/A</v>
      </c>
      <c r="C88" s="168" t="e">
        <f>IF(Bxl_Inflow!C88=0,#N/A,Bxl_Inflow!C88)</f>
        <v>#N/A</v>
      </c>
      <c r="D88" s="163" t="e">
        <v>#N/A</v>
      </c>
      <c r="E88" s="168" t="e">
        <f>IF(Bxl_Inflow!D88=0,#N/A,Bxl_Inflow!D88)</f>
        <v>#N/A</v>
      </c>
      <c r="F88" s="163" t="e">
        <v>#N/A</v>
      </c>
      <c r="G88" s="168" t="e">
        <f>IF(Bxl_Inflow!E88=0,#N/A,Bxl_Inflow!E88)</f>
        <v>#N/A</v>
      </c>
      <c r="H88" s="163" t="e">
        <v>#N/A</v>
      </c>
      <c r="I88" s="168" t="e">
        <f>IF(Bxl_Inflow!F88=0,#N/A,Bxl_Inflow!F88)</f>
        <v>#N/A</v>
      </c>
      <c r="J88" s="163" t="e">
        <v>#N/A</v>
      </c>
      <c r="K88" s="168" t="e">
        <f>IF(Bxl_Inflow!G88=0,#N/A,Bxl_Inflow!G88)</f>
        <v>#N/A</v>
      </c>
      <c r="L88" s="172" t="e">
        <v>#N/A</v>
      </c>
      <c r="M88" s="167" t="e">
        <f>IF(Bxl_Outflow!C88=0,#N/A,Bxl_Outflow!C88)</f>
        <v>#N/A</v>
      </c>
      <c r="N88" s="172" t="e">
        <v>#N/A</v>
      </c>
      <c r="O88" s="167" t="e">
        <f>IF(Bxl_Outflow!D88=0,#N/A,Bxl_Outflow!D88)</f>
        <v>#N/A</v>
      </c>
      <c r="P88" s="172" t="e">
        <v>#N/A</v>
      </c>
      <c r="Q88" s="167" t="e">
        <f>IF(Bxl_Outflow!E88=0,#N/A,Bxl_Outflow!E88)</f>
        <v>#N/A</v>
      </c>
      <c r="R88" s="172" t="e">
        <v>#N/A</v>
      </c>
      <c r="S88" s="167" t="e">
        <f>IF(Bxl_Outflow!F88=0,#N/A,Bxl_Outflow!F88)</f>
        <v>#N/A</v>
      </c>
      <c r="T88" s="172" t="e">
        <v>#N/A</v>
      </c>
      <c r="U88" s="167" t="e">
        <f>IF(Bxl_Outflow!G88=0,#N/A,Bxl_Outflow!G88)</f>
        <v>#N/A</v>
      </c>
      <c r="W88" s="224"/>
      <c r="X88" s="224"/>
      <c r="Y88" s="224"/>
      <c r="Z88" s="224"/>
      <c r="AA88" s="224"/>
      <c r="AB88" s="224"/>
      <c r="AC88" s="224"/>
      <c r="AD88" s="224"/>
      <c r="AF88" s="204"/>
      <c r="AG88" s="204"/>
      <c r="AH88" s="204"/>
      <c r="AI88" s="204"/>
      <c r="AJ88" s="204"/>
      <c r="AK88" s="204"/>
    </row>
    <row r="89" spans="1:37" x14ac:dyDescent="0.25">
      <c r="A89" s="94">
        <v>2034</v>
      </c>
      <c r="B89" s="163" t="e">
        <v>#N/A</v>
      </c>
      <c r="C89" s="168">
        <f>IF(Bxl_Inflow!C89=0,#N/A,Bxl_Inflow!C89)</f>
        <v>451.29599999999994</v>
      </c>
      <c r="D89" s="163" t="e">
        <v>#N/A</v>
      </c>
      <c r="E89" s="168" t="e">
        <f>IF(Bxl_Inflow!D89=0,#N/A,Bxl_Inflow!D89)</f>
        <v>#N/A</v>
      </c>
      <c r="F89" s="163" t="e">
        <v>#N/A</v>
      </c>
      <c r="G89" s="168">
        <f>IF(Bxl_Inflow!E89=0,#N/A,Bxl_Inflow!E89)</f>
        <v>451.29599999999994</v>
      </c>
      <c r="H89" s="163" t="e">
        <v>#N/A</v>
      </c>
      <c r="I89" s="168">
        <f>IF(Bxl_Inflow!F89=0,#N/A,Bxl_Inflow!F89)</f>
        <v>26.325600000000001</v>
      </c>
      <c r="J89" s="163" t="e">
        <v>#N/A</v>
      </c>
      <c r="K89" s="168">
        <f>IF(Bxl_Inflow!G89=0,#N/A,Bxl_Inflow!G89)</f>
        <v>26.325600000000001</v>
      </c>
      <c r="L89" s="172" t="e">
        <v>#N/A</v>
      </c>
      <c r="M89" s="167">
        <f>IF(Bxl_Outflow!C89=0,#N/A,Bxl_Outflow!C89)</f>
        <v>451.29599999999994</v>
      </c>
      <c r="N89" s="172" t="e">
        <v>#N/A</v>
      </c>
      <c r="O89" s="167" t="e">
        <f>IF(Bxl_Outflow!D89=0,#N/A,Bxl_Outflow!D89)</f>
        <v>#N/A</v>
      </c>
      <c r="P89" s="172" t="e">
        <v>#N/A</v>
      </c>
      <c r="Q89" s="167">
        <f>IF(Bxl_Outflow!E89=0,#N/A,Bxl_Outflow!E89)</f>
        <v>451.29599999999994</v>
      </c>
      <c r="R89" s="172" t="e">
        <v>#N/A</v>
      </c>
      <c r="S89" s="167">
        <f>IF(Bxl_Outflow!F89=0,#N/A,Bxl_Outflow!F89)</f>
        <v>26.325600000000001</v>
      </c>
      <c r="T89" s="172" t="e">
        <v>#N/A</v>
      </c>
      <c r="U89" s="167">
        <f>IF(Bxl_Outflow!G89=0,#N/A,Bxl_Outflow!G89)</f>
        <v>26.325600000000001</v>
      </c>
      <c r="W89" s="224"/>
      <c r="X89" s="224"/>
      <c r="Y89" s="224"/>
      <c r="Z89" s="224"/>
      <c r="AA89" s="224"/>
      <c r="AB89" s="224"/>
      <c r="AC89" s="224"/>
      <c r="AD89" s="224"/>
      <c r="AF89" s="204"/>
      <c r="AG89" s="204"/>
      <c r="AH89" s="204"/>
      <c r="AI89" s="204"/>
      <c r="AJ89" s="204"/>
      <c r="AK89" s="204"/>
    </row>
    <row r="90" spans="1:37" x14ac:dyDescent="0.25">
      <c r="A90" s="94">
        <v>2035</v>
      </c>
      <c r="B90" s="163" t="e">
        <v>#N/A</v>
      </c>
      <c r="C90" s="168" t="e">
        <f>IF(Bxl_Inflow!C90=0,#N/A,Bxl_Inflow!C90)</f>
        <v>#N/A</v>
      </c>
      <c r="D90" s="163" t="e">
        <v>#N/A</v>
      </c>
      <c r="E90" s="168" t="e">
        <f>IF(Bxl_Inflow!D90=0,#N/A,Bxl_Inflow!D90)</f>
        <v>#N/A</v>
      </c>
      <c r="F90" s="163" t="e">
        <v>#N/A</v>
      </c>
      <c r="G90" s="168" t="e">
        <f>IF(Bxl_Inflow!E90=0,#N/A,Bxl_Inflow!E90)</f>
        <v>#N/A</v>
      </c>
      <c r="H90" s="163" t="e">
        <v>#N/A</v>
      </c>
      <c r="I90" s="168" t="e">
        <f>IF(Bxl_Inflow!F90=0,#N/A,Bxl_Inflow!F90)</f>
        <v>#N/A</v>
      </c>
      <c r="J90" s="163" t="e">
        <v>#N/A</v>
      </c>
      <c r="K90" s="168" t="e">
        <f>IF(Bxl_Inflow!G90=0,#N/A,Bxl_Inflow!G90)</f>
        <v>#N/A</v>
      </c>
      <c r="L90" s="172" t="e">
        <v>#N/A</v>
      </c>
      <c r="M90" s="167" t="e">
        <f>IF(Bxl_Outflow!C90=0,#N/A,Bxl_Outflow!C90)</f>
        <v>#N/A</v>
      </c>
      <c r="N90" s="172" t="e">
        <v>#N/A</v>
      </c>
      <c r="O90" s="167" t="e">
        <f>IF(Bxl_Outflow!D90=0,#N/A,Bxl_Outflow!D90)</f>
        <v>#N/A</v>
      </c>
      <c r="P90" s="172" t="e">
        <v>#N/A</v>
      </c>
      <c r="Q90" s="167" t="e">
        <f>IF(Bxl_Outflow!E90=0,#N/A,Bxl_Outflow!E90)</f>
        <v>#N/A</v>
      </c>
      <c r="R90" s="172" t="e">
        <v>#N/A</v>
      </c>
      <c r="S90" s="167" t="e">
        <f>IF(Bxl_Outflow!F90=0,#N/A,Bxl_Outflow!F90)</f>
        <v>#N/A</v>
      </c>
      <c r="T90" s="172" t="e">
        <v>#N/A</v>
      </c>
      <c r="U90" s="167" t="e">
        <f>IF(Bxl_Outflow!G90=0,#N/A,Bxl_Outflow!G90)</f>
        <v>#N/A</v>
      </c>
      <c r="W90" s="222">
        <f>AVERAGE(Bxl_Inflow!B90:B99)</f>
        <v>10718.9136</v>
      </c>
      <c r="X90" s="222">
        <f>AVERAGE(Bxl_Inflow!C90:C99)</f>
        <v>416.05621200000007</v>
      </c>
      <c r="Y90" s="223">
        <f>AVERAGE(Bxl_Outflow!B90:B99)</f>
        <v>18917.107199999999</v>
      </c>
      <c r="Z90" s="223">
        <f>AVERAGE(Bxl_Outflow!C90:C99)</f>
        <v>396.69739200000004</v>
      </c>
      <c r="AA90" s="222">
        <f>AVERAGE(Bxl_Inflow!F90:F99)</f>
        <v>27.681735000000003</v>
      </c>
      <c r="AB90" s="223">
        <f>AVERAGE(Bxl_Outflow!F90:F99)</f>
        <v>26.376921600000003</v>
      </c>
      <c r="AC90" s="222">
        <f>AVERAGE(Bxl_Inflow!G90:G99)</f>
        <v>23.746629599999999</v>
      </c>
      <c r="AD90" s="223">
        <f>AVERAGE(Bxl_Outflow!G90:G99)</f>
        <v>22.804017600000002</v>
      </c>
      <c r="AF90" s="208">
        <f>AVERAGE(Bxl_Outflow!W91:W100)</f>
        <v>-23.801843519999998</v>
      </c>
      <c r="AG90" s="208">
        <f>AVERAGE(Bxl_Outflow!X91:X100)</f>
        <v>-97.708619145331582</v>
      </c>
      <c r="AH90" s="208">
        <f>AVERAGE(Bxl_Outflow!Y91:Y100)</f>
        <v>-190.09208867699604</v>
      </c>
      <c r="AI90" s="208">
        <f>AVERAGE(Bxl_Outflow!Z91:Z100)</f>
        <v>-5.9504608799999996</v>
      </c>
      <c r="AJ90" s="208">
        <f>AVERAGE(Bxl_Outflow!AA91:AA100)</f>
        <v>-24.427154786332895</v>
      </c>
      <c r="AK90" s="208">
        <f>AVERAGE(Bxl_Outflow!AB91:AB100)</f>
        <v>-47.52302216924901</v>
      </c>
    </row>
    <row r="91" spans="1:37" x14ac:dyDescent="0.25">
      <c r="A91" s="94">
        <v>2036</v>
      </c>
      <c r="B91" s="163" t="e">
        <v>#N/A</v>
      </c>
      <c r="C91" s="168">
        <f>IF(Bxl_Inflow!C91=0,#N/A,Bxl_Inflow!C91)</f>
        <v>1803.0211200000003</v>
      </c>
      <c r="D91" s="163" t="e">
        <v>#N/A</v>
      </c>
      <c r="E91" s="168" t="e">
        <f>IF(Bxl_Inflow!D91=0,#N/A,Bxl_Inflow!D91)</f>
        <v>#N/A</v>
      </c>
      <c r="F91" s="163" t="e">
        <v>#N/A</v>
      </c>
      <c r="G91" s="168">
        <f>IF(Bxl_Inflow!E91=0,#N/A,Bxl_Inflow!E91)</f>
        <v>1803.0211200000003</v>
      </c>
      <c r="H91" s="163" t="e">
        <v>#N/A</v>
      </c>
      <c r="I91" s="168">
        <f>IF(Bxl_Inflow!F91=0,#N/A,Bxl_Inflow!F91)</f>
        <v>106.845696</v>
      </c>
      <c r="J91" s="163" t="e">
        <v>#N/A</v>
      </c>
      <c r="K91" s="168">
        <f>IF(Bxl_Inflow!G91=0,#N/A,Bxl_Inflow!G91)</f>
        <v>106.845696</v>
      </c>
      <c r="L91" s="172" t="e">
        <v>#N/A</v>
      </c>
      <c r="M91" s="167">
        <f>IF(Bxl_Outflow!C91=0,#N/A,Bxl_Outflow!C91)</f>
        <v>1803.0211200000003</v>
      </c>
      <c r="N91" s="172" t="e">
        <v>#N/A</v>
      </c>
      <c r="O91" s="167" t="e">
        <f>IF(Bxl_Outflow!D91=0,#N/A,Bxl_Outflow!D91)</f>
        <v>#N/A</v>
      </c>
      <c r="P91" s="172" t="e">
        <v>#N/A</v>
      </c>
      <c r="Q91" s="167">
        <f>IF(Bxl_Outflow!E91=0,#N/A,Bxl_Outflow!E91)</f>
        <v>1803.0211200000003</v>
      </c>
      <c r="R91" s="172" t="e">
        <v>#N/A</v>
      </c>
      <c r="S91" s="167">
        <f>IF(Bxl_Outflow!F91=0,#N/A,Bxl_Outflow!F91)</f>
        <v>106.845696</v>
      </c>
      <c r="T91" s="172" t="e">
        <v>#N/A</v>
      </c>
      <c r="U91" s="167">
        <f>IF(Bxl_Outflow!G91=0,#N/A,Bxl_Outflow!G91)</f>
        <v>106.845696</v>
      </c>
      <c r="W91" s="224"/>
      <c r="X91" s="224"/>
      <c r="Y91" s="224"/>
      <c r="Z91" s="224"/>
      <c r="AA91" s="224"/>
      <c r="AB91" s="224"/>
      <c r="AC91" s="224"/>
      <c r="AD91" s="224"/>
      <c r="AF91" s="204"/>
      <c r="AG91" s="204"/>
      <c r="AH91" s="204"/>
      <c r="AI91" s="204"/>
      <c r="AJ91" s="204"/>
      <c r="AK91" s="204"/>
    </row>
    <row r="92" spans="1:37" x14ac:dyDescent="0.25">
      <c r="A92" s="94">
        <v>2037</v>
      </c>
      <c r="B92" s="163" t="e">
        <v>#N/A</v>
      </c>
      <c r="C92" s="168">
        <f>IF(Bxl_Inflow!C92=0,#N/A,Bxl_Inflow!C92)</f>
        <v>395.71199999999999</v>
      </c>
      <c r="D92" s="163" t="e">
        <v>#N/A</v>
      </c>
      <c r="E92" s="168" t="e">
        <f>IF(Bxl_Inflow!D92=0,#N/A,Bxl_Inflow!D92)</f>
        <v>#N/A</v>
      </c>
      <c r="F92" s="163" t="e">
        <v>#N/A</v>
      </c>
      <c r="G92" s="168">
        <f>IF(Bxl_Inflow!E92=0,#N/A,Bxl_Inflow!E92)</f>
        <v>395.71199999999999</v>
      </c>
      <c r="H92" s="163" t="e">
        <v>#N/A</v>
      </c>
      <c r="I92" s="168">
        <f>IF(Bxl_Inflow!F92=0,#N/A,Bxl_Inflow!F92)</f>
        <v>26.380799999999997</v>
      </c>
      <c r="J92" s="163" t="e">
        <v>#N/A</v>
      </c>
      <c r="K92" s="168">
        <f>IF(Bxl_Inflow!G92=0,#N/A,Bxl_Inflow!G92)</f>
        <v>26.380799999999997</v>
      </c>
      <c r="L92" s="172" t="e">
        <v>#N/A</v>
      </c>
      <c r="M92" s="167">
        <f>IF(Bxl_Outflow!C92=0,#N/A,Bxl_Outflow!C92)</f>
        <v>395.71199999999999</v>
      </c>
      <c r="N92" s="172" t="e">
        <v>#N/A</v>
      </c>
      <c r="O92" s="167" t="e">
        <f>IF(Bxl_Outflow!D92=0,#N/A,Bxl_Outflow!D92)</f>
        <v>#N/A</v>
      </c>
      <c r="P92" s="172" t="e">
        <v>#N/A</v>
      </c>
      <c r="Q92" s="167">
        <f>IF(Bxl_Outflow!E92=0,#N/A,Bxl_Outflow!E92)</f>
        <v>395.71199999999999</v>
      </c>
      <c r="R92" s="172" t="e">
        <v>#N/A</v>
      </c>
      <c r="S92" s="167">
        <f>IF(Bxl_Outflow!F92=0,#N/A,Bxl_Outflow!F92)</f>
        <v>26.380799999999997</v>
      </c>
      <c r="T92" s="172" t="e">
        <v>#N/A</v>
      </c>
      <c r="U92" s="167">
        <f>IF(Bxl_Outflow!G92=0,#N/A,Bxl_Outflow!G92)</f>
        <v>26.380799999999997</v>
      </c>
      <c r="W92" s="224"/>
      <c r="X92" s="224"/>
      <c r="Y92" s="224"/>
      <c r="Z92" s="224"/>
      <c r="AA92" s="224"/>
      <c r="AB92" s="224"/>
      <c r="AC92" s="224"/>
      <c r="AD92" s="224"/>
      <c r="AF92" s="204"/>
      <c r="AG92" s="204"/>
      <c r="AH92" s="204"/>
      <c r="AI92" s="204"/>
      <c r="AJ92" s="204"/>
      <c r="AK92" s="204"/>
    </row>
    <row r="93" spans="1:37" x14ac:dyDescent="0.25">
      <c r="A93" s="94">
        <v>2038</v>
      </c>
      <c r="B93" s="163" t="e">
        <v>#N/A</v>
      </c>
      <c r="C93" s="168">
        <f>IF(Bxl_Inflow!C93=0,#N/A,Bxl_Inflow!C93)</f>
        <v>320.54399999999998</v>
      </c>
      <c r="D93" s="163" t="e">
        <v>#N/A</v>
      </c>
      <c r="E93" s="168" t="e">
        <f>IF(Bxl_Inflow!D93=0,#N/A,Bxl_Inflow!D93)</f>
        <v>#N/A</v>
      </c>
      <c r="F93" s="163" t="e">
        <v>#N/A</v>
      </c>
      <c r="G93" s="168">
        <f>IF(Bxl_Inflow!E93=0,#N/A,Bxl_Inflow!E93)</f>
        <v>320.54399999999998</v>
      </c>
      <c r="H93" s="163" t="e">
        <v>#N/A</v>
      </c>
      <c r="I93" s="168">
        <f>IF(Bxl_Inflow!F93=0,#N/A,Bxl_Inflow!F93)</f>
        <v>21.369599999999998</v>
      </c>
      <c r="J93" s="163" t="e">
        <v>#N/A</v>
      </c>
      <c r="K93" s="168">
        <f>IF(Bxl_Inflow!G93=0,#N/A,Bxl_Inflow!G93)</f>
        <v>21.369599999999998</v>
      </c>
      <c r="L93" s="172" t="e">
        <v>#N/A</v>
      </c>
      <c r="M93" s="167">
        <f>IF(Bxl_Outflow!C93=0,#N/A,Bxl_Outflow!C93)</f>
        <v>320.54399999999998</v>
      </c>
      <c r="N93" s="172" t="e">
        <v>#N/A</v>
      </c>
      <c r="O93" s="167" t="e">
        <f>IF(Bxl_Outflow!D93=0,#N/A,Bxl_Outflow!D93)</f>
        <v>#N/A</v>
      </c>
      <c r="P93" s="172" t="e">
        <v>#N/A</v>
      </c>
      <c r="Q93" s="167">
        <f>IF(Bxl_Outflow!E93=0,#N/A,Bxl_Outflow!E93)</f>
        <v>320.54399999999998</v>
      </c>
      <c r="R93" s="172" t="e">
        <v>#N/A</v>
      </c>
      <c r="S93" s="167">
        <f>IF(Bxl_Outflow!F93=0,#N/A,Bxl_Outflow!F93)</f>
        <v>21.369599999999998</v>
      </c>
      <c r="T93" s="172" t="e">
        <v>#N/A</v>
      </c>
      <c r="U93" s="167">
        <f>IF(Bxl_Outflow!G93=0,#N/A,Bxl_Outflow!G93)</f>
        <v>21.369599999999998</v>
      </c>
      <c r="W93" s="224"/>
      <c r="X93" s="224"/>
      <c r="Y93" s="224"/>
      <c r="Z93" s="224"/>
      <c r="AA93" s="224"/>
      <c r="AB93" s="224"/>
      <c r="AC93" s="224"/>
      <c r="AD93" s="224"/>
      <c r="AF93" s="204"/>
      <c r="AG93" s="204"/>
      <c r="AH93" s="204"/>
      <c r="AI93" s="204"/>
      <c r="AJ93" s="204"/>
      <c r="AK93" s="204"/>
    </row>
    <row r="94" spans="1:37" x14ac:dyDescent="0.25">
      <c r="A94" s="94">
        <v>2039</v>
      </c>
      <c r="B94" s="163" t="e">
        <v>#N/A</v>
      </c>
      <c r="C94" s="168" t="e">
        <f>IF(Bxl_Inflow!C94=0,#N/A,Bxl_Inflow!C94)</f>
        <v>#N/A</v>
      </c>
      <c r="D94" s="163" t="e">
        <v>#N/A</v>
      </c>
      <c r="E94" s="168" t="e">
        <f>IF(Bxl_Inflow!D94=0,#N/A,Bxl_Inflow!D94)</f>
        <v>#N/A</v>
      </c>
      <c r="F94" s="163" t="e">
        <v>#N/A</v>
      </c>
      <c r="G94" s="168" t="e">
        <f>IF(Bxl_Inflow!E94=0,#N/A,Bxl_Inflow!E94)</f>
        <v>#N/A</v>
      </c>
      <c r="H94" s="163" t="e">
        <v>#N/A</v>
      </c>
      <c r="I94" s="168" t="e">
        <f>IF(Bxl_Inflow!F94=0,#N/A,Bxl_Inflow!F94)</f>
        <v>#N/A</v>
      </c>
      <c r="J94" s="163" t="e">
        <v>#N/A</v>
      </c>
      <c r="K94" s="168" t="e">
        <f>IF(Bxl_Inflow!G94=0,#N/A,Bxl_Inflow!G94)</f>
        <v>#N/A</v>
      </c>
      <c r="L94" s="172" t="e">
        <v>#N/A</v>
      </c>
      <c r="M94" s="167" t="e">
        <f>IF(Bxl_Outflow!C94=0,#N/A,Bxl_Outflow!C94)</f>
        <v>#N/A</v>
      </c>
      <c r="N94" s="172" t="e">
        <v>#N/A</v>
      </c>
      <c r="O94" s="167" t="e">
        <f>IF(Bxl_Outflow!D94=0,#N/A,Bxl_Outflow!D94)</f>
        <v>#N/A</v>
      </c>
      <c r="P94" s="172" t="e">
        <v>#N/A</v>
      </c>
      <c r="Q94" s="167" t="e">
        <f>IF(Bxl_Outflow!E94=0,#N/A,Bxl_Outflow!E94)</f>
        <v>#N/A</v>
      </c>
      <c r="R94" s="172" t="e">
        <v>#N/A</v>
      </c>
      <c r="S94" s="167" t="e">
        <f>IF(Bxl_Outflow!F94=0,#N/A,Bxl_Outflow!F94)</f>
        <v>#N/A</v>
      </c>
      <c r="T94" s="172" t="e">
        <v>#N/A</v>
      </c>
      <c r="U94" s="167" t="e">
        <f>IF(Bxl_Outflow!G94=0,#N/A,Bxl_Outflow!G94)</f>
        <v>#N/A</v>
      </c>
      <c r="W94" s="224"/>
      <c r="X94" s="224"/>
      <c r="Y94" s="224"/>
      <c r="Z94" s="224"/>
      <c r="AA94" s="224"/>
      <c r="AB94" s="224"/>
      <c r="AC94" s="224"/>
      <c r="AD94" s="224"/>
      <c r="AF94" s="204"/>
      <c r="AG94" s="204"/>
      <c r="AH94" s="204"/>
      <c r="AI94" s="204"/>
      <c r="AJ94" s="204"/>
      <c r="AK94" s="204"/>
    </row>
    <row r="95" spans="1:37" x14ac:dyDescent="0.25">
      <c r="A95" s="94">
        <v>2040</v>
      </c>
      <c r="B95" s="163" t="e">
        <v>#N/A</v>
      </c>
      <c r="C95" s="168">
        <f>IF(Bxl_Inflow!C95=0,#N/A,Bxl_Inflow!C95)</f>
        <v>400.89599999999996</v>
      </c>
      <c r="D95" s="163" t="e">
        <v>#N/A</v>
      </c>
      <c r="E95" s="168" t="e">
        <f>IF(Bxl_Inflow!D95=0,#N/A,Bxl_Inflow!D95)</f>
        <v>#N/A</v>
      </c>
      <c r="F95" s="163" t="e">
        <v>#N/A</v>
      </c>
      <c r="G95" s="168">
        <f>IF(Bxl_Inflow!E95=0,#N/A,Bxl_Inflow!E95)</f>
        <v>400.89599999999996</v>
      </c>
      <c r="H95" s="163" t="e">
        <v>#N/A</v>
      </c>
      <c r="I95" s="168">
        <f>IF(Bxl_Inflow!F95=0,#N/A,Bxl_Inflow!F95)</f>
        <v>26.726399999999998</v>
      </c>
      <c r="J95" s="163" t="e">
        <v>#N/A</v>
      </c>
      <c r="K95" s="168">
        <f>IF(Bxl_Inflow!G95=0,#N/A,Bxl_Inflow!G95)</f>
        <v>26.726399999999998</v>
      </c>
      <c r="L95" s="172" t="e">
        <v>#N/A</v>
      </c>
      <c r="M95" s="167">
        <f>IF(Bxl_Outflow!C95=0,#N/A,Bxl_Outflow!C95)</f>
        <v>400.89599999999996</v>
      </c>
      <c r="N95" s="172" t="e">
        <v>#N/A</v>
      </c>
      <c r="O95" s="167" t="e">
        <f>IF(Bxl_Outflow!D95=0,#N/A,Bxl_Outflow!D95)</f>
        <v>#N/A</v>
      </c>
      <c r="P95" s="172" t="e">
        <v>#N/A</v>
      </c>
      <c r="Q95" s="167">
        <f>IF(Bxl_Outflow!E95=0,#N/A,Bxl_Outflow!E95)</f>
        <v>400.89599999999996</v>
      </c>
      <c r="R95" s="172" t="e">
        <v>#N/A</v>
      </c>
      <c r="S95" s="167">
        <f>IF(Bxl_Outflow!F95=0,#N/A,Bxl_Outflow!F95)</f>
        <v>26.726399999999998</v>
      </c>
      <c r="T95" s="172" t="e">
        <v>#N/A</v>
      </c>
      <c r="U95" s="167">
        <f>IF(Bxl_Outflow!G95=0,#N/A,Bxl_Outflow!G95)</f>
        <v>26.726399999999998</v>
      </c>
      <c r="W95" s="224"/>
      <c r="X95" s="224"/>
      <c r="Y95" s="224"/>
      <c r="Z95" s="224"/>
      <c r="AA95" s="224"/>
      <c r="AB95" s="224"/>
      <c r="AC95" s="224"/>
      <c r="AD95" s="224"/>
      <c r="AF95" s="204"/>
      <c r="AG95" s="204"/>
      <c r="AH95" s="204"/>
      <c r="AI95" s="204"/>
      <c r="AJ95" s="204"/>
      <c r="AK95" s="204"/>
    </row>
    <row r="96" spans="1:37" x14ac:dyDescent="0.25">
      <c r="A96" s="94">
        <v>2041</v>
      </c>
      <c r="B96" s="163" t="e">
        <v>#N/A</v>
      </c>
      <c r="C96" s="168" t="e">
        <f>IF(Bxl_Inflow!C96=0,#N/A,Bxl_Inflow!C96)</f>
        <v>#N/A</v>
      </c>
      <c r="D96" s="163" t="e">
        <v>#N/A</v>
      </c>
      <c r="E96" s="168" t="e">
        <f>IF(Bxl_Inflow!D96=0,#N/A,Bxl_Inflow!D96)</f>
        <v>#N/A</v>
      </c>
      <c r="F96" s="163" t="e">
        <v>#N/A</v>
      </c>
      <c r="G96" s="168" t="e">
        <f>IF(Bxl_Inflow!E96=0,#N/A,Bxl_Inflow!E96)</f>
        <v>#N/A</v>
      </c>
      <c r="H96" s="163" t="e">
        <v>#N/A</v>
      </c>
      <c r="I96" s="168" t="e">
        <f>IF(Bxl_Inflow!F96=0,#N/A,Bxl_Inflow!F96)</f>
        <v>#N/A</v>
      </c>
      <c r="J96" s="163" t="e">
        <v>#N/A</v>
      </c>
      <c r="K96" s="168" t="e">
        <f>IF(Bxl_Inflow!G96=0,#N/A,Bxl_Inflow!G96)</f>
        <v>#N/A</v>
      </c>
      <c r="L96" s="172" t="e">
        <v>#N/A</v>
      </c>
      <c r="M96" s="167" t="e">
        <f>IF(Bxl_Outflow!C96=0,#N/A,Bxl_Outflow!C96)</f>
        <v>#N/A</v>
      </c>
      <c r="N96" s="172" t="e">
        <v>#N/A</v>
      </c>
      <c r="O96" s="167" t="e">
        <f>IF(Bxl_Outflow!D96=0,#N/A,Bxl_Outflow!D96)</f>
        <v>#N/A</v>
      </c>
      <c r="P96" s="172" t="e">
        <v>#N/A</v>
      </c>
      <c r="Q96" s="167" t="e">
        <f>IF(Bxl_Outflow!E96=0,#N/A,Bxl_Outflow!E96)</f>
        <v>#N/A</v>
      </c>
      <c r="R96" s="172" t="e">
        <v>#N/A</v>
      </c>
      <c r="S96" s="167" t="e">
        <f>IF(Bxl_Outflow!F96=0,#N/A,Bxl_Outflow!F96)</f>
        <v>#N/A</v>
      </c>
      <c r="T96" s="172" t="e">
        <v>#N/A</v>
      </c>
      <c r="U96" s="167" t="e">
        <f>IF(Bxl_Outflow!G96=0,#N/A,Bxl_Outflow!G96)</f>
        <v>#N/A</v>
      </c>
      <c r="W96" s="224"/>
      <c r="X96" s="224"/>
      <c r="Y96" s="224"/>
      <c r="Z96" s="224"/>
      <c r="AA96" s="224"/>
      <c r="AB96" s="224"/>
      <c r="AC96" s="224"/>
      <c r="AD96" s="224"/>
      <c r="AF96" s="204"/>
      <c r="AG96" s="204"/>
      <c r="AH96" s="204"/>
      <c r="AI96" s="204"/>
      <c r="AJ96" s="204"/>
      <c r="AK96" s="204"/>
    </row>
    <row r="97" spans="1:37" x14ac:dyDescent="0.25">
      <c r="A97" s="94">
        <v>2042</v>
      </c>
      <c r="B97" s="163" t="e">
        <v>#N/A</v>
      </c>
      <c r="C97" s="168" t="e">
        <f>IF(Bxl_Inflow!C97=0,#N/A,Bxl_Inflow!C97)</f>
        <v>#N/A</v>
      </c>
      <c r="D97" s="163" t="e">
        <v>#N/A</v>
      </c>
      <c r="E97" s="168" t="e">
        <f>IF(Bxl_Inflow!D97=0,#N/A,Bxl_Inflow!D97)</f>
        <v>#N/A</v>
      </c>
      <c r="F97" s="163" t="e">
        <v>#N/A</v>
      </c>
      <c r="G97" s="168" t="e">
        <f>IF(Bxl_Inflow!E97=0,#N/A,Bxl_Inflow!E97)</f>
        <v>#N/A</v>
      </c>
      <c r="H97" s="163" t="e">
        <v>#N/A</v>
      </c>
      <c r="I97" s="168" t="e">
        <f>IF(Bxl_Inflow!F97=0,#N/A,Bxl_Inflow!F97)</f>
        <v>#N/A</v>
      </c>
      <c r="J97" s="163" t="e">
        <v>#N/A</v>
      </c>
      <c r="K97" s="168" t="e">
        <f>IF(Bxl_Inflow!G97=0,#N/A,Bxl_Inflow!G97)</f>
        <v>#N/A</v>
      </c>
      <c r="L97" s="172" t="e">
        <v>#N/A</v>
      </c>
      <c r="M97" s="167" t="e">
        <f>IF(Bxl_Outflow!C97=0,#N/A,Bxl_Outflow!C97)</f>
        <v>#N/A</v>
      </c>
      <c r="N97" s="172" t="e">
        <v>#N/A</v>
      </c>
      <c r="O97" s="167" t="e">
        <f>IF(Bxl_Outflow!D97=0,#N/A,Bxl_Outflow!D97)</f>
        <v>#N/A</v>
      </c>
      <c r="P97" s="172" t="e">
        <v>#N/A</v>
      </c>
      <c r="Q97" s="167" t="e">
        <f>IF(Bxl_Outflow!E97=0,#N/A,Bxl_Outflow!E97)</f>
        <v>#N/A</v>
      </c>
      <c r="R97" s="172" t="e">
        <v>#N/A</v>
      </c>
      <c r="S97" s="167" t="e">
        <f>IF(Bxl_Outflow!F97=0,#N/A,Bxl_Outflow!F97)</f>
        <v>#N/A</v>
      </c>
      <c r="T97" s="172" t="e">
        <v>#N/A</v>
      </c>
      <c r="U97" s="167" t="e">
        <f>IF(Bxl_Outflow!G97=0,#N/A,Bxl_Outflow!G97)</f>
        <v>#N/A</v>
      </c>
      <c r="W97" s="224"/>
      <c r="X97" s="224"/>
      <c r="Y97" s="224"/>
      <c r="Z97" s="224"/>
      <c r="AA97" s="224"/>
      <c r="AB97" s="224"/>
      <c r="AC97" s="224"/>
      <c r="AD97" s="224"/>
      <c r="AF97" s="204"/>
      <c r="AG97" s="204"/>
      <c r="AH97" s="204"/>
      <c r="AI97" s="204"/>
      <c r="AJ97" s="204"/>
      <c r="AK97" s="204"/>
    </row>
    <row r="98" spans="1:37" x14ac:dyDescent="0.25">
      <c r="A98" s="94">
        <v>2043</v>
      </c>
      <c r="B98" s="163" t="e">
        <v>#N/A</v>
      </c>
      <c r="C98" s="168" t="e">
        <f>IF(Bxl_Inflow!C98=0,#N/A,Bxl_Inflow!C98)</f>
        <v>#N/A</v>
      </c>
      <c r="D98" s="163" t="e">
        <v>#N/A</v>
      </c>
      <c r="E98" s="168" t="e">
        <f>IF(Bxl_Inflow!D98=0,#N/A,Bxl_Inflow!D98)</f>
        <v>#N/A</v>
      </c>
      <c r="F98" s="163" t="e">
        <v>#N/A</v>
      </c>
      <c r="G98" s="168" t="e">
        <f>IF(Bxl_Inflow!E98=0,#N/A,Bxl_Inflow!E98)</f>
        <v>#N/A</v>
      </c>
      <c r="H98" s="163" t="e">
        <v>#N/A</v>
      </c>
      <c r="I98" s="168" t="e">
        <f>IF(Bxl_Inflow!F98=0,#N/A,Bxl_Inflow!F98)</f>
        <v>#N/A</v>
      </c>
      <c r="J98" s="163" t="e">
        <v>#N/A</v>
      </c>
      <c r="K98" s="168" t="e">
        <f>IF(Bxl_Inflow!G98=0,#N/A,Bxl_Inflow!G98)</f>
        <v>#N/A</v>
      </c>
      <c r="L98" s="172" t="e">
        <v>#N/A</v>
      </c>
      <c r="M98" s="167" t="e">
        <f>IF(Bxl_Outflow!C98=0,#N/A,Bxl_Outflow!C98)</f>
        <v>#N/A</v>
      </c>
      <c r="N98" s="172" t="e">
        <v>#N/A</v>
      </c>
      <c r="O98" s="167" t="e">
        <f>IF(Bxl_Outflow!D98=0,#N/A,Bxl_Outflow!D98)</f>
        <v>#N/A</v>
      </c>
      <c r="P98" s="172" t="e">
        <v>#N/A</v>
      </c>
      <c r="Q98" s="167" t="e">
        <f>IF(Bxl_Outflow!E98=0,#N/A,Bxl_Outflow!E98)</f>
        <v>#N/A</v>
      </c>
      <c r="R98" s="172" t="e">
        <v>#N/A</v>
      </c>
      <c r="S98" s="167" t="e">
        <f>IF(Bxl_Outflow!F98=0,#N/A,Bxl_Outflow!F98)</f>
        <v>#N/A</v>
      </c>
      <c r="T98" s="172" t="e">
        <v>#N/A</v>
      </c>
      <c r="U98" s="167" t="e">
        <f>IF(Bxl_Outflow!G98=0,#N/A,Bxl_Outflow!G98)</f>
        <v>#N/A</v>
      </c>
      <c r="W98" s="224"/>
      <c r="X98" s="224"/>
      <c r="Y98" s="224"/>
      <c r="Z98" s="224"/>
      <c r="AA98" s="224"/>
      <c r="AB98" s="224"/>
      <c r="AC98" s="224"/>
      <c r="AD98" s="224"/>
      <c r="AF98" s="204"/>
      <c r="AG98" s="204"/>
      <c r="AH98" s="204"/>
      <c r="AI98" s="204"/>
      <c r="AJ98" s="204"/>
      <c r="AK98" s="204"/>
    </row>
    <row r="99" spans="1:37" x14ac:dyDescent="0.25">
      <c r="A99" s="94">
        <v>2044</v>
      </c>
      <c r="B99" s="163" t="e">
        <v>#N/A</v>
      </c>
      <c r="C99" s="168">
        <f>IF(Bxl_Inflow!C99=0,#N/A,Bxl_Inflow!C99)</f>
        <v>1240.3890000000001</v>
      </c>
      <c r="D99" s="163" t="e">
        <v>#N/A</v>
      </c>
      <c r="E99" s="168">
        <f>IF(Bxl_Inflow!D99=0,#N/A,Bxl_Inflow!D99)</f>
        <v>243.14400000000001</v>
      </c>
      <c r="F99" s="163" t="e">
        <v>#N/A</v>
      </c>
      <c r="G99" s="168">
        <f>IF(Bxl_Inflow!E99=0,#N/A,Bxl_Inflow!E99)</f>
        <v>997.245</v>
      </c>
      <c r="H99" s="163" t="e">
        <v>#N/A</v>
      </c>
      <c r="I99" s="168">
        <f>IF(Bxl_Inflow!F99=0,#N/A,Bxl_Inflow!F99)</f>
        <v>95.494854000000004</v>
      </c>
      <c r="J99" s="163" t="e">
        <v>#N/A</v>
      </c>
      <c r="K99" s="168">
        <f>IF(Bxl_Inflow!G99=0,#N/A,Bxl_Inflow!G99)</f>
        <v>56.143800000000006</v>
      </c>
      <c r="L99" s="172" t="e">
        <v>#N/A</v>
      </c>
      <c r="M99" s="167">
        <f>IF(Bxl_Outflow!C99=0,#N/A,Bxl_Outflow!C99)</f>
        <v>1046.8008</v>
      </c>
      <c r="N99" s="172" t="e">
        <v>#N/A</v>
      </c>
      <c r="O99" s="167">
        <f>IF(Bxl_Outflow!D99=0,#N/A,Bxl_Outflow!D99)</f>
        <v>221.5188</v>
      </c>
      <c r="P99" s="172" t="e">
        <v>#N/A</v>
      </c>
      <c r="Q99" s="167">
        <f>IF(Bxl_Outflow!E99=0,#N/A,Bxl_Outflow!E99)</f>
        <v>825.28199999999993</v>
      </c>
      <c r="R99" s="172" t="e">
        <v>#N/A</v>
      </c>
      <c r="S99" s="167">
        <f>IF(Bxl_Outflow!F99=0,#N/A,Bxl_Outflow!F99)</f>
        <v>82.446719999999999</v>
      </c>
      <c r="T99" s="172" t="e">
        <v>#N/A</v>
      </c>
      <c r="U99" s="167">
        <f>IF(Bxl_Outflow!G99=0,#N/A,Bxl_Outflow!G99)</f>
        <v>46.717679999999994</v>
      </c>
      <c r="W99" s="224"/>
      <c r="X99" s="224"/>
      <c r="Y99" s="224"/>
      <c r="Z99" s="224"/>
      <c r="AA99" s="224"/>
      <c r="AB99" s="224"/>
      <c r="AC99" s="224"/>
      <c r="AD99" s="224"/>
      <c r="AF99" s="204"/>
      <c r="AG99" s="204"/>
      <c r="AH99" s="204"/>
      <c r="AI99" s="204"/>
      <c r="AJ99" s="204"/>
      <c r="AK99" s="204"/>
    </row>
    <row r="100" spans="1:37" x14ac:dyDescent="0.25">
      <c r="A100" s="94">
        <v>2045</v>
      </c>
      <c r="B100" s="163" t="e">
        <v>#N/A</v>
      </c>
      <c r="C100" s="168" t="e">
        <f>IF(Bxl_Inflow!C100=0,#N/A,Bxl_Inflow!C100)</f>
        <v>#N/A</v>
      </c>
      <c r="D100" s="163" t="e">
        <v>#N/A</v>
      </c>
      <c r="E100" s="168" t="e">
        <f>IF(Bxl_Inflow!D100=0,#N/A,Bxl_Inflow!D100)</f>
        <v>#N/A</v>
      </c>
      <c r="F100" s="163" t="e">
        <v>#N/A</v>
      </c>
      <c r="G100" s="168" t="e">
        <f>IF(Bxl_Inflow!E100=0,#N/A,Bxl_Inflow!E100)</f>
        <v>#N/A</v>
      </c>
      <c r="H100" s="163" t="e">
        <v>#N/A</v>
      </c>
      <c r="I100" s="168" t="e">
        <f>IF(Bxl_Inflow!F100=0,#N/A,Bxl_Inflow!F100)</f>
        <v>#N/A</v>
      </c>
      <c r="J100" s="163" t="e">
        <v>#N/A</v>
      </c>
      <c r="K100" s="168" t="e">
        <f>IF(Bxl_Inflow!G100=0,#N/A,Bxl_Inflow!G100)</f>
        <v>#N/A</v>
      </c>
      <c r="L100" s="172" t="e">
        <v>#N/A</v>
      </c>
      <c r="M100" s="167" t="e">
        <f>IF(Bxl_Outflow!C100=0,#N/A,Bxl_Outflow!C100)</f>
        <v>#N/A</v>
      </c>
      <c r="N100" s="172" t="e">
        <v>#N/A</v>
      </c>
      <c r="O100" s="167" t="e">
        <f>IF(Bxl_Outflow!D100=0,#N/A,Bxl_Outflow!D100)</f>
        <v>#N/A</v>
      </c>
      <c r="P100" s="172" t="e">
        <v>#N/A</v>
      </c>
      <c r="Q100" s="167" t="e">
        <f>IF(Bxl_Outflow!E100=0,#N/A,Bxl_Outflow!E100)</f>
        <v>#N/A</v>
      </c>
      <c r="R100" s="172" t="e">
        <v>#N/A</v>
      </c>
      <c r="S100" s="167" t="e">
        <f>IF(Bxl_Outflow!F100=0,#N/A,Bxl_Outflow!F100)</f>
        <v>#N/A</v>
      </c>
      <c r="T100" s="172" t="e">
        <v>#N/A</v>
      </c>
      <c r="U100" s="167" t="e">
        <f>IF(Bxl_Outflow!G100=0,#N/A,Bxl_Outflow!G100)</f>
        <v>#N/A</v>
      </c>
      <c r="W100" s="222">
        <f>AVERAGE(Bxl_Inflow!B100:B109)</f>
        <v>10525.637500000001</v>
      </c>
      <c r="X100" s="222">
        <f>AVERAGE(Bxl_Inflow!C100:C109)</f>
        <v>385.44175000000001</v>
      </c>
      <c r="Y100" s="223">
        <f>AVERAGE(Bxl_Outflow!B100:B109)</f>
        <v>18872.087500000001</v>
      </c>
      <c r="Z100" s="223">
        <f>AVERAGE(Bxl_Outflow!C100:C109)</f>
        <v>385.44175000000001</v>
      </c>
      <c r="AA100" s="222">
        <f>AVERAGE(Bxl_Inflow!F100:F109)</f>
        <v>25.618426666666664</v>
      </c>
      <c r="AB100" s="223">
        <f>AVERAGE(Bxl_Outflow!F100:F109)</f>
        <v>25.618426666666664</v>
      </c>
      <c r="AC100" s="222">
        <f>AVERAGE(Bxl_Inflow!G100:G109)</f>
        <v>20.561969999999999</v>
      </c>
      <c r="AD100" s="223">
        <f>AVERAGE(Bxl_Outflow!G100:G109)</f>
        <v>20.561969999999999</v>
      </c>
      <c r="AF100" s="208">
        <f>AVERAGE(Bxl_Outflow!W101:W110)</f>
        <v>-23.126505000000002</v>
      </c>
      <c r="AG100" s="208">
        <f>AVERAGE(Bxl_Outflow!X101:X110)</f>
        <v>-115.36156642244892</v>
      </c>
      <c r="AH100" s="208">
        <f>AVERAGE(Bxl_Outflow!Y101:Y110)</f>
        <v>-230.65539320051008</v>
      </c>
      <c r="AI100" s="208">
        <f>AVERAGE(Bxl_Outflow!Z101:Z110)</f>
        <v>-5.7816262500000004</v>
      </c>
      <c r="AJ100" s="208">
        <f>AVERAGE(Bxl_Outflow!AA101:AA110)</f>
        <v>-28.840391605612229</v>
      </c>
      <c r="AK100" s="208">
        <f>AVERAGE(Bxl_Outflow!AB101:AB110)</f>
        <v>-57.663848300127519</v>
      </c>
    </row>
    <row r="101" spans="1:37" x14ac:dyDescent="0.25">
      <c r="A101" s="94">
        <v>2046</v>
      </c>
      <c r="B101" s="163" t="e">
        <v>#N/A</v>
      </c>
      <c r="C101" s="168">
        <f>IF(Bxl_Inflow!C101=0,#N/A,Bxl_Inflow!C101)</f>
        <v>2262.4974999999999</v>
      </c>
      <c r="D101" s="163" t="e">
        <v>#N/A</v>
      </c>
      <c r="E101" s="168">
        <f>IF(Bxl_Inflow!D101=0,#N/A,Bxl_Inflow!D101)</f>
        <v>344.3175</v>
      </c>
      <c r="F101" s="163" t="e">
        <v>#N/A</v>
      </c>
      <c r="G101" s="168">
        <f>IF(Bxl_Inflow!E101=0,#N/A,Bxl_Inflow!E101)</f>
        <v>1918.1799999999998</v>
      </c>
      <c r="H101" s="163" t="e">
        <v>#N/A</v>
      </c>
      <c r="I101" s="168">
        <f>IF(Bxl_Inflow!F101=0,#N/A,Bxl_Inflow!F101)</f>
        <v>156.44426666666666</v>
      </c>
      <c r="J101" s="163" t="e">
        <v>#N/A</v>
      </c>
      <c r="K101" s="168">
        <f>IF(Bxl_Inflow!G101=0,#N/A,Bxl_Inflow!G101)</f>
        <v>116.14636666666667</v>
      </c>
      <c r="L101" s="172" t="e">
        <v>#N/A</v>
      </c>
      <c r="M101" s="167">
        <f>IF(Bxl_Outflow!C101=0,#N/A,Bxl_Outflow!C101)</f>
        <v>2262.4974999999999</v>
      </c>
      <c r="N101" s="172" t="e">
        <v>#N/A</v>
      </c>
      <c r="O101" s="167">
        <f>IF(Bxl_Outflow!D101=0,#N/A,Bxl_Outflow!D101)</f>
        <v>344.3175</v>
      </c>
      <c r="P101" s="172" t="e">
        <v>#N/A</v>
      </c>
      <c r="Q101" s="167">
        <f>IF(Bxl_Outflow!E101=0,#N/A,Bxl_Outflow!E101)</f>
        <v>1918.1799999999998</v>
      </c>
      <c r="R101" s="172" t="e">
        <v>#N/A</v>
      </c>
      <c r="S101" s="167">
        <f>IF(Bxl_Outflow!F101=0,#N/A,Bxl_Outflow!F101)</f>
        <v>156.44426666666666</v>
      </c>
      <c r="T101" s="172" t="e">
        <v>#N/A</v>
      </c>
      <c r="U101" s="167">
        <f>IF(Bxl_Outflow!G101=0,#N/A,Bxl_Outflow!G101)</f>
        <v>116.14636666666667</v>
      </c>
      <c r="W101" s="224"/>
      <c r="X101" s="224"/>
      <c r="Y101" s="224"/>
      <c r="Z101" s="224"/>
      <c r="AA101" s="224"/>
      <c r="AB101" s="224"/>
      <c r="AC101" s="224"/>
      <c r="AD101" s="224"/>
      <c r="AF101" s="204"/>
      <c r="AG101" s="204"/>
      <c r="AH101" s="204"/>
      <c r="AI101" s="204"/>
      <c r="AJ101" s="204"/>
      <c r="AK101" s="204"/>
    </row>
    <row r="102" spans="1:37" x14ac:dyDescent="0.25">
      <c r="A102" s="94">
        <v>2047</v>
      </c>
      <c r="B102" s="163" t="e">
        <v>#N/A</v>
      </c>
      <c r="C102" s="168">
        <f>IF(Bxl_Inflow!C102=0,#N/A,Bxl_Inflow!C102)</f>
        <v>720</v>
      </c>
      <c r="D102" s="163" t="e">
        <v>#N/A</v>
      </c>
      <c r="E102" s="168" t="e">
        <f>IF(Bxl_Inflow!D102=0,#N/A,Bxl_Inflow!D102)</f>
        <v>#N/A</v>
      </c>
      <c r="F102" s="163" t="e">
        <v>#N/A</v>
      </c>
      <c r="G102" s="168">
        <f>IF(Bxl_Inflow!E102=0,#N/A,Bxl_Inflow!E102)</f>
        <v>720</v>
      </c>
      <c r="H102" s="163" t="e">
        <v>#N/A</v>
      </c>
      <c r="I102" s="168">
        <f>IF(Bxl_Inflow!F102=0,#N/A,Bxl_Inflow!F102)</f>
        <v>42.666666666666671</v>
      </c>
      <c r="J102" s="163" t="e">
        <v>#N/A</v>
      </c>
      <c r="K102" s="168">
        <f>IF(Bxl_Inflow!G102=0,#N/A,Bxl_Inflow!G102)</f>
        <v>42.666666666666671</v>
      </c>
      <c r="L102" s="172" t="e">
        <v>#N/A</v>
      </c>
      <c r="M102" s="167">
        <f>IF(Bxl_Outflow!C102=0,#N/A,Bxl_Outflow!C102)</f>
        <v>720</v>
      </c>
      <c r="N102" s="172" t="e">
        <v>#N/A</v>
      </c>
      <c r="O102" s="167" t="e">
        <f>IF(Bxl_Outflow!D102=0,#N/A,Bxl_Outflow!D102)</f>
        <v>#N/A</v>
      </c>
      <c r="P102" s="172" t="e">
        <v>#N/A</v>
      </c>
      <c r="Q102" s="167">
        <f>IF(Bxl_Outflow!E102=0,#N/A,Bxl_Outflow!E102)</f>
        <v>720</v>
      </c>
      <c r="R102" s="172" t="e">
        <v>#N/A</v>
      </c>
      <c r="S102" s="167">
        <f>IF(Bxl_Outflow!F102=0,#N/A,Bxl_Outflow!F102)</f>
        <v>42.666666666666671</v>
      </c>
      <c r="T102" s="172" t="e">
        <v>#N/A</v>
      </c>
      <c r="U102" s="167">
        <f>IF(Bxl_Outflow!G102=0,#N/A,Bxl_Outflow!G102)</f>
        <v>42.666666666666671</v>
      </c>
      <c r="W102" s="224"/>
      <c r="X102" s="224"/>
      <c r="Y102" s="224"/>
      <c r="Z102" s="224"/>
      <c r="AA102" s="224"/>
      <c r="AB102" s="224"/>
      <c r="AC102" s="224"/>
      <c r="AD102" s="224"/>
      <c r="AF102" s="204"/>
      <c r="AG102" s="204"/>
      <c r="AH102" s="204"/>
      <c r="AI102" s="204"/>
      <c r="AJ102" s="204"/>
      <c r="AK102" s="204"/>
    </row>
    <row r="103" spans="1:37" x14ac:dyDescent="0.25">
      <c r="A103" s="94">
        <v>2048</v>
      </c>
      <c r="B103" s="163" t="e">
        <v>#N/A</v>
      </c>
      <c r="C103" s="168" t="e">
        <f>IF(Bxl_Inflow!C103=0,#N/A,Bxl_Inflow!C103)</f>
        <v>#N/A</v>
      </c>
      <c r="D103" s="163" t="e">
        <v>#N/A</v>
      </c>
      <c r="E103" s="168" t="e">
        <f>IF(Bxl_Inflow!D103=0,#N/A,Bxl_Inflow!D103)</f>
        <v>#N/A</v>
      </c>
      <c r="F103" s="163" t="e">
        <v>#N/A</v>
      </c>
      <c r="G103" s="168" t="e">
        <f>IF(Bxl_Inflow!E103=0,#N/A,Bxl_Inflow!E103)</f>
        <v>#N/A</v>
      </c>
      <c r="H103" s="163" t="e">
        <v>#N/A</v>
      </c>
      <c r="I103" s="168" t="e">
        <f>IF(Bxl_Inflow!F103=0,#N/A,Bxl_Inflow!F103)</f>
        <v>#N/A</v>
      </c>
      <c r="J103" s="163" t="e">
        <v>#N/A</v>
      </c>
      <c r="K103" s="168" t="e">
        <f>IF(Bxl_Inflow!G103=0,#N/A,Bxl_Inflow!G103)</f>
        <v>#N/A</v>
      </c>
      <c r="L103" s="172" t="e">
        <v>#N/A</v>
      </c>
      <c r="M103" s="167" t="e">
        <f>IF(Bxl_Outflow!C103=0,#N/A,Bxl_Outflow!C103)</f>
        <v>#N/A</v>
      </c>
      <c r="N103" s="172" t="e">
        <v>#N/A</v>
      </c>
      <c r="O103" s="167" t="e">
        <f>IF(Bxl_Outflow!D103=0,#N/A,Bxl_Outflow!D103)</f>
        <v>#N/A</v>
      </c>
      <c r="P103" s="172" t="e">
        <v>#N/A</v>
      </c>
      <c r="Q103" s="167" t="e">
        <f>IF(Bxl_Outflow!E103=0,#N/A,Bxl_Outflow!E103)</f>
        <v>#N/A</v>
      </c>
      <c r="R103" s="172" t="e">
        <v>#N/A</v>
      </c>
      <c r="S103" s="167" t="e">
        <f>IF(Bxl_Outflow!F103=0,#N/A,Bxl_Outflow!F103)</f>
        <v>#N/A</v>
      </c>
      <c r="T103" s="172" t="e">
        <v>#N/A</v>
      </c>
      <c r="U103" s="167" t="e">
        <f>IF(Bxl_Outflow!G103=0,#N/A,Bxl_Outflow!G103)</f>
        <v>#N/A</v>
      </c>
      <c r="W103" s="224"/>
      <c r="X103" s="224"/>
      <c r="Y103" s="224"/>
      <c r="Z103" s="224"/>
      <c r="AA103" s="224"/>
      <c r="AB103" s="224"/>
      <c r="AC103" s="224"/>
      <c r="AD103" s="224"/>
      <c r="AF103" s="204"/>
      <c r="AG103" s="204"/>
      <c r="AH103" s="204"/>
      <c r="AI103" s="204"/>
      <c r="AJ103" s="204"/>
      <c r="AK103" s="204"/>
    </row>
    <row r="104" spans="1:37" x14ac:dyDescent="0.25">
      <c r="A104" s="94">
        <v>2049</v>
      </c>
      <c r="B104" s="163" t="e">
        <v>#N/A</v>
      </c>
      <c r="C104" s="168">
        <f>IF(Bxl_Inflow!C104=0,#N/A,Bxl_Inflow!C104)</f>
        <v>245.51999999999998</v>
      </c>
      <c r="D104" s="163" t="e">
        <v>#N/A</v>
      </c>
      <c r="E104" s="168">
        <f>IF(Bxl_Inflow!D104=0,#N/A,Bxl_Inflow!D104)</f>
        <v>91.52</v>
      </c>
      <c r="F104" s="163" t="e">
        <v>#N/A</v>
      </c>
      <c r="G104" s="168">
        <f>IF(Bxl_Inflow!E104=0,#N/A,Bxl_Inflow!E104)</f>
        <v>154</v>
      </c>
      <c r="H104" s="163" t="e">
        <v>#N/A</v>
      </c>
      <c r="I104" s="168">
        <f>IF(Bxl_Inflow!F104=0,#N/A,Bxl_Inflow!F104)</f>
        <v>20.533333333333331</v>
      </c>
      <c r="J104" s="163" t="e">
        <v>#N/A</v>
      </c>
      <c r="K104" s="168">
        <f>IF(Bxl_Inflow!G104=0,#N/A,Bxl_Inflow!G104)</f>
        <v>10.266666666666666</v>
      </c>
      <c r="L104" s="172" t="e">
        <v>#N/A</v>
      </c>
      <c r="M104" s="167">
        <f>IF(Bxl_Outflow!C104=0,#N/A,Bxl_Outflow!C104)</f>
        <v>245.51999999999998</v>
      </c>
      <c r="N104" s="172" t="e">
        <v>#N/A</v>
      </c>
      <c r="O104" s="167">
        <f>IF(Bxl_Outflow!D104=0,#N/A,Bxl_Outflow!D104)</f>
        <v>91.52</v>
      </c>
      <c r="P104" s="172" t="e">
        <v>#N/A</v>
      </c>
      <c r="Q104" s="167">
        <f>IF(Bxl_Outflow!E104=0,#N/A,Bxl_Outflow!E104)</f>
        <v>154</v>
      </c>
      <c r="R104" s="172" t="e">
        <v>#N/A</v>
      </c>
      <c r="S104" s="167">
        <f>IF(Bxl_Outflow!F104=0,#N/A,Bxl_Outflow!F104)</f>
        <v>20.533333333333331</v>
      </c>
      <c r="T104" s="172" t="e">
        <v>#N/A</v>
      </c>
      <c r="U104" s="167">
        <f>IF(Bxl_Outflow!G104=0,#N/A,Bxl_Outflow!G104)</f>
        <v>10.266666666666666</v>
      </c>
      <c r="W104" s="224"/>
      <c r="X104" s="224"/>
      <c r="Y104" s="224"/>
      <c r="Z104" s="224"/>
      <c r="AA104" s="224"/>
      <c r="AB104" s="224"/>
      <c r="AC104" s="224"/>
      <c r="AD104" s="224"/>
      <c r="AF104" s="204"/>
      <c r="AG104" s="204"/>
      <c r="AH104" s="204"/>
      <c r="AI104" s="204"/>
      <c r="AJ104" s="204"/>
      <c r="AK104" s="204"/>
    </row>
    <row r="105" spans="1:37" x14ac:dyDescent="0.25">
      <c r="A105" s="94">
        <v>2050</v>
      </c>
      <c r="B105" s="163" t="e">
        <v>#N/A</v>
      </c>
      <c r="C105" s="168" t="e">
        <f>IF(Bxl_Inflow!C105=0,#N/A,Bxl_Inflow!C105)</f>
        <v>#N/A</v>
      </c>
      <c r="D105" s="163" t="e">
        <v>#N/A</v>
      </c>
      <c r="E105" s="168" t="e">
        <f>IF(Bxl_Inflow!D105=0,#N/A,Bxl_Inflow!D105)</f>
        <v>#N/A</v>
      </c>
      <c r="F105" s="163" t="e">
        <v>#N/A</v>
      </c>
      <c r="G105" s="168" t="e">
        <f>IF(Bxl_Inflow!E105=0,#N/A,Bxl_Inflow!E105)</f>
        <v>#N/A</v>
      </c>
      <c r="H105" s="163" t="e">
        <v>#N/A</v>
      </c>
      <c r="I105" s="168" t="e">
        <f>IF(Bxl_Inflow!F105=0,#N/A,Bxl_Inflow!F105)</f>
        <v>#N/A</v>
      </c>
      <c r="J105" s="163" t="e">
        <v>#N/A</v>
      </c>
      <c r="K105" s="168" t="e">
        <f>IF(Bxl_Inflow!G105=0,#N/A,Bxl_Inflow!G105)</f>
        <v>#N/A</v>
      </c>
      <c r="L105" s="172" t="e">
        <v>#N/A</v>
      </c>
      <c r="M105" s="167" t="e">
        <f>IF(Bxl_Outflow!C105=0,#N/A,Bxl_Outflow!C105)</f>
        <v>#N/A</v>
      </c>
      <c r="N105" s="172" t="e">
        <v>#N/A</v>
      </c>
      <c r="O105" s="167" t="e">
        <f>IF(Bxl_Outflow!D105=0,#N/A,Bxl_Outflow!D105)</f>
        <v>#N/A</v>
      </c>
      <c r="P105" s="172" t="e">
        <v>#N/A</v>
      </c>
      <c r="Q105" s="167" t="e">
        <f>IF(Bxl_Outflow!E105=0,#N/A,Bxl_Outflow!E105)</f>
        <v>#N/A</v>
      </c>
      <c r="R105" s="172" t="e">
        <v>#N/A</v>
      </c>
      <c r="S105" s="167" t="e">
        <f>IF(Bxl_Outflow!F105=0,#N/A,Bxl_Outflow!F105)</f>
        <v>#N/A</v>
      </c>
      <c r="T105" s="172" t="e">
        <v>#N/A</v>
      </c>
      <c r="U105" s="167" t="e">
        <f>IF(Bxl_Outflow!G105=0,#N/A,Bxl_Outflow!G105)</f>
        <v>#N/A</v>
      </c>
      <c r="W105" s="224"/>
      <c r="X105" s="224"/>
      <c r="Y105" s="224"/>
      <c r="Z105" s="224"/>
      <c r="AA105" s="224"/>
      <c r="AB105" s="224"/>
      <c r="AC105" s="224"/>
      <c r="AD105" s="224"/>
      <c r="AF105" s="204"/>
      <c r="AG105" s="204"/>
      <c r="AH105" s="204"/>
      <c r="AI105" s="204"/>
      <c r="AJ105" s="204"/>
      <c r="AK105" s="204"/>
    </row>
    <row r="106" spans="1:37" x14ac:dyDescent="0.25">
      <c r="A106" s="94">
        <v>2051</v>
      </c>
      <c r="B106" s="163" t="e">
        <v>#N/A</v>
      </c>
      <c r="C106" s="168" t="e">
        <f>IF(Bxl_Inflow!C106=0,#N/A,Bxl_Inflow!C106)</f>
        <v>#N/A</v>
      </c>
      <c r="D106" s="163" t="e">
        <v>#N/A</v>
      </c>
      <c r="E106" s="168" t="e">
        <f>IF(Bxl_Inflow!D106=0,#N/A,Bxl_Inflow!D106)</f>
        <v>#N/A</v>
      </c>
      <c r="F106" s="163" t="e">
        <v>#N/A</v>
      </c>
      <c r="G106" s="168" t="e">
        <f>IF(Bxl_Inflow!E106=0,#N/A,Bxl_Inflow!E106)</f>
        <v>#N/A</v>
      </c>
      <c r="H106" s="163" t="e">
        <v>#N/A</v>
      </c>
      <c r="I106" s="168" t="e">
        <f>IF(Bxl_Inflow!F106=0,#N/A,Bxl_Inflow!F106)</f>
        <v>#N/A</v>
      </c>
      <c r="J106" s="163" t="e">
        <v>#N/A</v>
      </c>
      <c r="K106" s="168" t="e">
        <f>IF(Bxl_Inflow!G106=0,#N/A,Bxl_Inflow!G106)</f>
        <v>#N/A</v>
      </c>
      <c r="L106" s="172" t="e">
        <v>#N/A</v>
      </c>
      <c r="M106" s="167" t="e">
        <f>IF(Bxl_Outflow!C106=0,#N/A,Bxl_Outflow!C106)</f>
        <v>#N/A</v>
      </c>
      <c r="N106" s="172" t="e">
        <v>#N/A</v>
      </c>
      <c r="O106" s="167" t="e">
        <f>IF(Bxl_Outflow!D106=0,#N/A,Bxl_Outflow!D106)</f>
        <v>#N/A</v>
      </c>
      <c r="P106" s="172" t="e">
        <v>#N/A</v>
      </c>
      <c r="Q106" s="167" t="e">
        <f>IF(Bxl_Outflow!E106=0,#N/A,Bxl_Outflow!E106)</f>
        <v>#N/A</v>
      </c>
      <c r="R106" s="172" t="e">
        <v>#N/A</v>
      </c>
      <c r="S106" s="167" t="e">
        <f>IF(Bxl_Outflow!F106=0,#N/A,Bxl_Outflow!F106)</f>
        <v>#N/A</v>
      </c>
      <c r="T106" s="172" t="e">
        <v>#N/A</v>
      </c>
      <c r="U106" s="167" t="e">
        <f>IF(Bxl_Outflow!G106=0,#N/A,Bxl_Outflow!G106)</f>
        <v>#N/A</v>
      </c>
      <c r="W106" s="224"/>
      <c r="X106" s="224"/>
      <c r="Y106" s="224"/>
      <c r="Z106" s="224"/>
      <c r="AA106" s="224"/>
      <c r="AB106" s="224"/>
      <c r="AC106" s="224"/>
      <c r="AD106" s="224"/>
      <c r="AF106" s="204"/>
      <c r="AG106" s="204"/>
      <c r="AH106" s="204"/>
      <c r="AI106" s="204"/>
      <c r="AJ106" s="204"/>
      <c r="AK106" s="204"/>
    </row>
    <row r="107" spans="1:37" x14ac:dyDescent="0.25">
      <c r="A107" s="94">
        <v>2052</v>
      </c>
      <c r="B107" s="163" t="e">
        <v>#N/A</v>
      </c>
      <c r="C107" s="168" t="e">
        <f>IF(Bxl_Inflow!C107=0,#N/A,Bxl_Inflow!C107)</f>
        <v>#N/A</v>
      </c>
      <c r="D107" s="163" t="e">
        <v>#N/A</v>
      </c>
      <c r="E107" s="168" t="e">
        <f>IF(Bxl_Inflow!D107=0,#N/A,Bxl_Inflow!D107)</f>
        <v>#N/A</v>
      </c>
      <c r="F107" s="163" t="e">
        <v>#N/A</v>
      </c>
      <c r="G107" s="168" t="e">
        <f>IF(Bxl_Inflow!E107=0,#N/A,Bxl_Inflow!E107)</f>
        <v>#N/A</v>
      </c>
      <c r="H107" s="163" t="e">
        <v>#N/A</v>
      </c>
      <c r="I107" s="168" t="e">
        <f>IF(Bxl_Inflow!F107=0,#N/A,Bxl_Inflow!F107)</f>
        <v>#N/A</v>
      </c>
      <c r="J107" s="163" t="e">
        <v>#N/A</v>
      </c>
      <c r="K107" s="168" t="e">
        <f>IF(Bxl_Inflow!G107=0,#N/A,Bxl_Inflow!G107)</f>
        <v>#N/A</v>
      </c>
      <c r="L107" s="172" t="e">
        <v>#N/A</v>
      </c>
      <c r="M107" s="167" t="e">
        <f>IF(Bxl_Outflow!C107=0,#N/A,Bxl_Outflow!C107)</f>
        <v>#N/A</v>
      </c>
      <c r="N107" s="172" t="e">
        <v>#N/A</v>
      </c>
      <c r="O107" s="167" t="e">
        <f>IF(Bxl_Outflow!D107=0,#N/A,Bxl_Outflow!D107)</f>
        <v>#N/A</v>
      </c>
      <c r="P107" s="172" t="e">
        <v>#N/A</v>
      </c>
      <c r="Q107" s="167" t="e">
        <f>IF(Bxl_Outflow!E107=0,#N/A,Bxl_Outflow!E107)</f>
        <v>#N/A</v>
      </c>
      <c r="R107" s="172" t="e">
        <v>#N/A</v>
      </c>
      <c r="S107" s="167" t="e">
        <f>IF(Bxl_Outflow!F107=0,#N/A,Bxl_Outflow!F107)</f>
        <v>#N/A</v>
      </c>
      <c r="T107" s="172" t="e">
        <v>#N/A</v>
      </c>
      <c r="U107" s="167" t="e">
        <f>IF(Bxl_Outflow!G107=0,#N/A,Bxl_Outflow!G107)</f>
        <v>#N/A</v>
      </c>
      <c r="W107" s="224"/>
      <c r="X107" s="224"/>
      <c r="Y107" s="224"/>
      <c r="Z107" s="224"/>
      <c r="AA107" s="224"/>
      <c r="AB107" s="224"/>
      <c r="AC107" s="224"/>
      <c r="AD107" s="224"/>
      <c r="AF107" s="204"/>
      <c r="AG107" s="204"/>
      <c r="AH107" s="204"/>
      <c r="AI107" s="204"/>
      <c r="AJ107" s="204"/>
      <c r="AK107" s="204"/>
    </row>
    <row r="108" spans="1:37" x14ac:dyDescent="0.25">
      <c r="A108" s="94">
        <v>2053</v>
      </c>
      <c r="B108" s="163" t="e">
        <v>#N/A</v>
      </c>
      <c r="C108" s="168">
        <f>IF(Bxl_Inflow!C108=0,#N/A,Bxl_Inflow!C108)</f>
        <v>626.4</v>
      </c>
      <c r="D108" s="163" t="e">
        <v>#N/A</v>
      </c>
      <c r="E108" s="168" t="e">
        <f>IF(Bxl_Inflow!D108=0,#N/A,Bxl_Inflow!D108)</f>
        <v>#N/A</v>
      </c>
      <c r="F108" s="163" t="e">
        <v>#N/A</v>
      </c>
      <c r="G108" s="168">
        <f>IF(Bxl_Inflow!E108=0,#N/A,Bxl_Inflow!E108)</f>
        <v>626.4</v>
      </c>
      <c r="H108" s="163" t="e">
        <v>#N/A</v>
      </c>
      <c r="I108" s="168">
        <f>IF(Bxl_Inflow!F108=0,#N/A,Bxl_Inflow!F108)</f>
        <v>36.54</v>
      </c>
      <c r="J108" s="163" t="e">
        <v>#N/A</v>
      </c>
      <c r="K108" s="168">
        <f>IF(Bxl_Inflow!G108=0,#N/A,Bxl_Inflow!G108)</f>
        <v>36.54</v>
      </c>
      <c r="L108" s="172" t="e">
        <v>#N/A</v>
      </c>
      <c r="M108" s="167">
        <f>IF(Bxl_Outflow!C108=0,#N/A,Bxl_Outflow!C108)</f>
        <v>626.4</v>
      </c>
      <c r="N108" s="172" t="e">
        <v>#N/A</v>
      </c>
      <c r="O108" s="167" t="e">
        <f>IF(Bxl_Outflow!D108=0,#N/A,Bxl_Outflow!D108)</f>
        <v>#N/A</v>
      </c>
      <c r="P108" s="172" t="e">
        <v>#N/A</v>
      </c>
      <c r="Q108" s="167">
        <f>IF(Bxl_Outflow!E108=0,#N/A,Bxl_Outflow!E108)</f>
        <v>626.4</v>
      </c>
      <c r="R108" s="172" t="e">
        <v>#N/A</v>
      </c>
      <c r="S108" s="167">
        <f>IF(Bxl_Outflow!F108=0,#N/A,Bxl_Outflow!F108)</f>
        <v>36.54</v>
      </c>
      <c r="T108" s="172" t="e">
        <v>#N/A</v>
      </c>
      <c r="U108" s="167">
        <f>IF(Bxl_Outflow!G108=0,#N/A,Bxl_Outflow!G108)</f>
        <v>36.54</v>
      </c>
      <c r="W108" s="224"/>
      <c r="X108" s="224"/>
      <c r="Y108" s="224"/>
      <c r="Z108" s="224"/>
      <c r="AA108" s="224"/>
      <c r="AB108" s="224"/>
      <c r="AC108" s="224"/>
      <c r="AD108" s="224"/>
      <c r="AF108" s="204"/>
      <c r="AG108" s="204"/>
      <c r="AH108" s="204"/>
      <c r="AI108" s="204"/>
      <c r="AJ108" s="204"/>
      <c r="AK108" s="204"/>
    </row>
    <row r="109" spans="1:37" x14ac:dyDescent="0.25">
      <c r="A109" s="94">
        <v>2054</v>
      </c>
      <c r="B109" s="163" t="e">
        <v>#N/A</v>
      </c>
      <c r="C109" s="168" t="e">
        <f>IF(Bxl_Inflow!C109=0,#N/A,Bxl_Inflow!C109)</f>
        <v>#N/A</v>
      </c>
      <c r="D109" s="163" t="e">
        <v>#N/A</v>
      </c>
      <c r="E109" s="168" t="e">
        <f>IF(Bxl_Inflow!D109=0,#N/A,Bxl_Inflow!D109)</f>
        <v>#N/A</v>
      </c>
      <c r="F109" s="163" t="e">
        <v>#N/A</v>
      </c>
      <c r="G109" s="168" t="e">
        <f>IF(Bxl_Inflow!E109=0,#N/A,Bxl_Inflow!E109)</f>
        <v>#N/A</v>
      </c>
      <c r="H109" s="163" t="e">
        <v>#N/A</v>
      </c>
      <c r="I109" s="168" t="e">
        <f>IF(Bxl_Inflow!F109=0,#N/A,Bxl_Inflow!F109)</f>
        <v>#N/A</v>
      </c>
      <c r="J109" s="163" t="e">
        <v>#N/A</v>
      </c>
      <c r="K109" s="168" t="e">
        <f>IF(Bxl_Inflow!G109=0,#N/A,Bxl_Inflow!G109)</f>
        <v>#N/A</v>
      </c>
      <c r="L109" s="172" t="e">
        <v>#N/A</v>
      </c>
      <c r="M109" s="167" t="e">
        <f>IF(Bxl_Outflow!C109=0,#N/A,Bxl_Outflow!C109)</f>
        <v>#N/A</v>
      </c>
      <c r="N109" s="172" t="e">
        <v>#N/A</v>
      </c>
      <c r="O109" s="167" t="e">
        <f>IF(Bxl_Outflow!D109=0,#N/A,Bxl_Outflow!D109)</f>
        <v>#N/A</v>
      </c>
      <c r="P109" s="172" t="e">
        <v>#N/A</v>
      </c>
      <c r="Q109" s="167" t="e">
        <f>IF(Bxl_Outflow!E109=0,#N/A,Bxl_Outflow!E109)</f>
        <v>#N/A</v>
      </c>
      <c r="R109" s="172" t="e">
        <v>#N/A</v>
      </c>
      <c r="S109" s="167" t="e">
        <f>IF(Bxl_Outflow!F109=0,#N/A,Bxl_Outflow!F109)</f>
        <v>#N/A</v>
      </c>
      <c r="T109" s="172" t="e">
        <v>#N/A</v>
      </c>
      <c r="U109" s="167" t="e">
        <f>IF(Bxl_Outflow!G109=0,#N/A,Bxl_Outflow!G109)</f>
        <v>#N/A</v>
      </c>
      <c r="W109" s="224"/>
      <c r="X109" s="224"/>
      <c r="Y109" s="224"/>
      <c r="Z109" s="224"/>
      <c r="AA109" s="224"/>
      <c r="AB109" s="224"/>
      <c r="AC109" s="224"/>
      <c r="AD109" s="224"/>
      <c r="AF109" s="204"/>
      <c r="AG109" s="204"/>
      <c r="AH109" s="204"/>
      <c r="AI109" s="204"/>
      <c r="AJ109" s="204"/>
      <c r="AK109" s="204"/>
    </row>
    <row r="110" spans="1:37" x14ac:dyDescent="0.25">
      <c r="A110" s="94">
        <v>2055</v>
      </c>
      <c r="B110" s="163" t="e">
        <v>#N/A</v>
      </c>
      <c r="C110" s="168" t="e">
        <f>IF(Bxl_Inflow!C110=0,#N/A,Bxl_Inflow!C110)</f>
        <v>#N/A</v>
      </c>
      <c r="D110" s="163" t="e">
        <v>#N/A</v>
      </c>
      <c r="E110" s="168" t="e">
        <f>IF(Bxl_Inflow!D110=0,#N/A,Bxl_Inflow!D110)</f>
        <v>#N/A</v>
      </c>
      <c r="F110" s="163" t="e">
        <v>#N/A</v>
      </c>
      <c r="G110" s="168" t="e">
        <f>IF(Bxl_Inflow!E110=0,#N/A,Bxl_Inflow!E110)</f>
        <v>#N/A</v>
      </c>
      <c r="H110" s="163" t="e">
        <v>#N/A</v>
      </c>
      <c r="I110" s="168" t="e">
        <f>IF(Bxl_Inflow!F110=0,#N/A,Bxl_Inflow!F110)</f>
        <v>#N/A</v>
      </c>
      <c r="J110" s="163" t="e">
        <v>#N/A</v>
      </c>
      <c r="K110" s="168" t="e">
        <f>IF(Bxl_Inflow!G110=0,#N/A,Bxl_Inflow!G110)</f>
        <v>#N/A</v>
      </c>
      <c r="L110" s="172" t="e">
        <v>#N/A</v>
      </c>
      <c r="M110" s="167" t="e">
        <f>IF(Bxl_Outflow!C110=0,#N/A,Bxl_Outflow!C110)</f>
        <v>#N/A</v>
      </c>
      <c r="N110" s="172" t="e">
        <v>#N/A</v>
      </c>
      <c r="O110" s="167" t="e">
        <f>IF(Bxl_Outflow!D110=0,#N/A,Bxl_Outflow!D110)</f>
        <v>#N/A</v>
      </c>
      <c r="P110" s="172" t="e">
        <v>#N/A</v>
      </c>
      <c r="Q110" s="167" t="e">
        <f>IF(Bxl_Outflow!E110=0,#N/A,Bxl_Outflow!E110)</f>
        <v>#N/A</v>
      </c>
      <c r="R110" s="172" t="e">
        <v>#N/A</v>
      </c>
      <c r="S110" s="167" t="e">
        <f>IF(Bxl_Outflow!F110=0,#N/A,Bxl_Outflow!F110)</f>
        <v>#N/A</v>
      </c>
      <c r="T110" s="172" t="e">
        <v>#N/A</v>
      </c>
      <c r="U110" s="167" t="e">
        <f>IF(Bxl_Outflow!G110=0,#N/A,Bxl_Outflow!G110)</f>
        <v>#N/A</v>
      </c>
      <c r="W110" s="222">
        <f>AVERAGE(Bxl_Inflow!B110:B119)</f>
        <v>8529.25</v>
      </c>
      <c r="X110" s="222">
        <f>AVERAGE(Bxl_Inflow!C110:C119)</f>
        <v>203.25</v>
      </c>
      <c r="Y110" s="223">
        <f>AVERAGE(Bxl_Outflow!B110:B119)</f>
        <v>15858.5</v>
      </c>
      <c r="Z110" s="223">
        <f>AVERAGE(Bxl_Outflow!C110:C119)</f>
        <v>327.25</v>
      </c>
      <c r="AA110" s="222">
        <f>AVERAGE(Bxl_Inflow!F110:F119)</f>
        <v>24.573313333333335</v>
      </c>
      <c r="AB110" s="223">
        <f>AVERAGE(Bxl_Outflow!F110:F119)</f>
        <v>24.936673333333335</v>
      </c>
      <c r="AC110" s="222">
        <f>AVERAGE(Bxl_Inflow!G110:G119)</f>
        <v>17.906646666666667</v>
      </c>
      <c r="AD110" s="223">
        <f>AVERAGE(Bxl_Outflow!G110:G119)</f>
        <v>18.270006666666667</v>
      </c>
      <c r="AF110" s="208">
        <f>AVERAGE(Bxl_Outflow!W111:W120)</f>
        <v>-22.114410000000003</v>
      </c>
      <c r="AG110" s="208">
        <f>AVERAGE(Bxl_Outflow!X111:X120)</f>
        <v>-110.57188643509824</v>
      </c>
      <c r="AH110" s="208">
        <f>AVERAGE(Bxl_Outflow!Y111:Y120)</f>
        <v>-221.14373197897103</v>
      </c>
      <c r="AI110" s="208">
        <f>AVERAGE(Bxl_Outflow!Z111:Z120)</f>
        <v>-5.5286025000000008</v>
      </c>
      <c r="AJ110" s="208">
        <f>AVERAGE(Bxl_Outflow!AA111:AA120)</f>
        <v>-27.642971608774559</v>
      </c>
      <c r="AK110" s="208">
        <f>AVERAGE(Bxl_Outflow!AB111:AB120)</f>
        <v>-55.285932994742758</v>
      </c>
    </row>
    <row r="111" spans="1:37" x14ac:dyDescent="0.25">
      <c r="A111" s="94">
        <v>2056</v>
      </c>
      <c r="B111" s="163" t="e">
        <v>#N/A</v>
      </c>
      <c r="C111" s="168" t="e">
        <f>IF(Bxl_Inflow!C111=0,#N/A,Bxl_Inflow!C111)</f>
        <v>#N/A</v>
      </c>
      <c r="D111" s="163" t="e">
        <v>#N/A</v>
      </c>
      <c r="E111" s="168" t="e">
        <f>IF(Bxl_Inflow!D111=0,#N/A,Bxl_Inflow!D111)</f>
        <v>#N/A</v>
      </c>
      <c r="F111" s="163" t="e">
        <v>#N/A</v>
      </c>
      <c r="G111" s="168" t="e">
        <f>IF(Bxl_Inflow!E111=0,#N/A,Bxl_Inflow!E111)</f>
        <v>#N/A</v>
      </c>
      <c r="H111" s="163" t="e">
        <v>#N/A</v>
      </c>
      <c r="I111" s="168" t="e">
        <f>IF(Bxl_Inflow!F111=0,#N/A,Bxl_Inflow!F111)</f>
        <v>#N/A</v>
      </c>
      <c r="J111" s="163" t="e">
        <v>#N/A</v>
      </c>
      <c r="K111" s="168" t="e">
        <f>IF(Bxl_Inflow!G111=0,#N/A,Bxl_Inflow!G111)</f>
        <v>#N/A</v>
      </c>
      <c r="L111" s="172" t="e">
        <v>#N/A</v>
      </c>
      <c r="M111" s="167" t="e">
        <f>IF(Bxl_Outflow!C111=0,#N/A,Bxl_Outflow!C111)</f>
        <v>#N/A</v>
      </c>
      <c r="N111" s="172" t="e">
        <v>#N/A</v>
      </c>
      <c r="O111" s="167" t="e">
        <f>IF(Bxl_Outflow!D111=0,#N/A,Bxl_Outflow!D111)</f>
        <v>#N/A</v>
      </c>
      <c r="P111" s="172" t="e">
        <v>#N/A</v>
      </c>
      <c r="Q111" s="167" t="e">
        <f>IF(Bxl_Outflow!E111=0,#N/A,Bxl_Outflow!E111)</f>
        <v>#N/A</v>
      </c>
      <c r="R111" s="172" t="e">
        <v>#N/A</v>
      </c>
      <c r="S111" s="167" t="e">
        <f>IF(Bxl_Outflow!F111=0,#N/A,Bxl_Outflow!F111)</f>
        <v>#N/A</v>
      </c>
      <c r="T111" s="172" t="e">
        <v>#N/A</v>
      </c>
      <c r="U111" s="167" t="e">
        <f>IF(Bxl_Outflow!G111=0,#N/A,Bxl_Outflow!G111)</f>
        <v>#N/A</v>
      </c>
      <c r="W111" s="224"/>
      <c r="X111" s="224"/>
      <c r="Y111" s="224"/>
      <c r="Z111" s="224"/>
      <c r="AA111" s="224"/>
      <c r="AB111" s="224"/>
      <c r="AC111" s="224"/>
      <c r="AD111" s="224"/>
      <c r="AF111" s="204"/>
      <c r="AG111" s="204"/>
      <c r="AH111" s="204"/>
      <c r="AI111" s="204"/>
      <c r="AJ111" s="204"/>
      <c r="AK111" s="204"/>
    </row>
    <row r="112" spans="1:37" x14ac:dyDescent="0.25">
      <c r="A112" s="94">
        <v>2057</v>
      </c>
      <c r="B112" s="163" t="e">
        <v>#N/A</v>
      </c>
      <c r="C112" s="168" t="e">
        <f>IF(Bxl_Inflow!C112=0,#N/A,Bxl_Inflow!C112)</f>
        <v>#N/A</v>
      </c>
      <c r="D112" s="163" t="e">
        <v>#N/A</v>
      </c>
      <c r="E112" s="168" t="e">
        <f>IF(Bxl_Inflow!D112=0,#N/A,Bxl_Inflow!D112)</f>
        <v>#N/A</v>
      </c>
      <c r="F112" s="163" t="e">
        <v>#N/A</v>
      </c>
      <c r="G112" s="168" t="e">
        <f>IF(Bxl_Inflow!E112=0,#N/A,Bxl_Inflow!E112)</f>
        <v>#N/A</v>
      </c>
      <c r="H112" s="163" t="e">
        <v>#N/A</v>
      </c>
      <c r="I112" s="168" t="e">
        <f>IF(Bxl_Inflow!F112=0,#N/A,Bxl_Inflow!F112)</f>
        <v>#N/A</v>
      </c>
      <c r="J112" s="163" t="e">
        <v>#N/A</v>
      </c>
      <c r="K112" s="168" t="e">
        <f>IF(Bxl_Inflow!G112=0,#N/A,Bxl_Inflow!G112)</f>
        <v>#N/A</v>
      </c>
      <c r="L112" s="172" t="e">
        <v>#N/A</v>
      </c>
      <c r="M112" s="167" t="e">
        <f>IF(Bxl_Outflow!C112=0,#N/A,Bxl_Outflow!C112)</f>
        <v>#N/A</v>
      </c>
      <c r="N112" s="172" t="e">
        <v>#N/A</v>
      </c>
      <c r="O112" s="167" t="e">
        <f>IF(Bxl_Outflow!D112=0,#N/A,Bxl_Outflow!D112)</f>
        <v>#N/A</v>
      </c>
      <c r="P112" s="172" t="e">
        <v>#N/A</v>
      </c>
      <c r="Q112" s="167" t="e">
        <f>IF(Bxl_Outflow!E112=0,#N/A,Bxl_Outflow!E112)</f>
        <v>#N/A</v>
      </c>
      <c r="R112" s="172" t="e">
        <v>#N/A</v>
      </c>
      <c r="S112" s="167" t="e">
        <f>IF(Bxl_Outflow!F112=0,#N/A,Bxl_Outflow!F112)</f>
        <v>#N/A</v>
      </c>
      <c r="T112" s="172" t="e">
        <v>#N/A</v>
      </c>
      <c r="U112" s="167" t="e">
        <f>IF(Bxl_Outflow!G112=0,#N/A,Bxl_Outflow!G112)</f>
        <v>#N/A</v>
      </c>
      <c r="W112" s="224"/>
      <c r="X112" s="224"/>
      <c r="Y112" s="224"/>
      <c r="Z112" s="224"/>
      <c r="AA112" s="224"/>
      <c r="AB112" s="224"/>
      <c r="AC112" s="224"/>
      <c r="AD112" s="224"/>
      <c r="AF112" s="204"/>
      <c r="AG112" s="204"/>
      <c r="AH112" s="204"/>
      <c r="AI112" s="204"/>
      <c r="AJ112" s="204"/>
      <c r="AK112" s="204"/>
    </row>
    <row r="113" spans="1:37" x14ac:dyDescent="0.25">
      <c r="A113" s="94">
        <v>2058</v>
      </c>
      <c r="B113" s="163" t="e">
        <v>#N/A</v>
      </c>
      <c r="C113" s="168" t="e">
        <f>IF(Bxl_Inflow!C113=0,#N/A,Bxl_Inflow!C113)</f>
        <v>#N/A</v>
      </c>
      <c r="D113" s="163" t="e">
        <v>#N/A</v>
      </c>
      <c r="E113" s="168" t="e">
        <f>IF(Bxl_Inflow!D113=0,#N/A,Bxl_Inflow!D113)</f>
        <v>#N/A</v>
      </c>
      <c r="F113" s="163" t="e">
        <v>#N/A</v>
      </c>
      <c r="G113" s="168" t="e">
        <f>IF(Bxl_Inflow!E113=0,#N/A,Bxl_Inflow!E113)</f>
        <v>#N/A</v>
      </c>
      <c r="H113" s="163" t="e">
        <v>#N/A</v>
      </c>
      <c r="I113" s="168" t="e">
        <f>IF(Bxl_Inflow!F113=0,#N/A,Bxl_Inflow!F113)</f>
        <v>#N/A</v>
      </c>
      <c r="J113" s="163" t="e">
        <v>#N/A</v>
      </c>
      <c r="K113" s="168" t="e">
        <f>IF(Bxl_Inflow!G113=0,#N/A,Bxl_Inflow!G113)</f>
        <v>#N/A</v>
      </c>
      <c r="L113" s="172" t="e">
        <v>#N/A</v>
      </c>
      <c r="M113" s="167" t="e">
        <f>IF(Bxl_Outflow!C113=0,#N/A,Bxl_Outflow!C113)</f>
        <v>#N/A</v>
      </c>
      <c r="N113" s="172" t="e">
        <v>#N/A</v>
      </c>
      <c r="O113" s="167" t="e">
        <f>IF(Bxl_Outflow!D113=0,#N/A,Bxl_Outflow!D113)</f>
        <v>#N/A</v>
      </c>
      <c r="P113" s="172" t="e">
        <v>#N/A</v>
      </c>
      <c r="Q113" s="167" t="e">
        <f>IF(Bxl_Outflow!E113=0,#N/A,Bxl_Outflow!E113)</f>
        <v>#N/A</v>
      </c>
      <c r="R113" s="172" t="e">
        <v>#N/A</v>
      </c>
      <c r="S113" s="167" t="e">
        <f>IF(Bxl_Outflow!F113=0,#N/A,Bxl_Outflow!F113)</f>
        <v>#N/A</v>
      </c>
      <c r="T113" s="172" t="e">
        <v>#N/A</v>
      </c>
      <c r="U113" s="167" t="e">
        <f>IF(Bxl_Outflow!G113=0,#N/A,Bxl_Outflow!G113)</f>
        <v>#N/A</v>
      </c>
      <c r="W113" s="224"/>
      <c r="X113" s="224"/>
      <c r="Y113" s="224"/>
      <c r="Z113" s="224"/>
      <c r="AA113" s="224"/>
      <c r="AB113" s="224"/>
      <c r="AC113" s="224"/>
      <c r="AD113" s="224"/>
      <c r="AF113" s="204"/>
      <c r="AG113" s="204"/>
      <c r="AH113" s="204"/>
      <c r="AI113" s="204"/>
      <c r="AJ113" s="204"/>
      <c r="AK113" s="204"/>
    </row>
    <row r="114" spans="1:37" x14ac:dyDescent="0.25">
      <c r="A114" s="94">
        <v>2059</v>
      </c>
      <c r="B114" s="163" t="e">
        <v>#N/A</v>
      </c>
      <c r="C114" s="168" t="e">
        <f>IF(Bxl_Inflow!C114=0,#N/A,Bxl_Inflow!C114)</f>
        <v>#N/A</v>
      </c>
      <c r="D114" s="163" t="e">
        <v>#N/A</v>
      </c>
      <c r="E114" s="168" t="e">
        <f>IF(Bxl_Inflow!D114=0,#N/A,Bxl_Inflow!D114)</f>
        <v>#N/A</v>
      </c>
      <c r="F114" s="163" t="e">
        <v>#N/A</v>
      </c>
      <c r="G114" s="168" t="e">
        <f>IF(Bxl_Inflow!E114=0,#N/A,Bxl_Inflow!E114)</f>
        <v>#N/A</v>
      </c>
      <c r="H114" s="163" t="e">
        <v>#N/A</v>
      </c>
      <c r="I114" s="168" t="e">
        <f>IF(Bxl_Inflow!F114=0,#N/A,Bxl_Inflow!F114)</f>
        <v>#N/A</v>
      </c>
      <c r="J114" s="163" t="e">
        <v>#N/A</v>
      </c>
      <c r="K114" s="168" t="e">
        <f>IF(Bxl_Inflow!G114=0,#N/A,Bxl_Inflow!G114)</f>
        <v>#N/A</v>
      </c>
      <c r="L114" s="172" t="e">
        <v>#N/A</v>
      </c>
      <c r="M114" s="167" t="e">
        <f>IF(Bxl_Outflow!C114=0,#N/A,Bxl_Outflow!C114)</f>
        <v>#N/A</v>
      </c>
      <c r="N114" s="172" t="e">
        <v>#N/A</v>
      </c>
      <c r="O114" s="167" t="e">
        <f>IF(Bxl_Outflow!D114=0,#N/A,Bxl_Outflow!D114)</f>
        <v>#N/A</v>
      </c>
      <c r="P114" s="172" t="e">
        <v>#N/A</v>
      </c>
      <c r="Q114" s="167" t="e">
        <f>IF(Bxl_Outflow!E114=0,#N/A,Bxl_Outflow!E114)</f>
        <v>#N/A</v>
      </c>
      <c r="R114" s="172" t="e">
        <v>#N/A</v>
      </c>
      <c r="S114" s="167" t="e">
        <f>IF(Bxl_Outflow!F114=0,#N/A,Bxl_Outflow!F114)</f>
        <v>#N/A</v>
      </c>
      <c r="T114" s="172" t="e">
        <v>#N/A</v>
      </c>
      <c r="U114" s="167" t="e">
        <f>IF(Bxl_Outflow!G114=0,#N/A,Bxl_Outflow!G114)</f>
        <v>#N/A</v>
      </c>
      <c r="W114" s="224"/>
      <c r="X114" s="224"/>
      <c r="Y114" s="224"/>
      <c r="Z114" s="224"/>
      <c r="AA114" s="224"/>
      <c r="AB114" s="224"/>
      <c r="AC114" s="224"/>
      <c r="AD114" s="224"/>
      <c r="AF114" s="204"/>
      <c r="AG114" s="204"/>
      <c r="AH114" s="204"/>
      <c r="AI114" s="204"/>
      <c r="AJ114" s="204"/>
      <c r="AK114" s="204"/>
    </row>
    <row r="115" spans="1:37" x14ac:dyDescent="0.25">
      <c r="A115" s="94">
        <v>2060</v>
      </c>
      <c r="B115" s="163" t="e">
        <v>#N/A</v>
      </c>
      <c r="C115" s="168">
        <f>IF(Bxl_Inflow!C115=0,#N/A,Bxl_Inflow!C115)</f>
        <v>1047.5999999999999</v>
      </c>
      <c r="D115" s="163" t="e">
        <v>#N/A</v>
      </c>
      <c r="E115" s="168" t="e">
        <f>IF(Bxl_Inflow!D115=0,#N/A,Bxl_Inflow!D115)</f>
        <v>#N/A</v>
      </c>
      <c r="F115" s="163" t="e">
        <v>#N/A</v>
      </c>
      <c r="G115" s="168">
        <f>IF(Bxl_Inflow!E115=0,#N/A,Bxl_Inflow!E115)</f>
        <v>1047.5999999999999</v>
      </c>
      <c r="H115" s="163" t="e">
        <v>#N/A</v>
      </c>
      <c r="I115" s="168">
        <f>IF(Bxl_Inflow!F115=0,#N/A,Bxl_Inflow!F115)</f>
        <v>57.229199999999999</v>
      </c>
      <c r="J115" s="163" t="e">
        <v>#N/A</v>
      </c>
      <c r="K115" s="168">
        <f>IF(Bxl_Inflow!G115=0,#N/A,Bxl_Inflow!G115)</f>
        <v>57.229199999999999</v>
      </c>
      <c r="L115" s="172" t="e">
        <v>#N/A</v>
      </c>
      <c r="M115" s="167">
        <f>IF(Bxl_Outflow!C115=0,#N/A,Bxl_Outflow!C115)</f>
        <v>1047.5999999999999</v>
      </c>
      <c r="N115" s="172" t="e">
        <v>#N/A</v>
      </c>
      <c r="O115" s="167" t="e">
        <f>IF(Bxl_Outflow!D115=0,#N/A,Bxl_Outflow!D115)</f>
        <v>#N/A</v>
      </c>
      <c r="P115" s="172" t="e">
        <v>#N/A</v>
      </c>
      <c r="Q115" s="167">
        <f>IF(Bxl_Outflow!E115=0,#N/A,Bxl_Outflow!E115)</f>
        <v>1047.5999999999999</v>
      </c>
      <c r="R115" s="172" t="e">
        <v>#N/A</v>
      </c>
      <c r="S115" s="167">
        <f>IF(Bxl_Outflow!F115=0,#N/A,Bxl_Outflow!F115)</f>
        <v>57.229199999999999</v>
      </c>
      <c r="T115" s="172" t="e">
        <v>#N/A</v>
      </c>
      <c r="U115" s="167">
        <f>IF(Bxl_Outflow!G115=0,#N/A,Bxl_Outflow!G115)</f>
        <v>57.229199999999999</v>
      </c>
      <c r="W115" s="224"/>
      <c r="X115" s="224"/>
      <c r="Y115" s="224"/>
      <c r="Z115" s="224"/>
      <c r="AA115" s="224"/>
      <c r="AB115" s="224"/>
      <c r="AC115" s="224"/>
      <c r="AD115" s="224"/>
      <c r="AF115" s="204"/>
      <c r="AG115" s="204"/>
      <c r="AH115" s="204"/>
      <c r="AI115" s="204"/>
      <c r="AJ115" s="204"/>
      <c r="AK115" s="204"/>
    </row>
    <row r="116" spans="1:37" x14ac:dyDescent="0.25">
      <c r="A116" s="94">
        <v>2061</v>
      </c>
      <c r="B116" s="163" t="e">
        <v>#N/A</v>
      </c>
      <c r="C116" s="168">
        <f>IF(Bxl_Inflow!C116=0,#N/A,Bxl_Inflow!C116)</f>
        <v>453.6</v>
      </c>
      <c r="D116" s="163" t="e">
        <v>#N/A</v>
      </c>
      <c r="E116" s="168" t="e">
        <f>IF(Bxl_Inflow!D116=0,#N/A,Bxl_Inflow!D116)</f>
        <v>#N/A</v>
      </c>
      <c r="F116" s="163" t="e">
        <v>#N/A</v>
      </c>
      <c r="G116" s="168">
        <f>IF(Bxl_Inflow!E116=0,#N/A,Bxl_Inflow!E116)</f>
        <v>453.6</v>
      </c>
      <c r="H116" s="163" t="e">
        <v>#N/A</v>
      </c>
      <c r="I116" s="168">
        <f>IF(Bxl_Inflow!F116=0,#N/A,Bxl_Inflow!F116)</f>
        <v>22.5792</v>
      </c>
      <c r="J116" s="163" t="e">
        <v>#N/A</v>
      </c>
      <c r="K116" s="168">
        <f>IF(Bxl_Inflow!G116=0,#N/A,Bxl_Inflow!G116)</f>
        <v>22.5792</v>
      </c>
      <c r="L116" s="172" t="e">
        <v>#N/A</v>
      </c>
      <c r="M116" s="167">
        <f>IF(Bxl_Outflow!C116=0,#N/A,Bxl_Outflow!C116)</f>
        <v>453.6</v>
      </c>
      <c r="N116" s="172" t="e">
        <v>#N/A</v>
      </c>
      <c r="O116" s="167" t="e">
        <f>IF(Bxl_Outflow!D116=0,#N/A,Bxl_Outflow!D116)</f>
        <v>#N/A</v>
      </c>
      <c r="P116" s="172" t="e">
        <v>#N/A</v>
      </c>
      <c r="Q116" s="167">
        <f>IF(Bxl_Outflow!E116=0,#N/A,Bxl_Outflow!E116)</f>
        <v>453.6</v>
      </c>
      <c r="R116" s="172" t="e">
        <v>#N/A</v>
      </c>
      <c r="S116" s="167">
        <f>IF(Bxl_Outflow!F116=0,#N/A,Bxl_Outflow!F116)</f>
        <v>22.5792</v>
      </c>
      <c r="T116" s="172" t="e">
        <v>#N/A</v>
      </c>
      <c r="U116" s="167">
        <f>IF(Bxl_Outflow!G116=0,#N/A,Bxl_Outflow!G116)</f>
        <v>22.5792</v>
      </c>
      <c r="W116" s="224"/>
      <c r="X116" s="224"/>
      <c r="Y116" s="224"/>
      <c r="Z116" s="224"/>
      <c r="AA116" s="224"/>
      <c r="AB116" s="224"/>
      <c r="AC116" s="224"/>
      <c r="AD116" s="224"/>
      <c r="AF116" s="204"/>
      <c r="AG116" s="204"/>
      <c r="AH116" s="204"/>
      <c r="AI116" s="204"/>
      <c r="AJ116" s="204"/>
      <c r="AK116" s="204"/>
    </row>
    <row r="117" spans="1:37" x14ac:dyDescent="0.25">
      <c r="A117" s="94">
        <v>2062</v>
      </c>
      <c r="B117" s="163" t="e">
        <v>#N/A</v>
      </c>
      <c r="C117" s="168">
        <f>IF(Bxl_Inflow!C117=0,#N/A,Bxl_Inflow!C117)</f>
        <v>531.30000000000007</v>
      </c>
      <c r="D117" s="163" t="e">
        <v>#N/A</v>
      </c>
      <c r="E117" s="168" t="e">
        <f>IF(Bxl_Inflow!D117=0,#N/A,Bxl_Inflow!D117)</f>
        <v>#N/A</v>
      </c>
      <c r="F117" s="163" t="e">
        <v>#N/A</v>
      </c>
      <c r="G117" s="168">
        <f>IF(Bxl_Inflow!E117=0,#N/A,Bxl_Inflow!E117)</f>
        <v>531.30000000000007</v>
      </c>
      <c r="H117" s="163" t="e">
        <v>#N/A</v>
      </c>
      <c r="I117" s="168">
        <f>IF(Bxl_Inflow!F117=0,#N/A,Bxl_Inflow!F117)</f>
        <v>32.5914</v>
      </c>
      <c r="J117" s="163" t="e">
        <v>#N/A</v>
      </c>
      <c r="K117" s="168">
        <f>IF(Bxl_Inflow!G117=0,#N/A,Bxl_Inflow!G117)</f>
        <v>32.5914</v>
      </c>
      <c r="L117" s="172" t="e">
        <v>#N/A</v>
      </c>
      <c r="M117" s="167">
        <f>IF(Bxl_Outflow!C117=0,#N/A,Bxl_Outflow!C117)</f>
        <v>531.30000000000007</v>
      </c>
      <c r="N117" s="172" t="e">
        <v>#N/A</v>
      </c>
      <c r="O117" s="167" t="e">
        <f>IF(Bxl_Outflow!D117=0,#N/A,Bxl_Outflow!D117)</f>
        <v>#N/A</v>
      </c>
      <c r="P117" s="172" t="e">
        <v>#N/A</v>
      </c>
      <c r="Q117" s="167">
        <f>IF(Bxl_Outflow!E117=0,#N/A,Bxl_Outflow!E117)</f>
        <v>531.30000000000007</v>
      </c>
      <c r="R117" s="172" t="e">
        <v>#N/A</v>
      </c>
      <c r="S117" s="167">
        <f>IF(Bxl_Outflow!F117=0,#N/A,Bxl_Outflow!F117)</f>
        <v>36.225000000000001</v>
      </c>
      <c r="T117" s="172" t="e">
        <v>#N/A</v>
      </c>
      <c r="U117" s="167">
        <f>IF(Bxl_Outflow!G117=0,#N/A,Bxl_Outflow!G117)</f>
        <v>36.225000000000001</v>
      </c>
      <c r="W117" s="224"/>
      <c r="X117" s="224"/>
      <c r="Y117" s="224"/>
      <c r="Z117" s="224"/>
      <c r="AA117" s="224"/>
      <c r="AB117" s="224"/>
      <c r="AC117" s="224"/>
      <c r="AD117" s="224"/>
      <c r="AF117" s="204"/>
      <c r="AG117" s="204"/>
      <c r="AH117" s="204"/>
      <c r="AI117" s="204"/>
      <c r="AJ117" s="204"/>
      <c r="AK117" s="204"/>
    </row>
    <row r="118" spans="1:37" x14ac:dyDescent="0.25">
      <c r="A118" s="94">
        <v>2063</v>
      </c>
      <c r="B118" s="163" t="e">
        <v>#N/A</v>
      </c>
      <c r="C118" s="168" t="e">
        <f>IF(Bxl_Inflow!C118=0,#N/A,Bxl_Inflow!C118)</f>
        <v>#N/A</v>
      </c>
      <c r="D118" s="163" t="e">
        <v>#N/A</v>
      </c>
      <c r="E118" s="168">
        <f>IF(Bxl_Inflow!D118=0,#N/A,Bxl_Inflow!D118)</f>
        <v>240</v>
      </c>
      <c r="F118" s="163" t="e">
        <v>#N/A</v>
      </c>
      <c r="G118" s="168">
        <f>IF(Bxl_Inflow!E118=0,#N/A,Bxl_Inflow!E118)</f>
        <v>1000</v>
      </c>
      <c r="H118" s="163" t="e">
        <v>#N/A</v>
      </c>
      <c r="I118" s="168">
        <f>IF(Bxl_Inflow!F118=0,#N/A,Bxl_Inflow!F118)</f>
        <v>133.33333333333334</v>
      </c>
      <c r="J118" s="163" t="e">
        <v>#N/A</v>
      </c>
      <c r="K118" s="168">
        <f>IF(Bxl_Inflow!G118=0,#N/A,Bxl_Inflow!G118)</f>
        <v>66.666666666666671</v>
      </c>
      <c r="L118" s="172" t="e">
        <v>#N/A</v>
      </c>
      <c r="M118" s="167">
        <f>IF(Bxl_Outflow!C118=0,#N/A,Bxl_Outflow!C118)</f>
        <v>1240</v>
      </c>
      <c r="N118" s="172" t="e">
        <v>#N/A</v>
      </c>
      <c r="O118" s="167">
        <f>IF(Bxl_Outflow!D118=0,#N/A,Bxl_Outflow!D118)</f>
        <v>240</v>
      </c>
      <c r="P118" s="172" t="e">
        <v>#N/A</v>
      </c>
      <c r="Q118" s="167">
        <f>IF(Bxl_Outflow!E118=0,#N/A,Bxl_Outflow!E118)</f>
        <v>1000</v>
      </c>
      <c r="R118" s="172" t="e">
        <v>#N/A</v>
      </c>
      <c r="S118" s="167">
        <f>IF(Bxl_Outflow!F118=0,#N/A,Bxl_Outflow!F118)</f>
        <v>133.33333333333334</v>
      </c>
      <c r="T118" s="172" t="e">
        <v>#N/A</v>
      </c>
      <c r="U118" s="167">
        <f>IF(Bxl_Outflow!G118=0,#N/A,Bxl_Outflow!G118)</f>
        <v>66.666666666666671</v>
      </c>
      <c r="W118" s="224"/>
      <c r="X118" s="224"/>
      <c r="Y118" s="224"/>
      <c r="Z118" s="224"/>
      <c r="AA118" s="224"/>
      <c r="AB118" s="224"/>
      <c r="AC118" s="224"/>
      <c r="AD118" s="224"/>
      <c r="AF118" s="204"/>
      <c r="AG118" s="204"/>
      <c r="AH118" s="204"/>
      <c r="AI118" s="204"/>
      <c r="AJ118" s="204"/>
      <c r="AK118" s="204"/>
    </row>
    <row r="119" spans="1:37" x14ac:dyDescent="0.25">
      <c r="A119" s="94">
        <v>2064</v>
      </c>
      <c r="B119" s="163" t="e">
        <v>#N/A</v>
      </c>
      <c r="C119" s="168" t="e">
        <f>IF(Bxl_Inflow!C119=0,#N/A,Bxl_Inflow!C119)</f>
        <v>#N/A</v>
      </c>
      <c r="D119" s="163" t="e">
        <v>#N/A</v>
      </c>
      <c r="E119" s="168" t="e">
        <f>IF(Bxl_Inflow!D119=0,#N/A,Bxl_Inflow!D119)</f>
        <v>#N/A</v>
      </c>
      <c r="F119" s="163" t="e">
        <v>#N/A</v>
      </c>
      <c r="G119" s="168" t="e">
        <f>IF(Bxl_Inflow!E119=0,#N/A,Bxl_Inflow!E119)</f>
        <v>#N/A</v>
      </c>
      <c r="H119" s="163" t="e">
        <v>#N/A</v>
      </c>
      <c r="I119" s="168" t="e">
        <f>IF(Bxl_Inflow!F119=0,#N/A,Bxl_Inflow!F119)</f>
        <v>#N/A</v>
      </c>
      <c r="J119" s="163" t="e">
        <v>#N/A</v>
      </c>
      <c r="K119" s="168" t="e">
        <f>IF(Bxl_Inflow!G119=0,#N/A,Bxl_Inflow!G119)</f>
        <v>#N/A</v>
      </c>
      <c r="L119" s="172" t="e">
        <v>#N/A</v>
      </c>
      <c r="M119" s="167" t="e">
        <f>IF(Bxl_Outflow!C119=0,#N/A,Bxl_Outflow!C119)</f>
        <v>#N/A</v>
      </c>
      <c r="N119" s="172" t="e">
        <v>#N/A</v>
      </c>
      <c r="O119" s="167" t="e">
        <f>IF(Bxl_Outflow!D119=0,#N/A,Bxl_Outflow!D119)</f>
        <v>#N/A</v>
      </c>
      <c r="P119" s="172" t="e">
        <v>#N/A</v>
      </c>
      <c r="Q119" s="167" t="e">
        <f>IF(Bxl_Outflow!E119=0,#N/A,Bxl_Outflow!E119)</f>
        <v>#N/A</v>
      </c>
      <c r="R119" s="172" t="e">
        <v>#N/A</v>
      </c>
      <c r="S119" s="167" t="e">
        <f>IF(Bxl_Outflow!F119=0,#N/A,Bxl_Outflow!F119)</f>
        <v>#N/A</v>
      </c>
      <c r="T119" s="172" t="e">
        <v>#N/A</v>
      </c>
      <c r="U119" s="167" t="e">
        <f>IF(Bxl_Outflow!G119=0,#N/A,Bxl_Outflow!G119)</f>
        <v>#N/A</v>
      </c>
      <c r="W119" s="224"/>
      <c r="X119" s="224"/>
      <c r="Y119" s="224"/>
      <c r="Z119" s="224"/>
      <c r="AA119" s="224"/>
      <c r="AB119" s="224"/>
      <c r="AC119" s="224"/>
      <c r="AD119" s="224"/>
      <c r="AF119" s="204"/>
      <c r="AG119" s="204"/>
      <c r="AH119" s="204"/>
      <c r="AI119" s="204"/>
      <c r="AJ119" s="204"/>
      <c r="AK119" s="204"/>
    </row>
    <row r="120" spans="1:37" x14ac:dyDescent="0.25">
      <c r="A120" s="94">
        <v>2065</v>
      </c>
      <c r="B120" s="163" t="e">
        <v>#N/A</v>
      </c>
      <c r="C120" s="168">
        <f>IF(Bxl_Inflow!C120=0,#N/A,Bxl_Inflow!C120)</f>
        <v>654.31406249999998</v>
      </c>
      <c r="D120" s="163" t="e">
        <v>#N/A</v>
      </c>
      <c r="E120" s="168" t="e">
        <f>IF(Bxl_Inflow!D120=0,#N/A,Bxl_Inflow!D120)</f>
        <v>#N/A</v>
      </c>
      <c r="F120" s="163" t="e">
        <v>#N/A</v>
      </c>
      <c r="G120" s="168">
        <f>IF(Bxl_Inflow!E120=0,#N/A,Bxl_Inflow!E120)</f>
        <v>654.31406249999998</v>
      </c>
      <c r="H120" s="163" t="e">
        <v>#N/A</v>
      </c>
      <c r="I120" s="168">
        <f>IF(Bxl_Inflow!F120=0,#N/A,Bxl_Inflow!F120)</f>
        <v>32.5914</v>
      </c>
      <c r="J120" s="163" t="e">
        <v>#N/A</v>
      </c>
      <c r="K120" s="168">
        <f>IF(Bxl_Inflow!G120=0,#N/A,Bxl_Inflow!G120)</f>
        <v>32.5914</v>
      </c>
      <c r="L120" s="172" t="e">
        <v>#N/A</v>
      </c>
      <c r="M120" s="167">
        <f>IF(Bxl_Outflow!C120=0,#N/A,Bxl_Outflow!C120)</f>
        <v>413.23499999999996</v>
      </c>
      <c r="N120" s="172" t="e">
        <v>#N/A</v>
      </c>
      <c r="O120" s="167" t="e">
        <f>IF(Bxl_Outflow!D120=0,#N/A,Bxl_Outflow!D120)</f>
        <v>#N/A</v>
      </c>
      <c r="P120" s="172" t="e">
        <v>#N/A</v>
      </c>
      <c r="Q120" s="167">
        <f>IF(Bxl_Outflow!E120=0,#N/A,Bxl_Outflow!E120)</f>
        <v>413.23499999999996</v>
      </c>
      <c r="R120" s="172" t="e">
        <v>#N/A</v>
      </c>
      <c r="S120" s="167">
        <f>IF(Bxl_Outflow!F120=0,#N/A,Bxl_Outflow!F120)</f>
        <v>20.187200000000001</v>
      </c>
      <c r="T120" s="172" t="e">
        <v>#N/A</v>
      </c>
      <c r="U120" s="167">
        <f>IF(Bxl_Outflow!G120=0,#N/A,Bxl_Outflow!G120)</f>
        <v>20.187200000000001</v>
      </c>
      <c r="W120" s="222">
        <f>AVERAGE(Bxl_Inflow!B120:B129)</f>
        <v>2423.3854166666665</v>
      </c>
      <c r="X120" s="222">
        <f>AVERAGE(Bxl_Inflow!C120:C129)</f>
        <v>109.05234374999999</v>
      </c>
      <c r="Y120" s="223">
        <f>AVERAGE(Bxl_Outflow!B120:B129)</f>
        <v>3061</v>
      </c>
      <c r="Z120" s="223">
        <f>AVERAGE(Bxl_Outflow!C120:C129)</f>
        <v>68.872499999999988</v>
      </c>
      <c r="AA120" s="222">
        <f>AVERAGE(Bxl_Inflow!F120:F129)</f>
        <v>5.4318999999999997</v>
      </c>
      <c r="AB120" s="223">
        <f>AVERAGE(Bxl_Outflow!F120:F129)</f>
        <v>3.3645333333333336</v>
      </c>
      <c r="AC120" s="222">
        <f>AVERAGE(Bxl_Inflow!G120:G129)</f>
        <v>5.4318999999999997</v>
      </c>
      <c r="AD120" s="223">
        <f>AVERAGE(Bxl_Outflow!G120:G129)</f>
        <v>3.3645333333333336</v>
      </c>
      <c r="AF120" s="208">
        <f>AVERAGE(Bxl_Outflow!W121:W130)</f>
        <v>0</v>
      </c>
      <c r="AG120" s="208">
        <f>AVERAGE(Bxl_Outflow!X121:X130)</f>
        <v>0</v>
      </c>
      <c r="AH120" s="208">
        <f>AVERAGE(Bxl_Outflow!Y121:Y130)</f>
        <v>0</v>
      </c>
      <c r="AI120" s="208">
        <f>AVERAGE(Bxl_Outflow!Z121:Z130)</f>
        <v>0</v>
      </c>
      <c r="AJ120" s="208">
        <f>AVERAGE(Bxl_Outflow!AA121:AA130)</f>
        <v>0</v>
      </c>
      <c r="AK120" s="208">
        <f>AVERAGE(Bxl_Outflow!AB121:AB130)</f>
        <v>0</v>
      </c>
    </row>
    <row r="121" spans="1:37" x14ac:dyDescent="0.25">
      <c r="A121" s="94">
        <v>2066</v>
      </c>
      <c r="B121" s="163" t="e">
        <v>#N/A</v>
      </c>
      <c r="C121" s="168" t="e">
        <f>IF(Bxl_Inflow!C121=0,#N/A,Bxl_Inflow!C121)</f>
        <v>#N/A</v>
      </c>
      <c r="D121" s="163" t="e">
        <v>#N/A</v>
      </c>
      <c r="E121" s="168" t="e">
        <f>IF(Bxl_Inflow!D121=0,#N/A,Bxl_Inflow!D121)</f>
        <v>#N/A</v>
      </c>
      <c r="F121" s="163" t="e">
        <v>#N/A</v>
      </c>
      <c r="G121" s="168" t="e">
        <f>IF(Bxl_Inflow!E121=0,#N/A,Bxl_Inflow!E121)</f>
        <v>#N/A</v>
      </c>
      <c r="H121" s="163" t="e">
        <v>#N/A</v>
      </c>
      <c r="I121" s="168" t="e">
        <f>IF(Bxl_Inflow!F121=0,#N/A,Bxl_Inflow!F121)</f>
        <v>#N/A</v>
      </c>
      <c r="J121" s="163" t="e">
        <v>#N/A</v>
      </c>
      <c r="K121" s="168" t="e">
        <f>IF(Bxl_Inflow!G121=0,#N/A,Bxl_Inflow!G121)</f>
        <v>#N/A</v>
      </c>
      <c r="L121" s="172" t="e">
        <v>#N/A</v>
      </c>
      <c r="M121" s="167" t="e">
        <f>IF(Bxl_Outflow!C121=0,#N/A,Bxl_Outflow!C121)</f>
        <v>#N/A</v>
      </c>
      <c r="N121" s="172" t="e">
        <v>#N/A</v>
      </c>
      <c r="O121" s="167" t="e">
        <f>IF(Bxl_Outflow!D121=0,#N/A,Bxl_Outflow!D121)</f>
        <v>#N/A</v>
      </c>
      <c r="P121" s="172" t="e">
        <v>#N/A</v>
      </c>
      <c r="Q121" s="167" t="e">
        <f>IF(Bxl_Outflow!E121=0,#N/A,Bxl_Outflow!E121)</f>
        <v>#N/A</v>
      </c>
      <c r="R121" s="172" t="e">
        <v>#N/A</v>
      </c>
      <c r="S121" s="167" t="e">
        <f>IF(Bxl_Outflow!F121=0,#N/A,Bxl_Outflow!F121)</f>
        <v>#N/A</v>
      </c>
      <c r="T121" s="172" t="e">
        <v>#N/A</v>
      </c>
      <c r="U121" s="167" t="e">
        <f>IF(Bxl_Outflow!G121=0,#N/A,Bxl_Outflow!G121)</f>
        <v>#N/A</v>
      </c>
      <c r="AF121" s="204"/>
      <c r="AG121" s="204"/>
      <c r="AH121" s="204"/>
      <c r="AI121" s="204"/>
      <c r="AJ121" s="204"/>
      <c r="AK121" s="204"/>
    </row>
    <row r="122" spans="1:37" x14ac:dyDescent="0.25">
      <c r="A122" s="94">
        <v>2067</v>
      </c>
      <c r="B122" s="163" t="e">
        <v>#N/A</v>
      </c>
      <c r="C122" s="168" t="e">
        <f>IF(Bxl_Inflow!C122=0,#N/A,Bxl_Inflow!C122)</f>
        <v>#N/A</v>
      </c>
      <c r="D122" s="163" t="e">
        <v>#N/A</v>
      </c>
      <c r="E122" s="168" t="e">
        <f>IF(Bxl_Inflow!D122=0,#N/A,Bxl_Inflow!D122)</f>
        <v>#N/A</v>
      </c>
      <c r="F122" s="163" t="e">
        <v>#N/A</v>
      </c>
      <c r="G122" s="168" t="e">
        <f>IF(Bxl_Inflow!E122=0,#N/A,Bxl_Inflow!E122)</f>
        <v>#N/A</v>
      </c>
      <c r="H122" s="163" t="e">
        <v>#N/A</v>
      </c>
      <c r="I122" s="168" t="e">
        <f>IF(Bxl_Inflow!F122=0,#N/A,Bxl_Inflow!F122)</f>
        <v>#N/A</v>
      </c>
      <c r="J122" s="163" t="e">
        <v>#N/A</v>
      </c>
      <c r="K122" s="168" t="e">
        <f>IF(Bxl_Inflow!G122=0,#N/A,Bxl_Inflow!G122)</f>
        <v>#N/A</v>
      </c>
      <c r="L122" s="172" t="e">
        <v>#N/A</v>
      </c>
      <c r="M122" s="167" t="e">
        <f>IF(Bxl_Outflow!C122=0,#N/A,Bxl_Outflow!C122)</f>
        <v>#N/A</v>
      </c>
      <c r="N122" s="172" t="e">
        <v>#N/A</v>
      </c>
      <c r="O122" s="167" t="e">
        <f>IF(Bxl_Outflow!D122=0,#N/A,Bxl_Outflow!D122)</f>
        <v>#N/A</v>
      </c>
      <c r="P122" s="172" t="e">
        <v>#N/A</v>
      </c>
      <c r="Q122" s="167" t="e">
        <f>IF(Bxl_Outflow!E122=0,#N/A,Bxl_Outflow!E122)</f>
        <v>#N/A</v>
      </c>
      <c r="R122" s="172" t="e">
        <v>#N/A</v>
      </c>
      <c r="S122" s="167" t="e">
        <f>IF(Bxl_Outflow!F122=0,#N/A,Bxl_Outflow!F122)</f>
        <v>#N/A</v>
      </c>
      <c r="T122" s="172" t="e">
        <v>#N/A</v>
      </c>
      <c r="U122" s="167" t="e">
        <f>IF(Bxl_Outflow!G122=0,#N/A,Bxl_Outflow!G122)</f>
        <v>#N/A</v>
      </c>
      <c r="AF122" s="204"/>
      <c r="AG122" s="204"/>
      <c r="AH122" s="204"/>
      <c r="AI122" s="204"/>
      <c r="AJ122" s="204"/>
      <c r="AK122" s="204"/>
    </row>
    <row r="123" spans="1:37" x14ac:dyDescent="0.25">
      <c r="A123" s="94">
        <v>2068</v>
      </c>
      <c r="B123" s="163" t="e">
        <v>#N/A</v>
      </c>
      <c r="C123" s="168" t="e">
        <f>IF(Bxl_Inflow!C123=0,#N/A,Bxl_Inflow!C123)</f>
        <v>#N/A</v>
      </c>
      <c r="D123" s="163" t="e">
        <v>#N/A</v>
      </c>
      <c r="E123" s="168" t="e">
        <f>IF(Bxl_Inflow!D123=0,#N/A,Bxl_Inflow!D123)</f>
        <v>#N/A</v>
      </c>
      <c r="F123" s="163" t="e">
        <v>#N/A</v>
      </c>
      <c r="G123" s="168" t="e">
        <f>IF(Bxl_Inflow!E123=0,#N/A,Bxl_Inflow!E123)</f>
        <v>#N/A</v>
      </c>
      <c r="H123" s="163" t="e">
        <v>#N/A</v>
      </c>
      <c r="I123" s="168" t="e">
        <f>IF(Bxl_Inflow!F123=0,#N/A,Bxl_Inflow!F123)</f>
        <v>#N/A</v>
      </c>
      <c r="J123" s="163" t="e">
        <v>#N/A</v>
      </c>
      <c r="K123" s="168" t="e">
        <f>IF(Bxl_Inflow!G123=0,#N/A,Bxl_Inflow!G123)</f>
        <v>#N/A</v>
      </c>
      <c r="L123" s="172" t="e">
        <v>#N/A</v>
      </c>
      <c r="M123" s="167" t="e">
        <f>IF(Bxl_Outflow!C123=0,#N/A,Bxl_Outflow!C123)</f>
        <v>#N/A</v>
      </c>
      <c r="N123" s="172" t="e">
        <v>#N/A</v>
      </c>
      <c r="O123" s="167" t="e">
        <f>IF(Bxl_Outflow!D123=0,#N/A,Bxl_Outflow!D123)</f>
        <v>#N/A</v>
      </c>
      <c r="P123" s="172" t="e">
        <v>#N/A</v>
      </c>
      <c r="Q123" s="167" t="e">
        <f>IF(Bxl_Outflow!E123=0,#N/A,Bxl_Outflow!E123)</f>
        <v>#N/A</v>
      </c>
      <c r="R123" s="172" t="e">
        <v>#N/A</v>
      </c>
      <c r="S123" s="167" t="e">
        <f>IF(Bxl_Outflow!F123=0,#N/A,Bxl_Outflow!F123)</f>
        <v>#N/A</v>
      </c>
      <c r="T123" s="172" t="e">
        <v>#N/A</v>
      </c>
      <c r="U123" s="167" t="e">
        <f>IF(Bxl_Outflow!G123=0,#N/A,Bxl_Outflow!G123)</f>
        <v>#N/A</v>
      </c>
      <c r="AF123" s="204"/>
      <c r="AG123" s="204"/>
      <c r="AH123" s="204"/>
      <c r="AI123" s="204"/>
      <c r="AJ123" s="204"/>
      <c r="AK123" s="204"/>
    </row>
    <row r="124" spans="1:37" x14ac:dyDescent="0.25">
      <c r="A124" s="94">
        <v>2069</v>
      </c>
      <c r="B124" s="163" t="e">
        <v>#N/A</v>
      </c>
      <c r="C124" s="168" t="e">
        <f>IF(Bxl_Inflow!C124=0,#N/A,Bxl_Inflow!C124)</f>
        <v>#N/A</v>
      </c>
      <c r="D124" s="163" t="e">
        <v>#N/A</v>
      </c>
      <c r="E124" s="168" t="e">
        <f>IF(Bxl_Inflow!D124=0,#N/A,Bxl_Inflow!D124)</f>
        <v>#N/A</v>
      </c>
      <c r="F124" s="163" t="e">
        <v>#N/A</v>
      </c>
      <c r="G124" s="168" t="e">
        <f>IF(Bxl_Inflow!E124=0,#N/A,Bxl_Inflow!E124)</f>
        <v>#N/A</v>
      </c>
      <c r="H124" s="163" t="e">
        <v>#N/A</v>
      </c>
      <c r="I124" s="168" t="e">
        <f>IF(Bxl_Inflow!F124=0,#N/A,Bxl_Inflow!F124)</f>
        <v>#N/A</v>
      </c>
      <c r="J124" s="163" t="e">
        <v>#N/A</v>
      </c>
      <c r="K124" s="168" t="e">
        <f>IF(Bxl_Inflow!G124=0,#N/A,Bxl_Inflow!G124)</f>
        <v>#N/A</v>
      </c>
      <c r="L124" s="172" t="e">
        <v>#N/A</v>
      </c>
      <c r="M124" s="167" t="e">
        <f>IF(Bxl_Outflow!C124=0,#N/A,Bxl_Outflow!C124)</f>
        <v>#N/A</v>
      </c>
      <c r="N124" s="172" t="e">
        <v>#N/A</v>
      </c>
      <c r="O124" s="167" t="e">
        <f>IF(Bxl_Outflow!D124=0,#N/A,Bxl_Outflow!D124)</f>
        <v>#N/A</v>
      </c>
      <c r="P124" s="172" t="e">
        <v>#N/A</v>
      </c>
      <c r="Q124" s="167" t="e">
        <f>IF(Bxl_Outflow!E124=0,#N/A,Bxl_Outflow!E124)</f>
        <v>#N/A</v>
      </c>
      <c r="R124" s="172" t="e">
        <v>#N/A</v>
      </c>
      <c r="S124" s="167" t="e">
        <f>IF(Bxl_Outflow!F124=0,#N/A,Bxl_Outflow!F124)</f>
        <v>#N/A</v>
      </c>
      <c r="T124" s="172" t="e">
        <v>#N/A</v>
      </c>
      <c r="U124" s="167" t="e">
        <f>IF(Bxl_Outflow!G124=0,#N/A,Bxl_Outflow!G124)</f>
        <v>#N/A</v>
      </c>
      <c r="AF124" s="204"/>
      <c r="AG124" s="204"/>
      <c r="AH124" s="204"/>
      <c r="AI124" s="204"/>
      <c r="AJ124" s="204"/>
      <c r="AK124" s="204"/>
    </row>
    <row r="125" spans="1:37" x14ac:dyDescent="0.25">
      <c r="A125" s="94">
        <v>2070</v>
      </c>
      <c r="B125" s="163" t="e">
        <v>#N/A</v>
      </c>
      <c r="C125" s="168" t="e">
        <f>IF(Bxl_Inflow!C125=0,#N/A,Bxl_Inflow!C125)</f>
        <v>#N/A</v>
      </c>
      <c r="D125" s="163" t="e">
        <v>#N/A</v>
      </c>
      <c r="E125" s="168" t="e">
        <f>IF(Bxl_Inflow!D125=0,#N/A,Bxl_Inflow!D125)</f>
        <v>#N/A</v>
      </c>
      <c r="F125" s="163" t="e">
        <v>#N/A</v>
      </c>
      <c r="G125" s="168" t="e">
        <f>IF(Bxl_Inflow!E125=0,#N/A,Bxl_Inflow!E125)</f>
        <v>#N/A</v>
      </c>
      <c r="H125" s="163" t="e">
        <v>#N/A</v>
      </c>
      <c r="I125" s="168" t="e">
        <f>IF(Bxl_Inflow!F125=0,#N/A,Bxl_Inflow!F125)</f>
        <v>#N/A</v>
      </c>
      <c r="J125" s="163" t="e">
        <v>#N/A</v>
      </c>
      <c r="K125" s="168" t="e">
        <f>IF(Bxl_Inflow!G125=0,#N/A,Bxl_Inflow!G125)</f>
        <v>#N/A</v>
      </c>
      <c r="L125" s="172" t="e">
        <v>#N/A</v>
      </c>
      <c r="M125" s="167" t="e">
        <f>IF(Bxl_Outflow!C125=0,#N/A,Bxl_Outflow!C125)</f>
        <v>#N/A</v>
      </c>
      <c r="N125" s="172" t="e">
        <v>#N/A</v>
      </c>
      <c r="O125" s="167" t="e">
        <f>IF(Bxl_Outflow!D125=0,#N/A,Bxl_Outflow!D125)</f>
        <v>#N/A</v>
      </c>
      <c r="P125" s="172" t="e">
        <v>#N/A</v>
      </c>
      <c r="Q125" s="167" t="e">
        <f>IF(Bxl_Outflow!E125=0,#N/A,Bxl_Outflow!E125)</f>
        <v>#N/A</v>
      </c>
      <c r="R125" s="172" t="e">
        <v>#N/A</v>
      </c>
      <c r="S125" s="167" t="e">
        <f>IF(Bxl_Outflow!F125=0,#N/A,Bxl_Outflow!F125)</f>
        <v>#N/A</v>
      </c>
      <c r="T125" s="172" t="e">
        <v>#N/A</v>
      </c>
      <c r="U125" s="167" t="e">
        <f>IF(Bxl_Outflow!G125=0,#N/A,Bxl_Outflow!G125)</f>
        <v>#N/A</v>
      </c>
      <c r="AF125" s="204"/>
      <c r="AG125" s="204"/>
      <c r="AH125" s="204"/>
      <c r="AI125" s="204"/>
      <c r="AJ125" s="204"/>
      <c r="AK125" s="204"/>
    </row>
    <row r="126" spans="1:37" x14ac:dyDescent="0.25">
      <c r="A126" s="94">
        <v>2071</v>
      </c>
      <c r="B126" s="163" t="e">
        <v>#N/A</v>
      </c>
      <c r="C126" s="168" t="e">
        <f>IF(Bxl_Inflow!B126=0,#N/A,Bxl_Inflow!B126)</f>
        <v>#N/A</v>
      </c>
      <c r="D126" s="163" t="e">
        <v>#N/A</v>
      </c>
      <c r="E126" s="168" t="e">
        <f>IF(Bxl_Inflow!D126=0,#N/A,Bxl_Inflow!D126)</f>
        <v>#N/A</v>
      </c>
      <c r="F126" s="163" t="e">
        <v>#N/A</v>
      </c>
      <c r="G126" s="168" t="e">
        <f>IF(Bxl_Inflow!E126=0,#N/A,Bxl_Inflow!E126)</f>
        <v>#N/A</v>
      </c>
      <c r="H126" s="163" t="e">
        <v>#N/A</v>
      </c>
      <c r="I126" s="168" t="e">
        <f>IF(Bxl_Inflow!F126=0,#N/A,Bxl_Inflow!F126)</f>
        <v>#N/A</v>
      </c>
      <c r="J126" s="163" t="e">
        <v>#N/A</v>
      </c>
      <c r="K126" s="168" t="e">
        <f>IF(Bxl_Inflow!G126=0,#N/A,Bxl_Inflow!G126)</f>
        <v>#N/A</v>
      </c>
      <c r="L126" s="172" t="e">
        <v>#N/A</v>
      </c>
      <c r="M126" s="167" t="e">
        <f>IF(Bxl_Outflow!B126=0,#N/A,Bxl_Outflow!B126)</f>
        <v>#N/A</v>
      </c>
      <c r="N126" s="172" t="e">
        <v>#N/A</v>
      </c>
      <c r="O126" s="167" t="e">
        <f>IF(Bxl_Outflow!D126=0,#N/A,Bxl_Outflow!D126)</f>
        <v>#N/A</v>
      </c>
      <c r="P126" s="172" t="e">
        <v>#N/A</v>
      </c>
      <c r="Q126" s="167" t="e">
        <f>IF(Bxl_Outflow!E126=0,#N/A,Bxl_Outflow!E126)</f>
        <v>#N/A</v>
      </c>
      <c r="R126" s="172" t="e">
        <v>#N/A</v>
      </c>
      <c r="S126" s="167" t="e">
        <f>IF(Bxl_Outflow!F126=0,#N/A,Bxl_Outflow!F126)</f>
        <v>#N/A</v>
      </c>
      <c r="T126" s="172" t="e">
        <v>#N/A</v>
      </c>
      <c r="U126" s="167" t="e">
        <f>IF(Bxl_Outflow!G126=0,#N/A,Bxl_Outflow!G126)</f>
        <v>#N/A</v>
      </c>
    </row>
  </sheetData>
  <mergeCells count="10">
    <mergeCell ref="AF1:AK1"/>
    <mergeCell ref="AF2:AK2"/>
    <mergeCell ref="B1:K1"/>
    <mergeCell ref="L1:U1"/>
    <mergeCell ref="B2:K2"/>
    <mergeCell ref="L2:U2"/>
    <mergeCell ref="W1:AD1"/>
    <mergeCell ref="W2:Z2"/>
    <mergeCell ref="AA2:AB2"/>
    <mergeCell ref="AC2:AD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AB159-514D-4CAC-8721-CC73C8ECAF87}">
  <dimension ref="A1:AZ86"/>
  <sheetViews>
    <sheetView showGridLines="0" workbookViewId="0"/>
  </sheetViews>
  <sheetFormatPr defaultRowHeight="15" x14ac:dyDescent="0.25"/>
  <sheetData>
    <row r="1" spans="1:52" x14ac:dyDescent="0.25">
      <c r="B1" s="171" t="s">
        <v>312</v>
      </c>
      <c r="L1" t="s">
        <v>376</v>
      </c>
      <c r="N1" s="171" t="s">
        <v>312</v>
      </c>
      <c r="V1" s="171" t="s">
        <v>311</v>
      </c>
      <c r="AE1" t="s">
        <v>306</v>
      </c>
      <c r="AI1" s="171" t="s">
        <v>313</v>
      </c>
      <c r="AP1" t="s">
        <v>376</v>
      </c>
      <c r="AR1" s="171" t="s">
        <v>313</v>
      </c>
      <c r="AZ1" s="171" t="s">
        <v>319</v>
      </c>
    </row>
    <row r="2" spans="1:52" x14ac:dyDescent="0.25">
      <c r="A2" t="s">
        <v>306</v>
      </c>
    </row>
    <row r="3" spans="1:52" x14ac:dyDescent="0.25">
      <c r="AZ3" t="s">
        <v>320</v>
      </c>
    </row>
    <row r="14" spans="1:52" x14ac:dyDescent="0.25">
      <c r="A14" t="s">
        <v>307</v>
      </c>
      <c r="AE14" t="s">
        <v>307</v>
      </c>
    </row>
    <row r="16" spans="1:52" x14ac:dyDescent="0.25">
      <c r="L16" t="s">
        <v>310</v>
      </c>
      <c r="AP16" t="s">
        <v>310</v>
      </c>
    </row>
    <row r="19" spans="1:52" x14ac:dyDescent="0.25">
      <c r="AZ19" t="s">
        <v>321</v>
      </c>
    </row>
    <row r="29" spans="1:52" x14ac:dyDescent="0.25">
      <c r="A29" t="s">
        <v>309</v>
      </c>
      <c r="AE29" t="s">
        <v>309</v>
      </c>
    </row>
    <row r="52" spans="1:1" x14ac:dyDescent="0.25">
      <c r="A52" t="s">
        <v>314</v>
      </c>
    </row>
    <row r="53" spans="1:1" x14ac:dyDescent="0.25">
      <c r="A53" t="s">
        <v>290</v>
      </c>
    </row>
    <row r="54" spans="1:1" x14ac:dyDescent="0.25">
      <c r="A54" t="s">
        <v>315</v>
      </c>
    </row>
    <row r="69" spans="1:2" x14ac:dyDescent="0.25">
      <c r="A69" t="s">
        <v>316</v>
      </c>
    </row>
    <row r="70" spans="1:2" x14ac:dyDescent="0.25">
      <c r="A70" t="s">
        <v>290</v>
      </c>
    </row>
    <row r="71" spans="1:2" x14ac:dyDescent="0.25">
      <c r="A71" t="s">
        <v>315</v>
      </c>
      <c r="B71" t="s">
        <v>317</v>
      </c>
    </row>
    <row r="86" spans="2:2" x14ac:dyDescent="0.25">
      <c r="B86" t="s">
        <v>318</v>
      </c>
    </row>
  </sheetData>
  <pageMargins left="0.25" right="0.25"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C7ED-8F57-4E85-AAD7-ADAB4DF36566}">
  <dimension ref="B2:J137"/>
  <sheetViews>
    <sheetView workbookViewId="0">
      <selection activeCell="G36" sqref="G36"/>
    </sheetView>
  </sheetViews>
  <sheetFormatPr defaultRowHeight="15" x14ac:dyDescent="0.25"/>
  <cols>
    <col min="2" max="2" width="48.140625" bestFit="1" customWidth="1"/>
    <col min="3" max="3" width="11.42578125" bestFit="1" customWidth="1"/>
    <col min="4" max="4" width="11.42578125" customWidth="1"/>
    <col min="5" max="5" width="22.28515625" bestFit="1" customWidth="1"/>
    <col min="6" max="6" width="10.5703125" bestFit="1" customWidth="1"/>
  </cols>
  <sheetData>
    <row r="2" spans="2:5" x14ac:dyDescent="0.25">
      <c r="B2" s="40" t="s">
        <v>256</v>
      </c>
      <c r="C2" s="1"/>
      <c r="D2" s="1"/>
    </row>
    <row r="5" spans="2:5" x14ac:dyDescent="0.25">
      <c r="B5" s="2" t="s">
        <v>244</v>
      </c>
      <c r="C5" s="2" t="s">
        <v>241</v>
      </c>
      <c r="D5" s="3" t="s">
        <v>242</v>
      </c>
      <c r="E5" s="2" t="s">
        <v>243</v>
      </c>
    </row>
    <row r="6" spans="2:5" x14ac:dyDescent="0.25">
      <c r="B6" s="13" t="s">
        <v>248</v>
      </c>
      <c r="C6" t="s">
        <v>247</v>
      </c>
      <c r="D6" s="101">
        <f>(SUM(PARIS!L4:L40)-(PARIS!L18+PARIS!L19+PARIS!L20+PARIS!L24+PARIS!L34+PARIS!L36+PARIS!L38+PARIS!L39)+SUM(PARIS!P4:P40)-(PARIS!P18+PARIS!P19+PARIS!P20+PARIS!P24+PARIS!P34+PARIS!P36+PARIS!P38+PARIS!P39))/SUM(PARIS!F4:F40)</f>
        <v>0.2232777749555499</v>
      </c>
      <c r="E6" t="s">
        <v>249</v>
      </c>
    </row>
    <row r="7" spans="2:5" x14ac:dyDescent="0.25">
      <c r="C7" t="s">
        <v>246</v>
      </c>
      <c r="D7" s="101">
        <f>(SUM(PARIS!L41:L73)-PARIS!L52-PARIS!L53+SUM(PARIS!P41:P73)-PARIS!P52-PARIS!P53)/SUM(PARIS!F41:F73)</f>
        <v>0.29269083905481524</v>
      </c>
      <c r="E7" t="s">
        <v>6</v>
      </c>
    </row>
    <row r="8" spans="2:5" x14ac:dyDescent="0.25">
      <c r="B8" s="1"/>
      <c r="C8" s="1" t="s">
        <v>245</v>
      </c>
      <c r="D8" s="102">
        <f>(SUM(PARIS!L74:L103)-PARIS!L92+SUM(PARIS!P74:P103)-PARIS!P92)/SUM(PARIS!F74:F103)</f>
        <v>0.42907032837083725</v>
      </c>
      <c r="E8" s="1" t="s">
        <v>6</v>
      </c>
    </row>
    <row r="9" spans="2:5" x14ac:dyDescent="0.25">
      <c r="B9" s="13" t="s">
        <v>250</v>
      </c>
      <c r="C9" t="s">
        <v>247</v>
      </c>
      <c r="D9" s="101">
        <f>(SUM(PARIS!J4:J40)-(PARIS!J18+PARIS!J19+PARIS!J20+PARIS!J24+PARIS!J26+PARIS!J29+PARIS!J30+PARIS!J34+PARIS!J36+PARIS!J38+PARIS!J39)+SUM(PARIS!L4:L40)-(PARIS!L18+PARIS!L19+PARIS!L20+PARIS!L24+PARIS!L34+PARIS!L36+PARIS!L38+PARIS!L39)+SUM(PARIS!P4:P40)-(PARIS!P18+PARIS!P19+PARIS!P20+PARIS!P24+PARIS!P34+PARIS!P36+PARIS!P38+PARIS!P39))/SUM(PARIS!F4:F40)</f>
        <v>0.30008896113792233</v>
      </c>
      <c r="E9" t="s">
        <v>249</v>
      </c>
    </row>
    <row r="10" spans="2:5" x14ac:dyDescent="0.25">
      <c r="C10" t="s">
        <v>246</v>
      </c>
      <c r="D10" s="101">
        <f>(SUM(PARIS!J41:J73)-PARIS!J52-PARIS!J53+SUM(PARIS!L41:L73)-PARIS!L52-PARIS!L53+SUM(PARIS!P41:P73)-PARIS!P52-PARIS!P53)/SUM(PARIS!F41:F73)</f>
        <v>0.33805118969845632</v>
      </c>
      <c r="E10" t="s">
        <v>6</v>
      </c>
    </row>
    <row r="11" spans="2:5" x14ac:dyDescent="0.25">
      <c r="B11" s="1"/>
      <c r="C11" s="1" t="s">
        <v>245</v>
      </c>
      <c r="D11" s="102">
        <f>(SUM(PARIS!J74:J103)-PARIS!J92+SUM(PARIS!L74:L103)-PARIS!L92+SUM(PARIS!P74:P103)-PARIS!P92)/SUM(PARIS!F74:F103)</f>
        <v>0.45662640336800053</v>
      </c>
      <c r="E11" s="1" t="s">
        <v>6</v>
      </c>
    </row>
    <row r="14" spans="2:5" x14ac:dyDescent="0.25">
      <c r="B14" s="2" t="s">
        <v>251</v>
      </c>
      <c r="C14" s="2" t="s">
        <v>241</v>
      </c>
      <c r="D14" s="3" t="s">
        <v>242</v>
      </c>
      <c r="E14" s="2" t="s">
        <v>243</v>
      </c>
    </row>
    <row r="15" spans="2:5" x14ac:dyDescent="0.25">
      <c r="B15" s="13"/>
      <c r="C15" t="s">
        <v>247</v>
      </c>
      <c r="D15" s="14">
        <f>AVERAGE(PARIS!Z4:Z40)</f>
        <v>1.4730769230769238E-2</v>
      </c>
      <c r="E15" t="s">
        <v>249</v>
      </c>
    </row>
    <row r="16" spans="2:5" x14ac:dyDescent="0.25">
      <c r="C16" t="s">
        <v>246</v>
      </c>
      <c r="D16" s="14">
        <f>AVERAGE(PARIS!Z40:Z73)</f>
        <v>1.9750000000000007E-2</v>
      </c>
      <c r="E16" t="s">
        <v>6</v>
      </c>
    </row>
    <row r="17" spans="2:5" x14ac:dyDescent="0.25">
      <c r="B17" s="1"/>
      <c r="C17" s="1" t="s">
        <v>245</v>
      </c>
      <c r="D17" s="104">
        <f>AVERAGE(PARIS!Z73:Z103)</f>
        <v>2.133333333333334E-2</v>
      </c>
      <c r="E17" s="1" t="s">
        <v>6</v>
      </c>
    </row>
    <row r="20" spans="2:5" x14ac:dyDescent="0.25">
      <c r="B20" s="40" t="s">
        <v>338</v>
      </c>
      <c r="C20" s="1"/>
      <c r="D20" s="1"/>
    </row>
    <row r="23" spans="2:5" x14ac:dyDescent="0.25">
      <c r="B23" s="2" t="s">
        <v>244</v>
      </c>
      <c r="C23" s="2" t="s">
        <v>241</v>
      </c>
      <c r="D23" s="3" t="s">
        <v>242</v>
      </c>
      <c r="E23" s="2" t="s">
        <v>243</v>
      </c>
    </row>
    <row r="24" spans="2:5" x14ac:dyDescent="0.25">
      <c r="B24" s="13" t="s">
        <v>248</v>
      </c>
      <c r="C24" t="s">
        <v>247</v>
      </c>
      <c r="D24" s="101">
        <f>(SUM(BXL!L4:L10)+SUM(BXL!P4:P10))/SUM(BXL!F4:F10)</f>
        <v>0.27065780590717298</v>
      </c>
      <c r="E24" t="s">
        <v>249</v>
      </c>
    </row>
    <row r="25" spans="2:5" x14ac:dyDescent="0.25">
      <c r="C25" t="s">
        <v>246</v>
      </c>
      <c r="D25" s="101">
        <f>(SUM(BXL!L11:L15)+SUM(BXL!P11:P15))/SUM(BXL!F11:F15)</f>
        <v>0.30678854400000005</v>
      </c>
      <c r="E25" t="s">
        <v>6</v>
      </c>
    </row>
    <row r="26" spans="2:5" x14ac:dyDescent="0.25">
      <c r="B26" s="1"/>
      <c r="C26" s="1" t="s">
        <v>245</v>
      </c>
      <c r="D26" s="102">
        <f>(SUM(BXL!L16:L20)+SUM(BXL!P16:P20))/SUM(BXL!F16:F20)</f>
        <v>0.34878080204778156</v>
      </c>
      <c r="E26" s="1" t="s">
        <v>6</v>
      </c>
    </row>
    <row r="27" spans="2:5" x14ac:dyDescent="0.25">
      <c r="B27" s="13" t="s">
        <v>250</v>
      </c>
      <c r="C27" t="s">
        <v>247</v>
      </c>
      <c r="D27" s="101">
        <f>(SUM(BXL!J4:J10)+SUM(BXL!L4:L10)+SUM(BXL!P4:P10))/SUM(BXL!F4:F10)</f>
        <v>0.33431021097046415</v>
      </c>
      <c r="E27" t="s">
        <v>249</v>
      </c>
    </row>
    <row r="28" spans="2:5" x14ac:dyDescent="0.25">
      <c r="C28" t="s">
        <v>246</v>
      </c>
      <c r="D28" s="101">
        <f>(SUM(BXL!J11:J15)+SUM(BXL!L11:L15)+SUM(BXL!P11:P15))/SUM(BXL!F11:F15)</f>
        <v>0.32353124400000005</v>
      </c>
      <c r="E28" t="s">
        <v>6</v>
      </c>
    </row>
    <row r="29" spans="2:5" x14ac:dyDescent="0.25">
      <c r="B29" s="1"/>
      <c r="C29" s="1" t="s">
        <v>245</v>
      </c>
      <c r="D29" s="102">
        <f>(SUM(BXL!J16:J20)+SUM(BXL!L16:L20)+SUM(BXL!P16:P20))/SUM(BXL!F16:F20)</f>
        <v>0.34878080204778156</v>
      </c>
      <c r="E29" s="1" t="s">
        <v>6</v>
      </c>
    </row>
    <row r="32" spans="2:5" x14ac:dyDescent="0.25">
      <c r="B32" s="2" t="s">
        <v>251</v>
      </c>
      <c r="C32" s="2" t="s">
        <v>241</v>
      </c>
      <c r="D32" s="3" t="s">
        <v>242</v>
      </c>
      <c r="E32" s="2" t="s">
        <v>243</v>
      </c>
    </row>
    <row r="33" spans="2:10" x14ac:dyDescent="0.25">
      <c r="B33" s="13"/>
      <c r="C33" t="s">
        <v>247</v>
      </c>
      <c r="D33" s="14">
        <f>AVERAGE(BXL!Z4:Z10)</f>
        <v>1.7142857142857144E-2</v>
      </c>
      <c r="E33" t="s">
        <v>249</v>
      </c>
    </row>
    <row r="34" spans="2:10" x14ac:dyDescent="0.25">
      <c r="C34" t="s">
        <v>246</v>
      </c>
      <c r="D34" s="14">
        <f>AVERAGE(BXL!Z11:Z15)</f>
        <v>1.6800000000000002E-2</v>
      </c>
      <c r="E34" t="s">
        <v>6</v>
      </c>
    </row>
    <row r="35" spans="2:10" x14ac:dyDescent="0.25">
      <c r="B35" s="1"/>
      <c r="C35" s="1" t="s">
        <v>245</v>
      </c>
      <c r="D35" s="104">
        <f>AVERAGE(BXL!Z16:Z20)</f>
        <v>0.02</v>
      </c>
      <c r="E35" s="1" t="s">
        <v>6</v>
      </c>
    </row>
    <row r="37" spans="2:10" x14ac:dyDescent="0.25">
      <c r="G37" s="183"/>
      <c r="H37" s="183"/>
      <c r="I37" s="183"/>
      <c r="J37" s="183"/>
    </row>
    <row r="38" spans="2:10" ht="30" x14ac:dyDescent="0.25">
      <c r="B38" s="188"/>
      <c r="C38" s="189" t="s">
        <v>136</v>
      </c>
      <c r="D38" s="190" t="s">
        <v>354</v>
      </c>
      <c r="F38" s="184"/>
      <c r="H38" s="184"/>
      <c r="I38" s="183"/>
      <c r="J38" s="183"/>
    </row>
    <row r="39" spans="2:10" x14ac:dyDescent="0.25">
      <c r="B39" s="186" t="s">
        <v>348</v>
      </c>
      <c r="C39" s="191"/>
      <c r="D39" s="191"/>
      <c r="F39" s="183"/>
      <c r="H39" s="183"/>
      <c r="I39" s="183"/>
      <c r="J39" s="183"/>
    </row>
    <row r="40" spans="2:10" x14ac:dyDescent="0.25">
      <c r="B40" s="185" t="s">
        <v>279</v>
      </c>
      <c r="C40" s="192">
        <f>PARIS!BD105</f>
        <v>20.262499999999999</v>
      </c>
      <c r="D40" s="193">
        <f>BXL!BD29</f>
        <v>16.222222222222221</v>
      </c>
      <c r="E40" s="183"/>
      <c r="F40" s="183"/>
      <c r="G40" s="183"/>
      <c r="H40" s="183"/>
      <c r="I40" s="183"/>
      <c r="J40" s="183"/>
    </row>
    <row r="41" spans="2:10" x14ac:dyDescent="0.25">
      <c r="B41" s="185" t="s">
        <v>345</v>
      </c>
      <c r="C41" s="192">
        <v>0</v>
      </c>
      <c r="D41" s="194">
        <v>0</v>
      </c>
      <c r="E41" s="183"/>
      <c r="F41" s="183"/>
      <c r="G41" s="183"/>
      <c r="H41" s="183"/>
      <c r="I41" s="183"/>
      <c r="J41" s="183"/>
    </row>
    <row r="42" spans="2:10" x14ac:dyDescent="0.25">
      <c r="B42" s="185" t="s">
        <v>346</v>
      </c>
      <c r="C42" s="193">
        <f>PARIS!BD107</f>
        <v>52</v>
      </c>
      <c r="D42" s="193">
        <f>BXL!BD31</f>
        <v>39</v>
      </c>
      <c r="E42" s="183"/>
      <c r="F42" s="183"/>
      <c r="G42" s="183"/>
      <c r="H42" s="183"/>
      <c r="I42" s="183"/>
      <c r="J42" s="183"/>
    </row>
    <row r="43" spans="2:10" x14ac:dyDescent="0.25">
      <c r="B43" s="186" t="s">
        <v>344</v>
      </c>
      <c r="C43" s="195"/>
      <c r="D43" s="195"/>
      <c r="E43" s="183"/>
      <c r="F43" s="183"/>
      <c r="G43" s="183"/>
      <c r="H43" s="183"/>
      <c r="I43" s="183"/>
      <c r="J43" s="183"/>
    </row>
    <row r="44" spans="2:10" x14ac:dyDescent="0.25">
      <c r="B44" s="185" t="s">
        <v>279</v>
      </c>
      <c r="C44" s="193">
        <f>PARIS!BC105</f>
        <v>32.028571428571432</v>
      </c>
      <c r="D44" s="193">
        <f>BXL!BC29</f>
        <v>45.333333333333336</v>
      </c>
      <c r="E44" s="183"/>
      <c r="F44" s="183"/>
      <c r="G44" s="183"/>
      <c r="H44" s="183"/>
      <c r="I44" s="183"/>
      <c r="J44" s="183"/>
    </row>
    <row r="45" spans="2:10" x14ac:dyDescent="0.25">
      <c r="B45" s="185" t="s">
        <v>345</v>
      </c>
      <c r="C45" s="193">
        <f>PARIS!BC106</f>
        <v>16</v>
      </c>
      <c r="D45" s="193">
        <f>BXL!BC30</f>
        <v>39</v>
      </c>
      <c r="E45" s="183"/>
      <c r="F45" s="183"/>
      <c r="G45" s="183"/>
      <c r="H45" s="183"/>
      <c r="I45" s="183"/>
      <c r="J45" s="183"/>
    </row>
    <row r="46" spans="2:10" x14ac:dyDescent="0.25">
      <c r="B46" s="185" t="s">
        <v>346</v>
      </c>
      <c r="C46" s="193">
        <f>PARIS!BC107</f>
        <v>51</v>
      </c>
      <c r="D46" s="193">
        <f>BXL!BC31</f>
        <v>53</v>
      </c>
      <c r="E46" s="183"/>
      <c r="F46" s="183"/>
      <c r="G46" s="183"/>
      <c r="H46" s="183"/>
      <c r="I46" s="183"/>
      <c r="J46" s="183"/>
    </row>
    <row r="47" spans="2:10" x14ac:dyDescent="0.25">
      <c r="B47" s="186" t="s">
        <v>347</v>
      </c>
      <c r="C47" s="195"/>
      <c r="D47" s="195"/>
      <c r="E47" s="183"/>
      <c r="F47" s="183"/>
      <c r="G47" s="183"/>
      <c r="H47" s="183"/>
      <c r="I47" s="183"/>
      <c r="J47" s="183"/>
    </row>
    <row r="48" spans="2:10" x14ac:dyDescent="0.25">
      <c r="B48" s="185" t="s">
        <v>279</v>
      </c>
      <c r="C48" s="193">
        <f>PARIS!BE105</f>
        <v>39.153846153846153</v>
      </c>
      <c r="D48" s="193">
        <f>BXL!BE29</f>
        <v>43.25</v>
      </c>
      <c r="E48" s="183"/>
      <c r="F48" s="183"/>
      <c r="G48" s="183"/>
      <c r="H48" s="183"/>
      <c r="I48" s="183"/>
      <c r="J48" s="183"/>
    </row>
    <row r="49" spans="2:10" x14ac:dyDescent="0.25">
      <c r="B49" s="185" t="s">
        <v>345</v>
      </c>
      <c r="C49" s="193">
        <f>PARIS!BE106</f>
        <v>23</v>
      </c>
      <c r="D49" s="193">
        <f>BXL!BE30</f>
        <v>40</v>
      </c>
      <c r="E49" s="183"/>
      <c r="F49" s="183"/>
      <c r="G49" s="183"/>
      <c r="H49" s="183"/>
      <c r="I49" s="183"/>
      <c r="J49" s="183"/>
    </row>
    <row r="50" spans="2:10" x14ac:dyDescent="0.25">
      <c r="B50" s="187" t="s">
        <v>346</v>
      </c>
      <c r="C50" s="196">
        <f>PARIS!BE107</f>
        <v>56</v>
      </c>
      <c r="D50" s="196">
        <f>BXL!BE31</f>
        <v>48</v>
      </c>
      <c r="E50" s="183"/>
      <c r="F50" s="183"/>
      <c r="G50" s="183"/>
      <c r="H50" s="183"/>
      <c r="I50" s="183"/>
      <c r="J50" s="183"/>
    </row>
    <row r="51" spans="2:10" x14ac:dyDescent="0.25">
      <c r="B51" s="183"/>
      <c r="C51" s="183"/>
      <c r="D51" s="183"/>
      <c r="E51" s="183"/>
      <c r="F51" s="183"/>
      <c r="G51" s="183"/>
      <c r="H51" s="183"/>
      <c r="I51" s="183"/>
      <c r="J51" s="183"/>
    </row>
    <row r="52" spans="2:10" x14ac:dyDescent="0.25">
      <c r="B52" s="183"/>
      <c r="C52" s="183"/>
      <c r="D52" s="183"/>
      <c r="E52" s="183"/>
      <c r="F52" s="183"/>
      <c r="G52" s="183"/>
      <c r="H52" s="183"/>
      <c r="I52" s="183"/>
      <c r="J52" s="183"/>
    </row>
    <row r="53" spans="2:10" x14ac:dyDescent="0.25">
      <c r="B53" s="183"/>
      <c r="C53" s="183"/>
      <c r="D53" s="183"/>
      <c r="E53" s="183"/>
      <c r="F53" s="183"/>
      <c r="G53" s="183"/>
      <c r="H53" s="183"/>
      <c r="I53" s="183"/>
      <c r="J53" s="183"/>
    </row>
    <row r="54" spans="2:10" x14ac:dyDescent="0.25">
      <c r="B54" s="199"/>
      <c r="C54" s="286" t="s">
        <v>136</v>
      </c>
      <c r="D54" s="286"/>
      <c r="E54" s="286" t="s">
        <v>353</v>
      </c>
      <c r="F54" s="286"/>
      <c r="H54" s="183"/>
    </row>
    <row r="55" spans="2:10" x14ac:dyDescent="0.25">
      <c r="B55" s="183"/>
      <c r="C55" s="200" t="s">
        <v>315</v>
      </c>
      <c r="D55" s="200" t="s">
        <v>349</v>
      </c>
      <c r="E55" s="200" t="s">
        <v>315</v>
      </c>
      <c r="F55" s="200" t="s">
        <v>349</v>
      </c>
      <c r="H55" s="183"/>
    </row>
    <row r="56" spans="2:10" x14ac:dyDescent="0.25">
      <c r="B56" s="201" t="s">
        <v>350</v>
      </c>
      <c r="C56" s="202"/>
      <c r="D56" s="202"/>
      <c r="E56" s="202"/>
      <c r="F56" s="202"/>
      <c r="H56" s="183"/>
    </row>
    <row r="57" spans="2:10" x14ac:dyDescent="0.25">
      <c r="B57" t="s">
        <v>360</v>
      </c>
      <c r="C57" s="198">
        <f>Paris_data4Graph!AH10</f>
        <v>133.02045000000001</v>
      </c>
      <c r="D57" s="211">
        <f>Paris_data4Graph!AG10/1000</f>
        <v>6.3354600000000003</v>
      </c>
      <c r="E57" s="198">
        <f>Bxl_data4Graph!X10</f>
        <v>72.60499999999999</v>
      </c>
      <c r="F57" s="211">
        <f>Bxl_data4Graph!W10/1000</f>
        <v>3.3525999999999998</v>
      </c>
      <c r="G57" s="197"/>
    </row>
    <row r="58" spans="2:10" x14ac:dyDescent="0.25">
      <c r="B58" t="s">
        <v>361</v>
      </c>
      <c r="C58" s="198">
        <f>Paris_data4Graph!AH20</f>
        <v>654.2842149999999</v>
      </c>
      <c r="D58" s="211">
        <f>Paris_data4Graph!AG20/1000</f>
        <v>33.659716000000003</v>
      </c>
      <c r="E58" s="198">
        <f>Bxl_data4Graph!X20</f>
        <v>113.61033</v>
      </c>
      <c r="F58" s="211">
        <f>Bxl_data4Graph!W20/1000</f>
        <v>5.0113274999999993</v>
      </c>
      <c r="G58" s="197"/>
    </row>
    <row r="59" spans="2:10" x14ac:dyDescent="0.25">
      <c r="B59" t="s">
        <v>362</v>
      </c>
      <c r="C59" s="198">
        <f>Paris_data4Graph!AH30</f>
        <v>505.21380500000004</v>
      </c>
      <c r="D59" s="211">
        <f>Paris_data4Graph!AG30/1000</f>
        <v>26.221988600000003</v>
      </c>
      <c r="E59" s="198">
        <f>Bxl_data4Graph!X30</f>
        <v>156.617625</v>
      </c>
      <c r="F59" s="211">
        <f>Bxl_data4Graph!W30/1000</f>
        <v>7.2865949999999993</v>
      </c>
      <c r="G59" s="197"/>
    </row>
    <row r="60" spans="2:10" x14ac:dyDescent="0.25">
      <c r="B60" t="s">
        <v>363</v>
      </c>
      <c r="C60" s="198">
        <f>Paris_data4Graph!AH40</f>
        <v>787.30735175000007</v>
      </c>
      <c r="D60" s="211">
        <f>Paris_data4Graph!AG40/1000</f>
        <v>34.163273049999994</v>
      </c>
      <c r="E60" s="198">
        <f>Bxl_data4Graph!X40</f>
        <v>45.129599999999996</v>
      </c>
      <c r="F60" s="211">
        <f>Bxl_data4Graph!W40/1000</f>
        <v>2.2564799999999998</v>
      </c>
      <c r="G60" s="197"/>
    </row>
    <row r="61" spans="2:10" x14ac:dyDescent="0.25">
      <c r="B61" t="s">
        <v>364</v>
      </c>
      <c r="C61" s="198">
        <f>Paris_data4Graph!AH50</f>
        <v>1242.4712500000001</v>
      </c>
      <c r="D61" s="211">
        <f>Paris_data4Graph!AG50/1000</f>
        <v>51.337962999999995</v>
      </c>
      <c r="E61" s="198">
        <f>Bxl_data4Graph!X50</f>
        <v>416.05621200000007</v>
      </c>
      <c r="F61" s="211">
        <f>Bxl_data4Graph!W50/1000</f>
        <v>18.8685072</v>
      </c>
      <c r="G61" s="197"/>
    </row>
    <row r="62" spans="2:10" x14ac:dyDescent="0.25">
      <c r="B62" t="s">
        <v>365</v>
      </c>
      <c r="C62" s="198">
        <f>Paris_data4Graph!AH60</f>
        <v>1264.153313</v>
      </c>
      <c r="D62" s="211">
        <f>Paris_data4Graph!AG60/1000</f>
        <v>51.624104999999993</v>
      </c>
      <c r="E62" s="198">
        <f>Bxl_data4Graph!X60</f>
        <v>385.44175000000001</v>
      </c>
      <c r="F62" s="211">
        <f>Bxl_data4Graph!W60/1000</f>
        <v>18.872087500000003</v>
      </c>
      <c r="G62" s="197"/>
    </row>
    <row r="63" spans="2:10" x14ac:dyDescent="0.25">
      <c r="B63" t="s">
        <v>366</v>
      </c>
      <c r="C63" s="198">
        <f>Paris_data4Graph!AH70</f>
        <v>1559.8932645</v>
      </c>
      <c r="D63" s="211">
        <f>Paris_data4Graph!AG70/1000</f>
        <v>55.383614598000001</v>
      </c>
      <c r="E63" s="203">
        <f>Bxl_data4Graph!X70</f>
        <v>369.10675000000003</v>
      </c>
      <c r="F63" s="212">
        <f>Bxl_data4Graph!W70/1000</f>
        <v>15.692937499999999</v>
      </c>
      <c r="G63" s="197"/>
    </row>
    <row r="64" spans="2:10" x14ac:dyDescent="0.25">
      <c r="B64" s="201" t="s">
        <v>351</v>
      </c>
      <c r="C64" s="202"/>
      <c r="D64" s="202"/>
      <c r="E64" s="202"/>
      <c r="G64" s="7"/>
    </row>
    <row r="65" spans="2:6" x14ac:dyDescent="0.25">
      <c r="B65" s="4" t="s">
        <v>360</v>
      </c>
      <c r="C65" s="209">
        <f>Paris_data4Graph!AJ10</f>
        <v>0</v>
      </c>
      <c r="D65" s="213">
        <f>Paris_data4Graph!AI10/1000</f>
        <v>0</v>
      </c>
      <c r="E65" s="209">
        <f>Bxl_data4Graph!Z10</f>
        <v>0</v>
      </c>
      <c r="F65" s="213">
        <f>Bxl_data4Graph!Y10/1000</f>
        <v>0</v>
      </c>
    </row>
    <row r="66" spans="2:6" x14ac:dyDescent="0.25">
      <c r="B66" s="5" t="s">
        <v>361</v>
      </c>
      <c r="C66" s="210">
        <f>Paris_data4Graph!AJ20</f>
        <v>0</v>
      </c>
      <c r="D66" s="214">
        <f>Paris_data4Graph!AI20/1000</f>
        <v>0</v>
      </c>
      <c r="E66" s="210">
        <f>Bxl_data4Graph!Z20</f>
        <v>0</v>
      </c>
      <c r="F66" s="214">
        <f>Bxl_data4Graph!Y20/1000</f>
        <v>0</v>
      </c>
    </row>
    <row r="67" spans="2:6" x14ac:dyDescent="0.25">
      <c r="B67" s="5" t="s">
        <v>362</v>
      </c>
      <c r="C67" s="210">
        <f>Paris_data4Graph!AJ30</f>
        <v>0</v>
      </c>
      <c r="D67" s="214">
        <f>Paris_data4Graph!AI30/1000</f>
        <v>0</v>
      </c>
      <c r="E67" s="210">
        <f>Bxl_data4Graph!Z30</f>
        <v>0</v>
      </c>
      <c r="F67" s="214">
        <f>Bxl_data4Graph!Y30/1000</f>
        <v>0</v>
      </c>
    </row>
    <row r="68" spans="2:6" x14ac:dyDescent="0.25">
      <c r="B68" s="5" t="s">
        <v>363</v>
      </c>
      <c r="C68" s="210">
        <f>Paris_data4Graph!AJ40</f>
        <v>136.33515</v>
      </c>
      <c r="D68" s="214">
        <f>Paris_data4Graph!AI40/1000</f>
        <v>6.4524600000000003</v>
      </c>
      <c r="E68" s="210">
        <f>Bxl_data4Graph!Z40</f>
        <v>0</v>
      </c>
      <c r="F68" s="214">
        <f>Bxl_data4Graph!Y40/1000</f>
        <v>0</v>
      </c>
    </row>
    <row r="69" spans="2:6" x14ac:dyDescent="0.25">
      <c r="B69" s="5" t="s">
        <v>364</v>
      </c>
      <c r="C69" s="210">
        <f>Paris_data4Graph!AJ50</f>
        <v>251.23223000000002</v>
      </c>
      <c r="D69" s="214">
        <f>Paris_data4Graph!AI50/1000</f>
        <v>13.428810000000002</v>
      </c>
      <c r="E69" s="210">
        <f>Bxl_data4Graph!Z50</f>
        <v>103.03507999999999</v>
      </c>
      <c r="F69" s="214">
        <f>Bxl_data4Graph!Y50/1000</f>
        <v>4.62052</v>
      </c>
    </row>
    <row r="70" spans="2:6" x14ac:dyDescent="0.25">
      <c r="B70" s="5" t="s">
        <v>365</v>
      </c>
      <c r="C70" s="210">
        <f>Paris_data4Graph!AJ60</f>
        <v>354.72255999999999</v>
      </c>
      <c r="D70" s="214">
        <f>Paris_data4Graph!AI60/1000</f>
        <v>17.830388599999999</v>
      </c>
      <c r="E70" s="210">
        <f>Bxl_data4Graph!Z60</f>
        <v>0</v>
      </c>
      <c r="F70" s="214">
        <f>Bxl_data4Graph!Y60/1000</f>
        <v>0</v>
      </c>
    </row>
    <row r="71" spans="2:6" x14ac:dyDescent="0.25">
      <c r="B71" s="1" t="s">
        <v>366</v>
      </c>
      <c r="C71" s="203">
        <f>Paris_data4Graph!AJ70</f>
        <v>755.70960500000001</v>
      </c>
      <c r="D71" s="212">
        <f>Paris_data4Graph!AI70/1000</f>
        <v>34.534215749999994</v>
      </c>
      <c r="E71" s="203">
        <f>Bxl_data4Graph!Z70</f>
        <v>198.47437500000001</v>
      </c>
      <c r="F71" s="212">
        <f>Bxl_data4Graph!Y70/1000</f>
        <v>9.1934024999999995</v>
      </c>
    </row>
    <row r="77" spans="2:6" x14ac:dyDescent="0.25">
      <c r="B77" s="228" t="s">
        <v>379</v>
      </c>
    </row>
    <row r="78" spans="2:6" x14ac:dyDescent="0.25">
      <c r="B78" s="4"/>
      <c r="C78" s="286" t="s">
        <v>136</v>
      </c>
      <c r="D78" s="286"/>
      <c r="E78" s="286" t="s">
        <v>353</v>
      </c>
      <c r="F78" s="286"/>
    </row>
    <row r="79" spans="2:6" x14ac:dyDescent="0.25">
      <c r="B79" s="1"/>
      <c r="C79" s="215" t="s">
        <v>315</v>
      </c>
      <c r="D79" s="215" t="s">
        <v>349</v>
      </c>
      <c r="E79" s="215" t="s">
        <v>315</v>
      </c>
      <c r="F79" s="215" t="s">
        <v>349</v>
      </c>
    </row>
    <row r="80" spans="2:6" x14ac:dyDescent="0.25">
      <c r="B80" s="107">
        <v>1950</v>
      </c>
      <c r="C80" s="198">
        <f>Paris_Stock!C4</f>
        <v>0</v>
      </c>
      <c r="D80" s="198">
        <f>Paris_Stock!B4/1000</f>
        <v>0</v>
      </c>
      <c r="E80" s="198">
        <f>Bxl_Stock!C4</f>
        <v>0</v>
      </c>
      <c r="F80" s="198">
        <f>Bxl_Stock!B4/1000</f>
        <v>0</v>
      </c>
    </row>
    <row r="81" spans="2:6" x14ac:dyDescent="0.25">
      <c r="B81" s="107">
        <v>1960</v>
      </c>
      <c r="C81" s="198">
        <f>Paris_Stock!C14</f>
        <v>61.875</v>
      </c>
      <c r="D81" s="198">
        <f>Paris_Stock!B14/1000</f>
        <v>4.95</v>
      </c>
      <c r="E81" s="198">
        <f>Bxl_Stock!C14</f>
        <v>0</v>
      </c>
      <c r="F81" s="198">
        <f>Bxl_Stock!B14/1000</f>
        <v>0</v>
      </c>
    </row>
    <row r="82" spans="2:6" x14ac:dyDescent="0.25">
      <c r="B82" s="107">
        <v>1970</v>
      </c>
      <c r="C82" s="198">
        <f>Paris_Stock!C24</f>
        <v>2995.6310999999996</v>
      </c>
      <c r="D82" s="198">
        <f>Paris_Stock!B24/1000</f>
        <v>146.18967999999998</v>
      </c>
      <c r="E82" s="198">
        <f>Bxl_Stock!C24</f>
        <v>1030.3507999999999</v>
      </c>
      <c r="F82" s="198">
        <f>Bxl_Stock!B24/1000</f>
        <v>46.205199999999998</v>
      </c>
    </row>
    <row r="83" spans="2:6" x14ac:dyDescent="0.25">
      <c r="B83" s="107">
        <v>1980</v>
      </c>
      <c r="C83" s="198">
        <f>Paris_Stock!C34</f>
        <v>10181.50475</v>
      </c>
      <c r="D83" s="198">
        <f>Paris_Stock!B34/1000</f>
        <v>527.17041600000005</v>
      </c>
      <c r="E83" s="198">
        <f>Bxl_Stock!C34</f>
        <v>3009.7620500000003</v>
      </c>
      <c r="F83" s="198">
        <f>Bxl_Stock!B34/1000</f>
        <v>137.43715</v>
      </c>
    </row>
    <row r="84" spans="2:6" x14ac:dyDescent="0.25">
      <c r="B84" s="107">
        <v>1990</v>
      </c>
      <c r="C84" s="198">
        <f>Paris_Stock!C44</f>
        <v>19219.887157500001</v>
      </c>
      <c r="D84" s="198">
        <f>Paris_Stock!B44/1000</f>
        <v>936.16158050000013</v>
      </c>
      <c r="E84" s="198">
        <f>Bxl_Stock!C44</f>
        <v>3428.3295500000004</v>
      </c>
      <c r="F84" s="198">
        <f>Bxl_Stock!B44/1000</f>
        <v>156.505225</v>
      </c>
    </row>
    <row r="85" spans="2:6" x14ac:dyDescent="0.25">
      <c r="B85" s="107">
        <v>2000</v>
      </c>
      <c r="C85" s="198">
        <f>Paris_Stock!C54</f>
        <v>23680.6209175</v>
      </c>
      <c r="D85" s="198">
        <f>Paris_Stock!B54/1000</f>
        <v>1079.6483165000002</v>
      </c>
      <c r="E85" s="198">
        <f>Bxl_Stock!C54</f>
        <v>6799.7986699999992</v>
      </c>
      <c r="F85" s="198">
        <f>Bxl_Stock!B54/1000</f>
        <v>315.06189699999999</v>
      </c>
    </row>
    <row r="86" spans="2:6" x14ac:dyDescent="0.25">
      <c r="B86" s="107">
        <v>2010</v>
      </c>
      <c r="C86" s="198">
        <f>Paris_Stock!C64</f>
        <v>32613.624847499999</v>
      </c>
      <c r="D86" s="198">
        <f>Paris_Stock!B64/1000</f>
        <v>1419.2442905</v>
      </c>
      <c r="E86" s="198">
        <f>Bxl_Stock!C64</f>
        <v>10237.854369999999</v>
      </c>
      <c r="F86" s="198">
        <f>Bxl_Stock!B64/1000</f>
        <v>478.95077199999997</v>
      </c>
    </row>
    <row r="87" spans="2:6" x14ac:dyDescent="0.25">
      <c r="B87" s="113">
        <v>2020</v>
      </c>
      <c r="C87" s="203">
        <f>Paris_Stock!C74</f>
        <v>42113.116167499997</v>
      </c>
      <c r="D87" s="203">
        <f>Paris_Stock!B74/1000</f>
        <v>1803.0361229800003</v>
      </c>
      <c r="E87" s="203">
        <f>Bxl_Stock!C74</f>
        <v>10876.97812</v>
      </c>
      <c r="F87" s="203">
        <f>Bxl_Stock!B74/1000</f>
        <v>513.82982200000004</v>
      </c>
    </row>
    <row r="90" spans="2:6" x14ac:dyDescent="0.25">
      <c r="B90" s="228" t="s">
        <v>380</v>
      </c>
    </row>
    <row r="91" spans="2:6" x14ac:dyDescent="0.25">
      <c r="B91" s="220"/>
      <c r="C91" s="221" t="s">
        <v>377</v>
      </c>
      <c r="D91" s="220"/>
      <c r="E91" s="221" t="s">
        <v>370</v>
      </c>
      <c r="F91" s="220"/>
    </row>
    <row r="92" spans="2:6" x14ac:dyDescent="0.25">
      <c r="B92" s="103"/>
      <c r="C92" s="103" t="s">
        <v>136</v>
      </c>
      <c r="D92" s="103" t="s">
        <v>353</v>
      </c>
      <c r="E92" s="103" t="s">
        <v>136</v>
      </c>
      <c r="F92" s="103" t="s">
        <v>353</v>
      </c>
    </row>
    <row r="93" spans="2:6" x14ac:dyDescent="0.25">
      <c r="B93" s="107">
        <v>1950</v>
      </c>
      <c r="C93" s="218">
        <f>Paris_Stock!F4</f>
        <v>0</v>
      </c>
      <c r="D93" s="218">
        <f>Bxl_Stock!F4</f>
        <v>0</v>
      </c>
      <c r="E93" s="218">
        <f>Paris_Stock!G4</f>
        <v>0</v>
      </c>
      <c r="F93" s="218">
        <f>Bxl_Stock!G4</f>
        <v>0</v>
      </c>
    </row>
    <row r="94" spans="2:6" x14ac:dyDescent="0.25">
      <c r="B94" s="107">
        <v>1960</v>
      </c>
      <c r="C94" s="218">
        <f>Paris_Stock!F14</f>
        <v>13.2</v>
      </c>
      <c r="D94" s="218">
        <f>Bxl_Stock!F14</f>
        <v>0</v>
      </c>
      <c r="E94" s="218">
        <f>Paris_Stock!G14</f>
        <v>0</v>
      </c>
      <c r="F94" s="218">
        <f>Bxl_Stock!G14</f>
        <v>0</v>
      </c>
    </row>
    <row r="95" spans="2:6" x14ac:dyDescent="0.25">
      <c r="B95" s="107">
        <v>1970</v>
      </c>
      <c r="C95" s="218">
        <f>Paris_Stock!F24</f>
        <v>232.29956000000001</v>
      </c>
      <c r="D95" s="218">
        <f>Bxl_Stock!F24</f>
        <v>37.247772631578954</v>
      </c>
      <c r="E95" s="218">
        <f>Paris_Stock!G24</f>
        <v>99.983413333333331</v>
      </c>
      <c r="F95" s="218">
        <f>Bxl_Stock!G24</f>
        <v>15.63768</v>
      </c>
    </row>
    <row r="96" spans="2:6" x14ac:dyDescent="0.25">
      <c r="B96" s="107">
        <v>1980</v>
      </c>
      <c r="C96" s="218">
        <f>Paris_Stock!F34</f>
        <v>782.32668615384614</v>
      </c>
      <c r="D96" s="218">
        <f>Bxl_Stock!F34</f>
        <v>174.78717263157895</v>
      </c>
      <c r="E96" s="218">
        <f>Paris_Stock!G34</f>
        <v>491.07927999999998</v>
      </c>
      <c r="F96" s="218">
        <f>Bxl_Stock!G34</f>
        <v>118.40827999999999</v>
      </c>
    </row>
    <row r="97" spans="2:6" x14ac:dyDescent="0.25">
      <c r="B97" s="107">
        <v>1990</v>
      </c>
      <c r="C97" s="218">
        <f>Paris_Stock!F44</f>
        <v>1516.9464873990717</v>
      </c>
      <c r="D97" s="218">
        <f>Bxl_Stock!F44</f>
        <v>206.61897263157897</v>
      </c>
      <c r="E97" s="218">
        <f>Paris_Stock!G44</f>
        <v>961.87296436210841</v>
      </c>
      <c r="F97" s="218">
        <f>Bxl_Stock!G44</f>
        <v>136.59787999999998</v>
      </c>
    </row>
    <row r="98" spans="2:6" x14ac:dyDescent="0.25">
      <c r="B98" s="107">
        <v>2000</v>
      </c>
      <c r="C98" s="218">
        <f>Paris_Stock!F54</f>
        <v>1732.4906153990719</v>
      </c>
      <c r="D98" s="218">
        <f>Bxl_Stock!F54</f>
        <v>414.26706863157904</v>
      </c>
      <c r="E98" s="218">
        <f>Paris_Stock!G54</f>
        <v>1107.565895028775</v>
      </c>
      <c r="F98" s="218">
        <f>Bxl_Stock!G54</f>
        <v>344.24597600000004</v>
      </c>
    </row>
    <row r="99" spans="2:6" x14ac:dyDescent="0.25">
      <c r="B99" s="107">
        <v>2010</v>
      </c>
      <c r="C99" s="218">
        <f>Paris_Stock!F64</f>
        <v>2191.822056791013</v>
      </c>
      <c r="D99" s="218">
        <f>Bxl_Stock!F64</f>
        <v>692.15841666666665</v>
      </c>
      <c r="E99" s="218">
        <f>Paris_Stock!G64</f>
        <v>1423.0540940763942</v>
      </c>
      <c r="F99" s="218">
        <f>Bxl_Stock!G64</f>
        <v>553.83179600000005</v>
      </c>
    </row>
    <row r="100" spans="2:6" x14ac:dyDescent="0.25">
      <c r="B100" s="113">
        <v>2020</v>
      </c>
      <c r="C100" s="219">
        <f>Paris_Stock!F74</f>
        <v>2699.0367160396895</v>
      </c>
      <c r="D100" s="219">
        <f>Bxl_Stock!F74</f>
        <v>704.80041666666659</v>
      </c>
      <c r="E100" s="219">
        <f>Paris_Stock!G74</f>
        <v>1740.0092442880346</v>
      </c>
      <c r="F100" s="219">
        <f>Bxl_Stock!G74</f>
        <v>601.24259600000005</v>
      </c>
    </row>
    <row r="104" spans="2:6" x14ac:dyDescent="0.25">
      <c r="B104" s="199"/>
      <c r="C104" s="229" t="s">
        <v>136</v>
      </c>
      <c r="D104" s="229"/>
      <c r="E104" s="229" t="s">
        <v>353</v>
      </c>
      <c r="F104" s="229"/>
    </row>
    <row r="105" spans="2:6" x14ac:dyDescent="0.25">
      <c r="B105" s="183"/>
      <c r="C105" s="200" t="s">
        <v>315</v>
      </c>
      <c r="D105" s="200" t="s">
        <v>349</v>
      </c>
      <c r="E105" s="200" t="s">
        <v>315</v>
      </c>
      <c r="F105" s="200" t="s">
        <v>349</v>
      </c>
    </row>
    <row r="106" spans="2:6" x14ac:dyDescent="0.25">
      <c r="B106" s="201" t="s">
        <v>381</v>
      </c>
      <c r="C106" s="202"/>
      <c r="D106" s="202"/>
      <c r="E106" s="202"/>
      <c r="F106" s="202"/>
    </row>
    <row r="107" spans="2:6" x14ac:dyDescent="0.25">
      <c r="B107" t="s">
        <v>383</v>
      </c>
      <c r="C107" s="198">
        <f>Paris_data4Graph!AH80</f>
        <v>859.23176151190478</v>
      </c>
      <c r="D107" s="211">
        <f>Paris_data4Graph!AG80/1000</f>
        <v>27.03617966904762</v>
      </c>
      <c r="E107" s="198">
        <f>Bxl_data4Graph!X80</f>
        <v>110.56100624999999</v>
      </c>
      <c r="F107" s="211">
        <f>Bxl_data4Graph!W80/1000</f>
        <v>2.5822712500000002</v>
      </c>
    </row>
    <row r="108" spans="2:6" x14ac:dyDescent="0.25">
      <c r="B108" t="s">
        <v>384</v>
      </c>
      <c r="C108" s="198">
        <f>Paris_data4Graph!AH90</f>
        <v>1129.99612</v>
      </c>
      <c r="D108" s="211">
        <f>Paris_data4Graph!AG90/1000</f>
        <v>33.080880499999992</v>
      </c>
      <c r="E108" s="198">
        <f>Bxl_data4Graph!X90</f>
        <v>416.05621200000007</v>
      </c>
      <c r="F108" s="211">
        <f>Bxl_data4Graph!W90/1000</f>
        <v>10.7189136</v>
      </c>
    </row>
    <row r="109" spans="2:6" x14ac:dyDescent="0.25">
      <c r="B109" t="s">
        <v>385</v>
      </c>
      <c r="C109" s="198">
        <f>Paris_data4Graph!AH100</f>
        <v>1191.0548009999998</v>
      </c>
      <c r="D109" s="211">
        <f>Paris_data4Graph!AG100/1000</f>
        <v>30.148260999999998</v>
      </c>
      <c r="E109" s="198">
        <f>Bxl_data4Graph!X100</f>
        <v>385.44175000000001</v>
      </c>
      <c r="F109" s="211">
        <f>Bxl_data4Graph!W100/1000</f>
        <v>10.5256375</v>
      </c>
    </row>
    <row r="110" spans="2:6" x14ac:dyDescent="0.25">
      <c r="B110" t="s">
        <v>386</v>
      </c>
      <c r="C110" s="198">
        <f>Paris_data4Graph!AH110</f>
        <v>1464.9301945</v>
      </c>
      <c r="D110" s="211">
        <f>Paris_data4Graph!AG110/1000</f>
        <v>40.008392749999999</v>
      </c>
      <c r="E110" s="198">
        <f>Bxl_data4Graph!X110</f>
        <v>203.25</v>
      </c>
      <c r="F110" s="211">
        <f>Bxl_data4Graph!W110/1000</f>
        <v>8.5292499999999993</v>
      </c>
    </row>
    <row r="111" spans="2:6" x14ac:dyDescent="0.25">
      <c r="B111" t="s">
        <v>387</v>
      </c>
      <c r="C111" s="198">
        <f>Paris_data4Graph!AH120</f>
        <v>342.64484126984121</v>
      </c>
      <c r="D111" s="211">
        <f>Paris_data4Graph!AG120/1000</f>
        <v>9.068650793650793</v>
      </c>
      <c r="E111" s="198">
        <f>Bxl_data4Graph!X120</f>
        <v>109.05234374999999</v>
      </c>
      <c r="F111" s="211">
        <f>Bxl_data4Graph!W120/1000</f>
        <v>2.4233854166666666</v>
      </c>
    </row>
    <row r="112" spans="2:6" x14ac:dyDescent="0.25">
      <c r="B112" s="201" t="s">
        <v>382</v>
      </c>
      <c r="C112" s="202"/>
      <c r="D112" s="202"/>
      <c r="E112" s="202"/>
    </row>
    <row r="113" spans="2:8" x14ac:dyDescent="0.25">
      <c r="B113" t="s">
        <v>383</v>
      </c>
      <c r="C113" s="209">
        <f>Paris_data4Graph!AJ80</f>
        <v>566.47445674999994</v>
      </c>
      <c r="D113" s="213">
        <f>Paris_data4Graph!AI80/1000</f>
        <v>27.203701299999999</v>
      </c>
      <c r="E113" s="209">
        <f>Bxl_data4Graph!Z80</f>
        <v>86.453099999999992</v>
      </c>
      <c r="F113" s="213">
        <f>Bxl_data4Graph!Y80/1000</f>
        <v>4.0930800000000005</v>
      </c>
    </row>
    <row r="114" spans="2:8" x14ac:dyDescent="0.25">
      <c r="B114" t="s">
        <v>384</v>
      </c>
      <c r="C114" s="210">
        <f>Paris_data4Graph!AJ90</f>
        <v>1075.1306300000001</v>
      </c>
      <c r="D114" s="214">
        <f>Paris_data4Graph!AI90/1000</f>
        <v>52.04437699999999</v>
      </c>
      <c r="E114" s="210">
        <f>Bxl_data4Graph!Z90</f>
        <v>396.69739200000004</v>
      </c>
      <c r="F114" s="214">
        <f>Bxl_data4Graph!Y90/1000</f>
        <v>18.9171072</v>
      </c>
    </row>
    <row r="115" spans="2:8" x14ac:dyDescent="0.25">
      <c r="B115" t="s">
        <v>385</v>
      </c>
      <c r="C115" s="210">
        <f>Paris_data4Graph!AJ100</f>
        <v>1203.2670279999998</v>
      </c>
      <c r="D115" s="214">
        <f>Paris_data4Graph!AI100/1000</f>
        <v>55.005717000000004</v>
      </c>
      <c r="E115" s="210">
        <f>Bxl_data4Graph!Z100</f>
        <v>385.44175000000001</v>
      </c>
      <c r="F115" s="214">
        <f>Bxl_data4Graph!Y100/1000</f>
        <v>18.872087500000003</v>
      </c>
    </row>
    <row r="116" spans="2:8" x14ac:dyDescent="0.25">
      <c r="B116" t="s">
        <v>386</v>
      </c>
      <c r="C116" s="210">
        <f>Paris_data4Graph!AJ110</f>
        <v>1322.5386145</v>
      </c>
      <c r="D116" s="214">
        <f>Paris_data4Graph!AI110/1000</f>
        <v>58.331347998000005</v>
      </c>
      <c r="E116" s="210">
        <f>Bxl_data4Graph!Z110</f>
        <v>327.25</v>
      </c>
      <c r="F116" s="214">
        <f>Bxl_data4Graph!Y110/1000</f>
        <v>15.858499999999999</v>
      </c>
    </row>
    <row r="117" spans="2:8" x14ac:dyDescent="0.25">
      <c r="B117" s="1" t="s">
        <v>387</v>
      </c>
      <c r="C117" s="203">
        <f>Paris_data4Graph!AJ120</f>
        <v>342.64484126984121</v>
      </c>
      <c r="D117" s="212">
        <f>Paris_data4Graph!AI120/1000</f>
        <v>14.865079365079364</v>
      </c>
      <c r="E117" s="203">
        <f>Bxl_data4Graph!Z120</f>
        <v>68.872499999999988</v>
      </c>
      <c r="F117" s="212">
        <f>Bxl_data4Graph!Y120/1000</f>
        <v>3.0609999999999999</v>
      </c>
    </row>
    <row r="121" spans="2:8" x14ac:dyDescent="0.25">
      <c r="B121" t="s">
        <v>403</v>
      </c>
    </row>
    <row r="122" spans="2:8" x14ac:dyDescent="0.25">
      <c r="B122" s="4"/>
      <c r="C122" s="229" t="s">
        <v>136</v>
      </c>
      <c r="D122" s="229"/>
      <c r="E122" s="4"/>
      <c r="F122" s="229" t="s">
        <v>353</v>
      </c>
      <c r="G122" s="4"/>
      <c r="H122" s="4"/>
    </row>
    <row r="123" spans="2:8" x14ac:dyDescent="0.25">
      <c r="B123" s="242" t="s">
        <v>402</v>
      </c>
      <c r="C123" s="241">
        <v>0.05</v>
      </c>
      <c r="D123" s="243">
        <v>0.25</v>
      </c>
      <c r="E123" s="243">
        <v>0.5</v>
      </c>
      <c r="F123" s="241">
        <v>0.05</v>
      </c>
      <c r="G123" s="243">
        <v>0.25</v>
      </c>
      <c r="H123" s="243">
        <v>0.5</v>
      </c>
    </row>
    <row r="124" spans="2:8" x14ac:dyDescent="0.25">
      <c r="B124" t="s">
        <v>383</v>
      </c>
      <c r="C124" s="197">
        <f>-Paris_data4Graph!AP80</f>
        <v>37.080927884999994</v>
      </c>
      <c r="D124" s="197">
        <f>-Paris_data4Graph!AQ80</f>
        <v>72.529123390350975</v>
      </c>
      <c r="E124" s="197">
        <f>-Paris_data4Graph!AR80</f>
        <v>116.83936777203967</v>
      </c>
      <c r="F124" s="197">
        <f>-Bxl_data4Graph!AF80</f>
        <v>2.707776</v>
      </c>
      <c r="G124" s="197">
        <f>-Bxl_data4Graph!AG80</f>
        <v>6.7969582479822677</v>
      </c>
      <c r="H124" s="197">
        <f>-Bxl_data4Graph!AH80</f>
        <v>11.908436057960099</v>
      </c>
    </row>
    <row r="125" spans="2:8" x14ac:dyDescent="0.25">
      <c r="B125" t="s">
        <v>384</v>
      </c>
      <c r="C125" s="197">
        <f>-Paris_data4Graph!AP90</f>
        <v>56.664155999999991</v>
      </c>
      <c r="D125" s="197">
        <f>-Paris_data4Graph!AQ90</f>
        <v>269.10782281530527</v>
      </c>
      <c r="E125" s="197">
        <f>-Paris_data4Graph!AR90</f>
        <v>534.66240633443681</v>
      </c>
      <c r="F125" s="197">
        <f>-Bxl_data4Graph!AF90</f>
        <v>23.801843519999998</v>
      </c>
      <c r="G125" s="197">
        <f>-Bxl_data4Graph!AG90</f>
        <v>97.708619145331582</v>
      </c>
      <c r="H125" s="197">
        <f>-Bxl_data4Graph!AH90</f>
        <v>190.09208867699604</v>
      </c>
    </row>
    <row r="126" spans="2:8" x14ac:dyDescent="0.25">
      <c r="B126" t="s">
        <v>385</v>
      </c>
      <c r="C126" s="197">
        <f>-Paris_data4Graph!AP100</f>
        <v>68.268903479999992</v>
      </c>
      <c r="D126" s="197">
        <f>-Paris_data4Graph!AQ100</f>
        <v>341.13171617492469</v>
      </c>
      <c r="E126" s="197">
        <f>-Paris_data4Graph!AR100</f>
        <v>682.21023204358039</v>
      </c>
      <c r="F126" s="197">
        <f>-Bxl_data4Graph!AF100</f>
        <v>23.126505000000002</v>
      </c>
      <c r="G126" s="197">
        <f>-Bxl_data4Graph!AG100</f>
        <v>115.36156642244892</v>
      </c>
      <c r="H126" s="197">
        <f>-Bxl_data4Graph!AH100</f>
        <v>230.65539320051008</v>
      </c>
    </row>
    <row r="127" spans="2:8" x14ac:dyDescent="0.25">
      <c r="B127" s="1" t="s">
        <v>386</v>
      </c>
      <c r="C127" s="244">
        <f>-Paris_data4Graph!AP110</f>
        <v>88.831531155714288</v>
      </c>
      <c r="D127" s="244">
        <f>-Paris_data4Graph!AQ110</f>
        <v>444.15633751993334</v>
      </c>
      <c r="E127" s="244">
        <f>-Paris_data4Graph!AR110</f>
        <v>888.31234547520728</v>
      </c>
      <c r="F127" s="244">
        <f>-Bxl_data4Graph!AF110</f>
        <v>22.114410000000003</v>
      </c>
      <c r="G127" s="244">
        <f>-Bxl_data4Graph!AG110</f>
        <v>110.57188643509824</v>
      </c>
      <c r="H127" s="244">
        <f>-Bxl_data4Graph!AH110</f>
        <v>221.14373197897103</v>
      </c>
    </row>
    <row r="129" spans="2:9" x14ac:dyDescent="0.25">
      <c r="B129" t="s">
        <v>404</v>
      </c>
    </row>
    <row r="130" spans="2:9" x14ac:dyDescent="0.25">
      <c r="B130" s="4"/>
      <c r="C130" s="199" t="s">
        <v>405</v>
      </c>
      <c r="D130" s="229"/>
      <c r="E130" s="4"/>
      <c r="F130" s="246" t="s">
        <v>406</v>
      </c>
      <c r="G130" s="4"/>
      <c r="H130" s="4"/>
    </row>
    <row r="131" spans="2:9" x14ac:dyDescent="0.25">
      <c r="B131" s="242" t="s">
        <v>402</v>
      </c>
      <c r="C131" s="241">
        <v>0.05</v>
      </c>
      <c r="D131" s="243">
        <v>0.25</v>
      </c>
      <c r="E131" s="243">
        <v>0.5</v>
      </c>
      <c r="F131" s="241">
        <v>0.05</v>
      </c>
      <c r="G131" s="243">
        <v>0.25</v>
      </c>
      <c r="H131" s="243">
        <v>0.5</v>
      </c>
    </row>
    <row r="132" spans="2:9" x14ac:dyDescent="0.25">
      <c r="B132" t="s">
        <v>383</v>
      </c>
      <c r="C132" s="197">
        <f>Paris_data4Graph!AS80</f>
        <v>-9.2702319712499985</v>
      </c>
      <c r="D132" s="197">
        <f>Paris_data4Graph!AT80</f>
        <v>-18.132280847587744</v>
      </c>
      <c r="E132" s="197">
        <f>Paris_data4Graph!AU80</f>
        <v>-29.209841943009916</v>
      </c>
      <c r="F132" s="197">
        <f>Paris_data4Graph!AW80</f>
        <v>-1.7613440745374995</v>
      </c>
      <c r="G132" s="197">
        <f>Paris_data4Graph!AX80</f>
        <v>-10.534772462111864</v>
      </c>
      <c r="H132" s="197">
        <f>Paris_data4Graph!AY80</f>
        <v>-21.501557946579815</v>
      </c>
    </row>
    <row r="133" spans="2:9" x14ac:dyDescent="0.25">
      <c r="B133" t="s">
        <v>384</v>
      </c>
      <c r="C133" s="197">
        <f>Paris_data4Graph!AS90</f>
        <v>-14.166038999999998</v>
      </c>
      <c r="D133" s="197">
        <f>Paris_data4Graph!AT90</f>
        <v>-67.276955703826317</v>
      </c>
      <c r="E133" s="197">
        <f>Paris_data4Graph!AU90</f>
        <v>-133.6656015836092</v>
      </c>
      <c r="F133" s="197">
        <f>Paris_data4Graph!AW90</f>
        <v>-2.6915474099999996</v>
      </c>
      <c r="G133" s="197">
        <f>Paris_data4Graph!AX90</f>
        <v>-55.271354946788065</v>
      </c>
      <c r="H133" s="197">
        <f>Paris_data4Graph!AY90</f>
        <v>-120.99611436777312</v>
      </c>
    </row>
    <row r="134" spans="2:9" x14ac:dyDescent="0.25">
      <c r="B134" t="s">
        <v>385</v>
      </c>
      <c r="C134" s="197">
        <f>Paris_data4Graph!AS100</f>
        <v>-17.067225869999998</v>
      </c>
      <c r="D134" s="197">
        <f>Paris_data4Graph!AT100</f>
        <v>-85.282929043731173</v>
      </c>
      <c r="E134" s="197">
        <f>Paris_data4Graph!AU100</f>
        <v>-170.5525580108951</v>
      </c>
      <c r="F134" s="197">
        <f>Paris_data4Graph!AW100</f>
        <v>-3.2427729152999993</v>
      </c>
      <c r="G134" s="197">
        <f>Paris_data4Graph!AX100</f>
        <v>-70.776319057293875</v>
      </c>
      <c r="H134" s="197">
        <f>Paris_data4Graph!AY100</f>
        <v>-155.19325173478617</v>
      </c>
    </row>
    <row r="135" spans="2:9" x14ac:dyDescent="0.25">
      <c r="B135" s="1" t="s">
        <v>386</v>
      </c>
      <c r="C135" s="244">
        <f>Paris_data4Graph!AS110</f>
        <v>-22.207882788928572</v>
      </c>
      <c r="D135" s="244">
        <f>Paris_data4Graph!AT110</f>
        <v>-111.03908437998334</v>
      </c>
      <c r="E135" s="244">
        <f>Paris_data4Graph!AU110</f>
        <v>-222.07808636880182</v>
      </c>
      <c r="F135" s="244">
        <f>Paris_data4Graph!AW110</f>
        <v>-4.2194977298964291</v>
      </c>
      <c r="G135" s="244">
        <f>Paris_data4Graph!AX110</f>
        <v>-92.162387305040681</v>
      </c>
      <c r="H135" s="244">
        <f>Paris_data4Graph!AY110</f>
        <v>-202.09099927397094</v>
      </c>
    </row>
    <row r="136" spans="2:9" x14ac:dyDescent="0.25">
      <c r="C136" s="5"/>
      <c r="D136" s="200"/>
      <c r="E136" s="200"/>
      <c r="F136" s="200"/>
      <c r="G136" s="5"/>
      <c r="H136" s="5"/>
    </row>
    <row r="137" spans="2:9" x14ac:dyDescent="0.25">
      <c r="C137" s="5"/>
      <c r="D137" s="5"/>
      <c r="E137" s="5"/>
      <c r="F137" s="5"/>
      <c r="G137" s="5"/>
      <c r="H137" s="5"/>
      <c r="I137" s="5"/>
    </row>
  </sheetData>
  <mergeCells count="4">
    <mergeCell ref="C54:D54"/>
    <mergeCell ref="E54:F54"/>
    <mergeCell ref="C78:D78"/>
    <mergeCell ref="E78:F7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Hypotheses</vt:lpstr>
      <vt:lpstr>ResourcesEmissions</vt:lpstr>
      <vt:lpstr>PARIS</vt:lpstr>
      <vt:lpstr>Paris_Inflow</vt:lpstr>
      <vt:lpstr>Paris_Outflow</vt:lpstr>
      <vt:lpstr>Paris_Stock</vt:lpstr>
      <vt:lpstr>Paris_data4Graph</vt:lpstr>
      <vt:lpstr>Paris_Graph</vt:lpstr>
      <vt:lpstr>BXL</vt:lpstr>
      <vt:lpstr>Bxl_Inflow</vt:lpstr>
      <vt:lpstr>Bxl_Outflow</vt:lpstr>
      <vt:lpstr>Bxl_Stock</vt:lpstr>
      <vt:lpstr>Bxl_data4Graph</vt:lpstr>
      <vt:lpstr>Bxl_Graph</vt:lpstr>
      <vt:lpstr>DataAnalysis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cp:lastPrinted>2022-04-18T20:26:22Z</cp:lastPrinted>
  <dcterms:created xsi:type="dcterms:W3CDTF">2019-12-12T10:46:07Z</dcterms:created>
  <dcterms:modified xsi:type="dcterms:W3CDTF">2022-04-26T14:39:23Z</dcterms:modified>
</cp:coreProperties>
</file>