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97410830-1392-4A4A-84C9-FFF1A70D294E}" xr6:coauthVersionLast="47" xr6:coauthVersionMax="47" xr10:uidLastSave="{00000000-0000-0000-0000-000000000000}"/>
  <bookViews>
    <workbookView xWindow="30" yWindow="930" windowWidth="28770" windowHeight="15270" tabRatio="688" activeTab="1" xr2:uid="{C53D2317-A0AE-4D89-AE6C-E52C75B15043}"/>
  </bookViews>
  <sheets>
    <sheet name="Hypothesis" sheetId="1" r:id="rId1"/>
    <sheet name="EoL_SG_Market" sheetId="45" r:id="rId2"/>
    <sheet name="EoL_SG" sheetId="46" r:id="rId3"/>
    <sheet name="EoL_DG_Market" sheetId="43" r:id="rId4"/>
    <sheet name="EoL_DG" sheetId="44" r:id="rId5"/>
    <sheet name="EoL_TG_Market" sheetId="47" r:id="rId6"/>
    <sheet name="EoL_TG" sheetId="48" r:id="rId7"/>
    <sheet name="EoL_vacuum_Market" sheetId="59" r:id="rId8"/>
    <sheet name="EoL_vacuum" sheetId="60" r:id="rId9"/>
    <sheet name="EoL_smart_Market" sheetId="63" r:id="rId10"/>
    <sheet name="EoL_smart" sheetId="64" r:id="rId11"/>
    <sheet name="EoL_CW_SG_Low_Market" sheetId="55" r:id="rId12"/>
    <sheet name="EoL_CW_SG_Low" sheetId="56" r:id="rId13"/>
    <sheet name="EoL_CW_DG_Low_Market" sheetId="4" r:id="rId14"/>
    <sheet name="EoL_CW_DG_Low" sheetId="40" r:id="rId15"/>
    <sheet name="EoL_CW_DG_High_Market" sheetId="41" r:id="rId16"/>
    <sheet name="EoL_CW_DG_High" sheetId="42" r:id="rId17"/>
    <sheet name="EoL_CW_TG_High_Market" sheetId="49" r:id="rId18"/>
    <sheet name="EoL_CW_TG_High" sheetId="50" r:id="rId19"/>
    <sheet name="EoL_CW_CCF_Market" sheetId="51" r:id="rId20"/>
    <sheet name="EoL_CW_CCF" sheetId="52" r:id="rId21"/>
    <sheet name="EoL_CW_vacuum_Market" sheetId="57" r:id="rId22"/>
    <sheet name="EoL_CW_vacuum" sheetId="58" r:id="rId23"/>
    <sheet name="EoL_CW_smart_Market" sheetId="61" r:id="rId24"/>
    <sheet name="EoL_CW_smart" sheetId="62" r:id="rId25"/>
    <sheet name="EoL_CW_DSF_Market" sheetId="54" r:id="rId26"/>
    <sheet name="EoL_CW_DSF" sheetId="53" r:id="rId27"/>
    <sheet name="EoL_screen_market" sheetId="65" r:id="rId28"/>
    <sheet name="EoL_screen" sheetId="66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64" l="1"/>
  <c r="B16" i="64"/>
  <c r="B15" i="64"/>
  <c r="B14" i="64"/>
  <c r="B16" i="62"/>
  <c r="B16" i="58"/>
  <c r="B17" i="53"/>
  <c r="B16" i="53"/>
  <c r="B17" i="52"/>
  <c r="B16" i="52"/>
  <c r="B16" i="50"/>
  <c r="B16" i="42"/>
  <c r="B16" i="40"/>
  <c r="B16" i="56"/>
  <c r="C33" i="45" l="1"/>
  <c r="C32" i="45"/>
  <c r="C30" i="45"/>
  <c r="C29" i="45"/>
  <c r="C27" i="45"/>
  <c r="C26" i="45"/>
  <c r="C24" i="45"/>
  <c r="C22" i="45"/>
  <c r="C21" i="45"/>
  <c r="C19" i="45"/>
  <c r="C20" i="45"/>
  <c r="C25" i="45"/>
  <c r="D68" i="1"/>
  <c r="D64" i="1"/>
  <c r="D61" i="1"/>
  <c r="D56" i="1"/>
  <c r="D55" i="1"/>
  <c r="D51" i="1"/>
  <c r="D48" i="1"/>
  <c r="D43" i="1"/>
  <c r="D34" i="1"/>
  <c r="D42" i="1" s="1"/>
  <c r="D81" i="1"/>
  <c r="D80" i="1"/>
  <c r="D75" i="1"/>
  <c r="D74" i="1"/>
  <c r="D69" i="1"/>
  <c r="D63" i="1"/>
  <c r="D62" i="1"/>
  <c r="D50" i="1"/>
  <c r="D49" i="1"/>
  <c r="D35" i="1"/>
  <c r="D31" i="1"/>
  <c r="B15" i="48"/>
  <c r="B14" i="48"/>
  <c r="C38" i="45" l="1"/>
  <c r="C39" i="45"/>
</calcChain>
</file>

<file path=xl/sharedStrings.xml><?xml version="1.0" encoding="utf-8"?>
<sst xmlns="http://schemas.openxmlformats.org/spreadsheetml/2006/main" count="2628" uniqueCount="310">
  <si>
    <t>skip</t>
  </si>
  <si>
    <t>This sheet will be skipped.</t>
  </si>
  <si>
    <t>To kip sheets, cell A1 must be `skip`.</t>
  </si>
  <si>
    <t>It is that simple!</t>
  </si>
  <si>
    <t>When written in black: idem as Ecoinvent</t>
  </si>
  <si>
    <t>When written in blue: added information compared with Ecoinvent</t>
  </si>
  <si>
    <t>When written in red: deleted information compared with Ecoinvent</t>
  </si>
  <si>
    <t>When written in green: additional information</t>
  </si>
  <si>
    <t>Variables and parameters</t>
  </si>
  <si>
    <t>symbol</t>
  </si>
  <si>
    <t>unit</t>
  </si>
  <si>
    <t>comments</t>
  </si>
  <si>
    <t>m</t>
  </si>
  <si>
    <t>kg</t>
  </si>
  <si>
    <t>value</t>
  </si>
  <si>
    <t>m_alu</t>
  </si>
  <si>
    <t>m_epdm</t>
  </si>
  <si>
    <t>H_glass</t>
  </si>
  <si>
    <t>w_glass</t>
  </si>
  <si>
    <t>w_frame</t>
  </si>
  <si>
    <t>Height of the glazed part of the curtain wall, including frame width</t>
  </si>
  <si>
    <t>Width of the glazed part of the curtain wall, including frame width</t>
  </si>
  <si>
    <t>Width of the frame</t>
  </si>
  <si>
    <t>total mass of aluminium per linear meter of frame</t>
  </si>
  <si>
    <t>total mass of EPDM per linear meter of frame</t>
  </si>
  <si>
    <t>S_glass</t>
  </si>
  <si>
    <t>m²</t>
  </si>
  <si>
    <t>Total area of the IGU</t>
  </si>
  <si>
    <t>m_wood</t>
  </si>
  <si>
    <t>total mass of wood in low performance frame</t>
  </si>
  <si>
    <t>cutoff</t>
  </si>
  <si>
    <t>You can tell the importer to ignore some columns, where you can do calculations or take notes.</t>
  </si>
  <si>
    <t>Database</t>
  </si>
  <si>
    <t>You do this by putting the text `cutoff` in cell A1, and then the column number (it has to be a number) of the first column</t>
  </si>
  <si>
    <t>extracted from</t>
  </si>
  <si>
    <t>to start ignoring. Start counting columns from A (1), B (2), etc. In this case, we will ignore columns J (10) and higher.</t>
  </si>
  <si>
    <t>format</t>
  </si>
  <si>
    <t>Excel spreadsheet</t>
  </si>
  <si>
    <t>All columns past the first two for database and activity definitions are ignored in any case.</t>
  </si>
  <si>
    <t>Activity</t>
  </si>
  <si>
    <t>categories</t>
  </si>
  <si>
    <t>building components::windows</t>
  </si>
  <si>
    <t>code</t>
  </si>
  <si>
    <t>location</t>
  </si>
  <si>
    <t>BE</t>
  </si>
  <si>
    <t>production amount</t>
  </si>
  <si>
    <t>type</t>
  </si>
  <si>
    <t>process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</si>
  <si>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</si>
  <si>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</si>
  <si>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</si>
  <si>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</si>
  <si>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</si>
  <si>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</si>
  <si>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</si>
  <si>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</si>
  <si>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</si>
  <si>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</si>
  <si>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</si>
  <si>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input</t>
  </si>
  <si>
    <t>ecoinvent 3.7 cut-off</t>
  </si>
  <si>
    <t>(Unknown)</t>
  </si>
  <si>
    <t>technosphere</t>
  </si>
  <si>
    <t>RER</t>
  </si>
  <si>
    <t>production</t>
  </si>
  <si>
    <t>square meter</t>
  </si>
  <si>
    <t>L_frame</t>
  </si>
  <si>
    <t>Total length of frame</t>
  </si>
  <si>
    <t>Constant, per unit of glazed section of curtain wall</t>
  </si>
  <si>
    <t>Constant, per m² of glazed section of curtain wall</t>
  </si>
  <si>
    <t>H_cw</t>
  </si>
  <si>
    <t>w_cw</t>
  </si>
  <si>
    <t>Height of a glazed unit of curtain wall</t>
  </si>
  <si>
    <t>Width of a glazed unit of curtain wall</t>
  </si>
  <si>
    <t>S_cw</t>
  </si>
  <si>
    <t>Surface of glass per m² of glazed curtain wall</t>
  </si>
  <si>
    <t>Length of alu frame per m² of glazed curtain wall</t>
  </si>
  <si>
    <t>Frame_Low performance_SG, per linear meter of frame</t>
  </si>
  <si>
    <t>Frame_High performance_SG, per linear meter of frame</t>
  </si>
  <si>
    <t>Frame_Low performance_DG, per linear meter of frame</t>
  </si>
  <si>
    <t>Frame_High performance_DG, per linear meter of frame</t>
  </si>
  <si>
    <t>Frame_High performance_TG, per linear meter of frame</t>
  </si>
  <si>
    <t>m³</t>
  </si>
  <si>
    <t>market for transport, freight, lorry, unspecified</t>
  </si>
  <si>
    <t>ton kilometer</t>
  </si>
  <si>
    <t>28643f94f6ef67cd8b1454a84fcf7fb3</t>
  </si>
  <si>
    <t>commments</t>
  </si>
  <si>
    <t>Project parameters</t>
  </si>
  <si>
    <t>formula</t>
  </si>
  <si>
    <t>comment</t>
  </si>
  <si>
    <t>Database parameters</t>
  </si>
  <si>
    <t>kg/m³</t>
  </si>
  <si>
    <t>km</t>
  </si>
  <si>
    <t>distance from construction site to waste treatment plant</t>
  </si>
  <si>
    <t>market for used curtain wall, aluminium frame, low performance, for double glazing</t>
  </si>
  <si>
    <t>epdm_density</t>
  </si>
  <si>
    <t>alu_density</t>
  </si>
  <si>
    <t>section: 1115 mm². See dwg</t>
  </si>
  <si>
    <t>section: 150 mm². See dwg</t>
  </si>
  <si>
    <t>section: 365 mm². See dwg</t>
  </si>
  <si>
    <t>section: 1170 mm². See dwg</t>
  </si>
  <si>
    <t>section: 450 mm². See dwg</t>
  </si>
  <si>
    <t>section: 1275 mm². See dwg</t>
  </si>
  <si>
    <t>section: 520 mm². See dwg</t>
  </si>
  <si>
    <t>Frame_CCF, per linear meter of frame</t>
  </si>
  <si>
    <t>section: 4450 mm². See dwg</t>
  </si>
  <si>
    <t>section: 1300 mm². See dwg</t>
  </si>
  <si>
    <t>total mass of vacuum double glazing</t>
  </si>
  <si>
    <t>total mass of glass in double skin facade system</t>
  </si>
  <si>
    <t>total mass of double glazing</t>
  </si>
  <si>
    <t>total mass of triple glazing</t>
  </si>
  <si>
    <t>total mass of glass in closed cavity facade system</t>
  </si>
  <si>
    <t>param_t_lsg * param_g_density</t>
  </si>
  <si>
    <t>(param_t_lsg + param_t_g_ext) * param_g_density</t>
  </si>
  <si>
    <t>(param_t_lsg + param_t_g_mid_tg + param_t_g_ext) * param_g_density</t>
  </si>
  <si>
    <t>(param_t_tsg + param_t_lsg + param_t_g_ext) * param_g_density</t>
  </si>
  <si>
    <t>param_m_sg_g</t>
  </si>
  <si>
    <t>param_m_dg_g</t>
  </si>
  <si>
    <t>param_m_tg_g</t>
  </si>
  <si>
    <t>param_m_ccf_g</t>
  </si>
  <si>
    <t>param_m_vacuum_g</t>
  </si>
  <si>
    <t>param_m_smart_g</t>
  </si>
  <si>
    <t>param_m_dsf_g</t>
  </si>
  <si>
    <t>total mass of glass in single glazing curtain wall</t>
  </si>
  <si>
    <t>param_m_tg_epdm</t>
  </si>
  <si>
    <t>param_m_ccf_epdm</t>
  </si>
  <si>
    <t>param_m_dsf_epdm</t>
  </si>
  <si>
    <t>total mass of smart double glazing</t>
  </si>
  <si>
    <t>total mass of aluminium in double skin facade system</t>
  </si>
  <si>
    <t>total mass of epdm in double skin facade system</t>
  </si>
  <si>
    <t>param_d3</t>
  </si>
  <si>
    <t>market for scrap steel</t>
  </si>
  <si>
    <t>c12051c5ee5503102ed90544b8c067e0</t>
  </si>
  <si>
    <t>Europe without Switzerland</t>
  </si>
  <si>
    <t>treatment for used curtain wall, aluminium frame, low performance, for double glazing</t>
  </si>
  <si>
    <t>market for scrap aluminium</t>
  </si>
  <si>
    <t>b5e0cbae4b59c06f2d065c2b27de4f28</t>
  </si>
  <si>
    <t>market for waste rubber, unspecified</t>
  </si>
  <si>
    <t>21eb7923eb60fa8289ce975ea8696cdd</t>
  </si>
  <si>
    <t>silicone_density</t>
  </si>
  <si>
    <t>market for used curtain wall, aluminium frame, high performance, for double glazing</t>
  </si>
  <si>
    <t>treatment for used curtain wall, aluminium frame, high performance, for double glazing</t>
  </si>
  <si>
    <t>market for used double glazing</t>
  </si>
  <si>
    <t>distance from waste treatment plant to glass treatment plant</t>
  </si>
  <si>
    <t>treatment for used double glazing</t>
  </si>
  <si>
    <t>-param_m_dg_g</t>
  </si>
  <si>
    <t>polybutadiene + synthetic rubber</t>
  </si>
  <si>
    <t>treatment for used single glazing</t>
  </si>
  <si>
    <t>-param_m_sg_g</t>
  </si>
  <si>
    <t>market for used single glazing</t>
  </si>
  <si>
    <t>market for used triple glazing</t>
  </si>
  <si>
    <t>treatment for used triple glazing</t>
  </si>
  <si>
    <t>eol_tg</t>
  </si>
  <si>
    <t>-param_m_tg_g</t>
  </si>
  <si>
    <t>m_silicone</t>
  </si>
  <si>
    <t>section: 100mm²</t>
  </si>
  <si>
    <t>mass of the wood for single glazing low performance curtain wall (1m²). Profile section: 150 mm². See dwg</t>
  </si>
  <si>
    <t>mass of the silicone for single glazing low performance curtain wall (1m²). Profile section: 100mm²</t>
  </si>
  <si>
    <t>mass of the epdm for single glazing high performance curtain wall (1m²). Profile section: 365 mm². See dwg</t>
  </si>
  <si>
    <t>mass of the wood for double glazing low performance curtain wall (1m²). Profile section: 150mm² see dwg</t>
  </si>
  <si>
    <t>mass of the silicone for double glazing low performance curtain wall (1m²). Profile section: section: 100mm²</t>
  </si>
  <si>
    <t>mass of the epdm for double glazing high performance curtain wall (1m²). Profile section: 450 mm². See dwg</t>
  </si>
  <si>
    <t>mass of the alumnium frame for triple glazing high performance curtain wall (1m²). Profile section: 1275 mm². See dwg</t>
  </si>
  <si>
    <t>mass of the epdm for triple glazing high performance curtain wall (1m²). Profile section:  520 mm². See dwg</t>
  </si>
  <si>
    <t>mass of the alumnium frame for closed cavity facade curtain wall (1m²). Profile section: 4450 mm². See dwg</t>
  </si>
  <si>
    <t>mass of the epdm for closed cavity facade curtain wall (1m²). Profile section: 1300 mm². See dwg</t>
  </si>
  <si>
    <t>param_d2</t>
  </si>
  <si>
    <t>mass of the alumnium frame for single glazing high and low performance curtain wall (1m²). Profile section: 1115 mm². See dwg</t>
  </si>
  <si>
    <t>mass of the alumnium frame for double glazing high and low performance curtain wall (1m²). Profile section: 1170 mm². See dwg</t>
  </si>
  <si>
    <t>param_m_sg_alu</t>
  </si>
  <si>
    <t>param_m_sg_low_wood</t>
  </si>
  <si>
    <t>param_m_sg_low_silicone</t>
  </si>
  <si>
    <t>param_m_sg_high_epdm</t>
  </si>
  <si>
    <t>param_m_dg_alu</t>
  </si>
  <si>
    <t>param_m_dg_low_wood</t>
  </si>
  <si>
    <t>param_m_dg_low_silicone</t>
  </si>
  <si>
    <t>param_m_dg_high_epdm</t>
  </si>
  <si>
    <t>param_m_tg_alu</t>
  </si>
  <si>
    <t>param_m_ccf_alu</t>
  </si>
  <si>
    <t>-param_m_dg_alu</t>
  </si>
  <si>
    <t>-param_m_dg_low_silicone</t>
  </si>
  <si>
    <t>-param_m_dg_high_epdm</t>
  </si>
  <si>
    <t>param_m_dsf_alu</t>
  </si>
  <si>
    <t>market for used curtain wall, aluminium frame, high performance, for triple glazing</t>
  </si>
  <si>
    <t>treatment for used curtain wall, aluminium frame, high performance, for triple glazing</t>
  </si>
  <si>
    <t>-param_m_tg_alu</t>
  </si>
  <si>
    <t>-param_m_tg_epdm</t>
  </si>
  <si>
    <t>market for used curtain wall, closed cavity facade system</t>
  </si>
  <si>
    <t>-param_m_ccf_alu</t>
  </si>
  <si>
    <t>-param_m_ccf_epdm</t>
  </si>
  <si>
    <t>market for used curtain wall, double skin facade system</t>
  </si>
  <si>
    <t>treatment for used curtain wall, double skin facade system</t>
  </si>
  <si>
    <t>-param_m_dsf_epdm</t>
  </si>
  <si>
    <t>-param_m_dsf_alu</t>
  </si>
  <si>
    <t>market for used curtain wall, aluminium frame, low performance, for single glazing</t>
  </si>
  <si>
    <t>treatment for used curtain wall, aluminium frame, low performance, for single glazing</t>
  </si>
  <si>
    <t>market for waste glass sheet</t>
  </si>
  <si>
    <t>6e8eefaaf0d39e49f19c5e390f6fbb6a</t>
  </si>
  <si>
    <t>market for used curtain wall, aluminium frame, vacuum double glazing</t>
  </si>
  <si>
    <t>market_eol_vacuum</t>
  </si>
  <si>
    <t>treatment for used curtain wall, aluminium frame, vacuum double glazing</t>
  </si>
  <si>
    <t>eol_vacuum</t>
  </si>
  <si>
    <t>treatment for used curtain wall, closed cavity facade system</t>
  </si>
  <si>
    <t>-param_m_vacuum_g</t>
  </si>
  <si>
    <t>treatment for used vacuum double glazing</t>
  </si>
  <si>
    <t>market for used vacuum double glazing</t>
  </si>
  <si>
    <t>eol_cw_vacuum</t>
  </si>
  <si>
    <t>market_eol_cw_vacuum</t>
  </si>
  <si>
    <t>eol_cw_lowperf_dg</t>
  </si>
  <si>
    <t>eol_dsf</t>
  </si>
  <si>
    <t>market_eol_dsf</t>
  </si>
  <si>
    <t>eol_ccf</t>
  </si>
  <si>
    <t>market_eol_ccf</t>
  </si>
  <si>
    <t>eol_cw_highperf_tg</t>
  </si>
  <si>
    <t>market_eol_highperf_tg</t>
  </si>
  <si>
    <t>eol_cw_highperf_dg</t>
  </si>
  <si>
    <t>market_eol_cw_highperf_dg</t>
  </si>
  <si>
    <t>market_eol_cw_lowperf_dg</t>
  </si>
  <si>
    <t>eol_cw_lowperf_sg</t>
  </si>
  <si>
    <t>market_eol_cw_lowperf_sg</t>
  </si>
  <si>
    <t>market_eol_tg</t>
  </si>
  <si>
    <t>eol_dg</t>
  </si>
  <si>
    <t>market_eol_dg</t>
  </si>
  <si>
    <t>eol_sg</t>
  </si>
  <si>
    <t>market_eol_sg</t>
  </si>
  <si>
    <t>market for used curtain wall, aluminium frame, smart double glazing</t>
  </si>
  <si>
    <t>market_eol_cw_smart</t>
  </si>
  <si>
    <t>treatment for used curtain wall, aluminium frame, smart double glazing</t>
  </si>
  <si>
    <t>eol_cw_smart</t>
  </si>
  <si>
    <t>market for used smart double glazing</t>
  </si>
  <si>
    <t>param_m_smart_elec</t>
  </si>
  <si>
    <t>total mass of electronic/chromic devices for 1m² of smart double glazing</t>
  </si>
  <si>
    <t>treatment for used smart double glazing</t>
  </si>
  <si>
    <t>eol_smart</t>
  </si>
  <si>
    <t>-param_m_smart_g</t>
  </si>
  <si>
    <t>market_eol_smart</t>
  </si>
  <si>
    <t>market for waste electric and electronic equipment</t>
  </si>
  <si>
    <t>GLO</t>
  </si>
  <si>
    <t>ff77ea6422f5951933aab87d63bf9221</t>
  </si>
  <si>
    <t>market for waste plastic, consumer electronics</t>
  </si>
  <si>
    <t>efa10c5d5822c17dab5cdd72a114c79e</t>
  </si>
  <si>
    <t>be_market_eol_cw_lowperf_sg</t>
  </si>
  <si>
    <t>be_eol_cw_lowperf_sg</t>
  </si>
  <si>
    <t>be_market_eol_sg</t>
  </si>
  <si>
    <t>be_eol_sg</t>
  </si>
  <si>
    <t>be_market_eol_dg</t>
  </si>
  <si>
    <t>be_eol_dg</t>
  </si>
  <si>
    <t>be_market_eol_tg</t>
  </si>
  <si>
    <t>be_eol_tg</t>
  </si>
  <si>
    <t>be_market_eol_vacuum</t>
  </si>
  <si>
    <t>be_eol_vacuum</t>
  </si>
  <si>
    <t>be_market_eol_smart</t>
  </si>
  <si>
    <t>be_eol_smart</t>
  </si>
  <si>
    <t>be_market_eol_cw_lowperf_dg</t>
  </si>
  <si>
    <t>be_eol_cw_lowperf_dg</t>
  </si>
  <si>
    <t>be_market_eol_cw_highperf_dg</t>
  </si>
  <si>
    <t>be_eol_cw_highperf_dg</t>
  </si>
  <si>
    <t>be_market_eol_cw_highperf_tg</t>
  </si>
  <si>
    <t>be_eol_cw_highperf_tg</t>
  </si>
  <si>
    <t>be_market_eol_ccf</t>
  </si>
  <si>
    <t>be_eol_ccf</t>
  </si>
  <si>
    <t>be_market_eol_cw_vacuum</t>
  </si>
  <si>
    <t>be_eol_cw_vacuum</t>
  </si>
  <si>
    <t>be_market_eol_cw_smart</t>
  </si>
  <si>
    <t>be_eol_cw_smart</t>
  </si>
  <si>
    <t>be_market_eol_dsf</t>
  </si>
  <si>
    <t>be_eol_dsf</t>
  </si>
  <si>
    <t>RoW</t>
  </si>
  <si>
    <t>exldb_cw_eol</t>
  </si>
  <si>
    <t>param_d2 * (param_m_ccf_g + param_m_ccf_alu) / 1000</t>
  </si>
  <si>
    <t>param_d2 * (param_m_smart_g + param_m_dg_alu + param_m_smart_elec) / 1000</t>
  </si>
  <si>
    <t>param_d2 * (param_m_vacuum_g + param_m_dg_alu) / 1000</t>
  </si>
  <si>
    <t>param_d2 * (param_m_tg_g + param_m_tg_alu) / 1000</t>
  </si>
  <si>
    <t>param_d2 * (param_m_dg_g + param_m_dg_alu) / 1000</t>
  </si>
  <si>
    <t>param_d2 * (param_m_sg_g + param_m_sg_alu) / 1000</t>
  </si>
  <si>
    <t>param_d3 * (param_m_smart_g + param_m_smart_elec) / 1000</t>
  </si>
  <si>
    <t>param_d3 * param_m_vacuum_g / 1000</t>
  </si>
  <si>
    <t>param_d3 * param_m_tg_g / 1000</t>
  </si>
  <si>
    <t>param_d3 * param_m_dg_g / 1000</t>
  </si>
  <si>
    <t>param_d3 * param_m_sg_g / 1000</t>
  </si>
  <si>
    <t>market for used screen, metalised blind fabric</t>
  </si>
  <si>
    <t>market_eol_screen</t>
  </si>
  <si>
    <t>be_market_eol_screen</t>
  </si>
  <si>
    <t>treatment for used screen, metalised blind fabric</t>
  </si>
  <si>
    <t>eol_screen</t>
  </si>
  <si>
    <t>be_eol_screen</t>
  </si>
  <si>
    <t>param_d2 * (10) / 1000</t>
  </si>
  <si>
    <t>market for fibre and fabric waste, polyester</t>
  </si>
  <si>
    <t>9bde8a5f243bc045c0ca42a54c60ddb0</t>
  </si>
  <si>
    <t>treatment of scrap steel, inert material landfill</t>
  </si>
  <si>
    <t>a476a3cf86b6df19304bec42c90904c7</t>
  </si>
  <si>
    <t>param_g_density</t>
  </si>
  <si>
    <t>ton per cubic meter</t>
  </si>
  <si>
    <t>glass density</t>
  </si>
  <si>
    <t>param_t_lsg</t>
  </si>
  <si>
    <t>millimeter</t>
  </si>
  <si>
    <t>thickness of the laminated safety glass</t>
  </si>
  <si>
    <t>param_t_tsg</t>
  </si>
  <si>
    <t>thickness of the tempered safety glass</t>
  </si>
  <si>
    <t>param_n_pvb</t>
  </si>
  <si>
    <t>number of PVB layers for LSG</t>
  </si>
  <si>
    <t>param_d1</t>
  </si>
  <si>
    <t>kilometer</t>
  </si>
  <si>
    <t>distance btw the IGU processing plant and the construction site</t>
  </si>
  <si>
    <t>param_t_g_ext</t>
  </si>
  <si>
    <t>thickness of the exterior glass sheet</t>
  </si>
  <si>
    <t>param_t_g_mid_tg</t>
  </si>
  <si>
    <t>thickness of the intermediate glass sheet for triple glazing</t>
  </si>
  <si>
    <t>param_t_g_uncoated_int</t>
  </si>
  <si>
    <t>thickness of the interior glass sheet for igu w/o lsg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</si>
</sst>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9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2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6" fillId="0" borderId="1" xfId="0" applyFont="1" applyBorder="1" applyAlignment="1">
      <alignment horizontal="left"/>
    </xf>
    <xf numFmtId="2" fontId="9" fillId="0" borderId="0" xfId="0" applyNumberFormat="1" applyFont="1"/>
    <xf numFmtId="0" fontId="5" fillId="0" borderId="0" xfId="0" applyFont="1" applyAlignment="1">
      <alignment horizontal="left"/>
    </xf>
    <xf numFmtId="11" fontId="0" fillId="0" borderId="0" xfId="0" applyNumberFormat="1"/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right"/>
    </xf>
    <xf numFmtId="0" fontId="12" fillId="0" borderId="0" xfId="0" applyFont="1"/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12" fillId="0" borderId="0" xfId="0" quotePrefix="1" applyFont="1" applyAlignment="1">
      <alignment horizontal="right"/>
    </xf>
    <xf numFmtId="164" fontId="12" fillId="0" borderId="0" xfId="0" quotePrefix="1" applyNumberFormat="1" applyFont="1" applyAlignment="1">
      <alignment horizontal="right"/>
    </xf>
    <xf numFmtId="0" fontId="0" fillId="0" borderId="0" xfId="0" applyFont="1"/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A753-A54B-4F6D-8F05-2F5AC0DAAE37}">
  <dimension ref="A1:H81"/>
  <sheetViews>
    <sheetView topLeftCell="A19" workbookViewId="0">
      <selection activeCell="L79" sqref="L79"/>
    </sheetView>
  </sheetViews>
  <sheetFormatPr defaultRowHeight="15" x14ac:dyDescent="0.25"/>
  <cols>
    <col min="3" max="3" width="11.5703125" customWidth="1"/>
    <col min="4" max="4" width="11.85546875" customWidth="1"/>
    <col min="5" max="5" width="9.140625" style="8"/>
  </cols>
  <sheetData>
    <row r="1" spans="1:8" x14ac:dyDescent="0.25">
      <c r="A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x14ac:dyDescent="0.25">
      <c r="A4" s="1" t="s">
        <v>3</v>
      </c>
    </row>
    <row r="6" spans="1:8" x14ac:dyDescent="0.25">
      <c r="C6" s="2" t="s">
        <v>4</v>
      </c>
    </row>
    <row r="7" spans="1:8" x14ac:dyDescent="0.25">
      <c r="C7" s="3" t="s">
        <v>5</v>
      </c>
    </row>
    <row r="8" spans="1:8" x14ac:dyDescent="0.25">
      <c r="C8" s="4" t="s">
        <v>6</v>
      </c>
    </row>
    <row r="9" spans="1:8" x14ac:dyDescent="0.25">
      <c r="C9" s="1" t="s">
        <v>7</v>
      </c>
    </row>
    <row r="12" spans="1:8" x14ac:dyDescent="0.25">
      <c r="C12" s="5" t="s">
        <v>8</v>
      </c>
      <c r="D12" s="6"/>
      <c r="E12" s="22"/>
      <c r="F12" s="6"/>
      <c r="G12" s="6"/>
      <c r="H12" s="6"/>
    </row>
    <row r="13" spans="1:8" x14ac:dyDescent="0.25">
      <c r="C13" s="7" t="s">
        <v>9</v>
      </c>
      <c r="D13" s="8" t="s">
        <v>10</v>
      </c>
      <c r="E13" s="8" t="s">
        <v>11</v>
      </c>
    </row>
    <row r="14" spans="1:8" x14ac:dyDescent="0.25">
      <c r="C14" t="s">
        <v>70</v>
      </c>
      <c r="D14" s="32" t="s">
        <v>12</v>
      </c>
      <c r="E14" s="32" t="s">
        <v>72</v>
      </c>
    </row>
    <row r="15" spans="1:8" x14ac:dyDescent="0.25">
      <c r="C15" t="s">
        <v>71</v>
      </c>
      <c r="D15" s="32" t="s">
        <v>12</v>
      </c>
      <c r="E15" s="32" t="s">
        <v>73</v>
      </c>
    </row>
    <row r="16" spans="1:8" x14ac:dyDescent="0.25">
      <c r="C16" t="s">
        <v>17</v>
      </c>
      <c r="D16" s="32" t="s">
        <v>12</v>
      </c>
      <c r="E16" s="32" t="s">
        <v>20</v>
      </c>
    </row>
    <row r="17" spans="3:8" x14ac:dyDescent="0.25">
      <c r="C17" t="s">
        <v>18</v>
      </c>
      <c r="D17" s="32" t="s">
        <v>12</v>
      </c>
      <c r="E17" s="32" t="s">
        <v>21</v>
      </c>
    </row>
    <row r="18" spans="3:8" x14ac:dyDescent="0.25">
      <c r="C18" t="s">
        <v>19</v>
      </c>
      <c r="D18" t="s">
        <v>12</v>
      </c>
      <c r="E18" s="32" t="s">
        <v>22</v>
      </c>
    </row>
    <row r="19" spans="3:8" x14ac:dyDescent="0.25">
      <c r="C19" t="s">
        <v>25</v>
      </c>
      <c r="D19" t="s">
        <v>26</v>
      </c>
      <c r="E19" s="32" t="s">
        <v>27</v>
      </c>
    </row>
    <row r="20" spans="3:8" x14ac:dyDescent="0.25">
      <c r="C20" t="s">
        <v>15</v>
      </c>
      <c r="D20" s="32" t="s">
        <v>13</v>
      </c>
      <c r="E20" s="32" t="s">
        <v>23</v>
      </c>
    </row>
    <row r="21" spans="3:8" x14ac:dyDescent="0.25">
      <c r="C21" t="s">
        <v>16</v>
      </c>
      <c r="D21" s="32" t="s">
        <v>13</v>
      </c>
      <c r="E21" s="32" t="s">
        <v>24</v>
      </c>
    </row>
    <row r="22" spans="3:8" x14ac:dyDescent="0.25">
      <c r="C22" t="s">
        <v>28</v>
      </c>
      <c r="D22" s="32" t="s">
        <v>13</v>
      </c>
      <c r="E22" s="32" t="s">
        <v>29</v>
      </c>
    </row>
    <row r="23" spans="3:8" x14ac:dyDescent="0.25">
      <c r="C23" t="s">
        <v>66</v>
      </c>
      <c r="D23" s="32" t="s">
        <v>12</v>
      </c>
      <c r="E23" s="32" t="s">
        <v>67</v>
      </c>
    </row>
    <row r="24" spans="3:8" x14ac:dyDescent="0.25">
      <c r="D24" s="32"/>
      <c r="E24" s="32"/>
    </row>
    <row r="26" spans="3:8" x14ac:dyDescent="0.25">
      <c r="C26" s="5" t="s">
        <v>68</v>
      </c>
      <c r="D26" s="6"/>
      <c r="E26" s="22"/>
      <c r="F26" s="6"/>
      <c r="G26" s="6"/>
      <c r="H26" s="6"/>
    </row>
    <row r="27" spans="3:8" x14ac:dyDescent="0.25">
      <c r="C27" s="7" t="s">
        <v>9</v>
      </c>
      <c r="D27" s="10" t="s">
        <v>14</v>
      </c>
      <c r="E27" s="8" t="s">
        <v>10</v>
      </c>
      <c r="F27" s="7" t="s">
        <v>11</v>
      </c>
      <c r="G27" s="7"/>
      <c r="H27" s="7"/>
    </row>
    <row r="28" spans="3:8" x14ac:dyDescent="0.25">
      <c r="C28" t="s">
        <v>70</v>
      </c>
      <c r="D28">
        <v>2.35</v>
      </c>
      <c r="E28" s="8" t="s">
        <v>12</v>
      </c>
      <c r="F28" s="7"/>
      <c r="G28" s="7"/>
      <c r="H28" s="7"/>
    </row>
    <row r="29" spans="3:8" x14ac:dyDescent="0.25">
      <c r="C29" t="s">
        <v>71</v>
      </c>
      <c r="D29">
        <v>1.5</v>
      </c>
      <c r="E29" s="8" t="s">
        <v>12</v>
      </c>
      <c r="F29" s="7"/>
      <c r="G29" s="7"/>
      <c r="H29" s="7"/>
    </row>
    <row r="30" spans="3:8" x14ac:dyDescent="0.25">
      <c r="C30" t="s">
        <v>19</v>
      </c>
      <c r="D30">
        <v>0.05</v>
      </c>
      <c r="E30" s="8" t="s">
        <v>12</v>
      </c>
      <c r="F30" s="8"/>
      <c r="G30" s="7"/>
      <c r="H30" s="7"/>
    </row>
    <row r="31" spans="3:8" x14ac:dyDescent="0.25">
      <c r="C31" t="s">
        <v>74</v>
      </c>
      <c r="D31">
        <f>D29*D28</f>
        <v>3.5250000000000004</v>
      </c>
      <c r="E31" s="8" t="s">
        <v>26</v>
      </c>
      <c r="F31" s="8"/>
      <c r="G31" s="7"/>
      <c r="H31" s="7"/>
    </row>
    <row r="32" spans="3:8" x14ac:dyDescent="0.25">
      <c r="C32" t="s">
        <v>17</v>
      </c>
      <c r="D32">
        <v>2.2999999999999998</v>
      </c>
      <c r="E32" s="8" t="s">
        <v>12</v>
      </c>
      <c r="F32" s="8"/>
      <c r="G32" s="7"/>
      <c r="H32" s="7"/>
    </row>
    <row r="33" spans="3:8" x14ac:dyDescent="0.25">
      <c r="C33" t="s">
        <v>18</v>
      </c>
      <c r="D33">
        <v>1.45</v>
      </c>
      <c r="E33" s="8" t="s">
        <v>12</v>
      </c>
      <c r="F33" s="8"/>
      <c r="G33" s="7"/>
      <c r="H33" s="7"/>
    </row>
    <row r="34" spans="3:8" x14ac:dyDescent="0.25">
      <c r="C34" s="15" t="s">
        <v>25</v>
      </c>
      <c r="D34" s="15">
        <f>D33*D32</f>
        <v>3.3349999999999995</v>
      </c>
      <c r="E34" s="24" t="s">
        <v>26</v>
      </c>
      <c r="F34" s="8"/>
      <c r="G34" s="7"/>
      <c r="H34" s="7"/>
    </row>
    <row r="35" spans="3:8" x14ac:dyDescent="0.25">
      <c r="C35" s="15" t="s">
        <v>66</v>
      </c>
      <c r="D35" s="15">
        <f>D29*2+D28*2</f>
        <v>7.7</v>
      </c>
      <c r="E35" s="24" t="s">
        <v>12</v>
      </c>
    </row>
    <row r="36" spans="3:8" x14ac:dyDescent="0.25">
      <c r="C36" t="s">
        <v>95</v>
      </c>
      <c r="D36">
        <v>1500</v>
      </c>
      <c r="E36" s="8" t="s">
        <v>91</v>
      </c>
    </row>
    <row r="37" spans="3:8" x14ac:dyDescent="0.25">
      <c r="C37" t="s">
        <v>96</v>
      </c>
      <c r="D37">
        <v>2700</v>
      </c>
      <c r="E37" s="8" t="s">
        <v>91</v>
      </c>
    </row>
    <row r="38" spans="3:8" x14ac:dyDescent="0.25">
      <c r="C38" t="s">
        <v>139</v>
      </c>
      <c r="D38">
        <v>1500</v>
      </c>
      <c r="E38" s="8" t="s">
        <v>91</v>
      </c>
    </row>
    <row r="40" spans="3:8" x14ac:dyDescent="0.25">
      <c r="C40" s="5" t="s">
        <v>69</v>
      </c>
      <c r="D40" s="6"/>
      <c r="E40" s="22"/>
      <c r="F40" s="6"/>
      <c r="G40" s="6"/>
      <c r="H40" s="6"/>
    </row>
    <row r="41" spans="3:8" x14ac:dyDescent="0.25">
      <c r="C41" s="7" t="s">
        <v>9</v>
      </c>
      <c r="D41" s="10" t="s">
        <v>14</v>
      </c>
      <c r="E41" s="8" t="s">
        <v>10</v>
      </c>
      <c r="F41" s="7" t="s">
        <v>11</v>
      </c>
      <c r="G41" s="7"/>
      <c r="H41" s="7"/>
    </row>
    <row r="42" spans="3:8" x14ac:dyDescent="0.25">
      <c r="C42" s="15" t="s">
        <v>25</v>
      </c>
      <c r="D42" s="23">
        <f>D34/D31</f>
        <v>0.94609929078014166</v>
      </c>
      <c r="E42" s="24" t="s">
        <v>26</v>
      </c>
      <c r="F42" s="8" t="s">
        <v>75</v>
      </c>
      <c r="G42" s="7"/>
      <c r="H42" s="7"/>
    </row>
    <row r="43" spans="3:8" x14ac:dyDescent="0.25">
      <c r="C43" s="15" t="s">
        <v>66</v>
      </c>
      <c r="D43" s="23">
        <f>D35/D31</f>
        <v>2.1843971631205674</v>
      </c>
      <c r="E43" s="24" t="s">
        <v>26</v>
      </c>
      <c r="F43" s="8" t="s">
        <v>76</v>
      </c>
      <c r="G43" s="7"/>
      <c r="H43" s="7"/>
    </row>
    <row r="44" spans="3:8" x14ac:dyDescent="0.25">
      <c r="D44" s="12"/>
      <c r="F44" s="8"/>
      <c r="G44" s="7"/>
      <c r="H44" s="7"/>
    </row>
    <row r="46" spans="3:8" x14ac:dyDescent="0.25">
      <c r="C46" s="5" t="s">
        <v>77</v>
      </c>
      <c r="D46" s="6"/>
      <c r="E46" s="22"/>
      <c r="F46" s="6"/>
      <c r="G46" s="6"/>
      <c r="H46" s="6"/>
    </row>
    <row r="47" spans="3:8" x14ac:dyDescent="0.25">
      <c r="C47" s="7" t="s">
        <v>9</v>
      </c>
      <c r="D47" s="10" t="s">
        <v>14</v>
      </c>
      <c r="E47" s="8" t="s">
        <v>10</v>
      </c>
      <c r="F47" s="7" t="s">
        <v>11</v>
      </c>
    </row>
    <row r="48" spans="3:8" x14ac:dyDescent="0.25">
      <c r="C48" t="s">
        <v>15</v>
      </c>
      <c r="D48" s="12">
        <f>1115/1000000*D37*1.1</f>
        <v>3.3115500000000009</v>
      </c>
      <c r="E48" s="8" t="s">
        <v>13</v>
      </c>
      <c r="F48" t="s">
        <v>97</v>
      </c>
    </row>
    <row r="49" spans="3:8" x14ac:dyDescent="0.25">
      <c r="C49" t="s">
        <v>28</v>
      </c>
      <c r="D49" s="25">
        <f>150/1000000</f>
        <v>1.4999999999999999E-4</v>
      </c>
      <c r="E49" s="8" t="s">
        <v>82</v>
      </c>
      <c r="F49" t="s">
        <v>98</v>
      </c>
    </row>
    <row r="50" spans="3:8" x14ac:dyDescent="0.25">
      <c r="C50" t="s">
        <v>28</v>
      </c>
      <c r="D50" s="12">
        <f>150/1000*0.6</f>
        <v>0.09</v>
      </c>
      <c r="E50" s="8" t="s">
        <v>13</v>
      </c>
    </row>
    <row r="51" spans="3:8" x14ac:dyDescent="0.25">
      <c r="C51" t="s">
        <v>154</v>
      </c>
      <c r="D51" s="11">
        <f>100/1000000*D38</f>
        <v>0.15</v>
      </c>
      <c r="E51" s="8" t="s">
        <v>13</v>
      </c>
      <c r="F51" t="s">
        <v>155</v>
      </c>
    </row>
    <row r="53" spans="3:8" x14ac:dyDescent="0.25">
      <c r="C53" s="5" t="s">
        <v>78</v>
      </c>
      <c r="D53" s="6"/>
      <c r="E53" s="22"/>
      <c r="F53" s="6"/>
      <c r="G53" s="6"/>
      <c r="H53" s="6"/>
    </row>
    <row r="54" spans="3:8" x14ac:dyDescent="0.25">
      <c r="C54" s="7" t="s">
        <v>9</v>
      </c>
      <c r="D54" s="10" t="s">
        <v>14</v>
      </c>
      <c r="E54" s="8" t="s">
        <v>10</v>
      </c>
      <c r="F54" s="7" t="s">
        <v>11</v>
      </c>
    </row>
    <row r="55" spans="3:8" x14ac:dyDescent="0.25">
      <c r="C55" t="s">
        <v>15</v>
      </c>
      <c r="D55" s="12">
        <f>1115/1000000*D37*1.1</f>
        <v>3.3115500000000009</v>
      </c>
      <c r="E55" s="8" t="s">
        <v>13</v>
      </c>
      <c r="F55" t="s">
        <v>97</v>
      </c>
    </row>
    <row r="56" spans="3:8" x14ac:dyDescent="0.25">
      <c r="C56" t="s">
        <v>16</v>
      </c>
      <c r="D56" s="12">
        <f>365/1000000*D36</f>
        <v>0.54749999999999999</v>
      </c>
      <c r="E56" s="8" t="s">
        <v>13</v>
      </c>
      <c r="F56" t="s">
        <v>99</v>
      </c>
    </row>
    <row r="58" spans="3:8" x14ac:dyDescent="0.25">
      <c r="D58" s="11"/>
    </row>
    <row r="59" spans="3:8" x14ac:dyDescent="0.25">
      <c r="C59" s="5" t="s">
        <v>79</v>
      </c>
      <c r="D59" s="6"/>
      <c r="E59" s="22"/>
      <c r="F59" s="6"/>
      <c r="G59" s="6"/>
      <c r="H59" s="6"/>
    </row>
    <row r="60" spans="3:8" x14ac:dyDescent="0.25">
      <c r="C60" s="7" t="s">
        <v>9</v>
      </c>
      <c r="D60" s="10" t="s">
        <v>14</v>
      </c>
      <c r="E60" s="8" t="s">
        <v>10</v>
      </c>
      <c r="F60" s="7" t="s">
        <v>11</v>
      </c>
    </row>
    <row r="61" spans="3:8" x14ac:dyDescent="0.25">
      <c r="C61" t="s">
        <v>15</v>
      </c>
      <c r="D61" s="12">
        <f>1170/1000000*D37*1.1</f>
        <v>3.4749000000000008</v>
      </c>
      <c r="E61" s="8" t="s">
        <v>13</v>
      </c>
      <c r="F61" t="s">
        <v>100</v>
      </c>
    </row>
    <row r="62" spans="3:8" x14ac:dyDescent="0.25">
      <c r="C62" t="s">
        <v>28</v>
      </c>
      <c r="D62" s="25">
        <f>150/1000000</f>
        <v>1.4999999999999999E-4</v>
      </c>
      <c r="E62" s="8" t="s">
        <v>82</v>
      </c>
      <c r="F62" t="s">
        <v>98</v>
      </c>
    </row>
    <row r="63" spans="3:8" x14ac:dyDescent="0.25">
      <c r="C63" t="s">
        <v>28</v>
      </c>
      <c r="D63" s="12">
        <f>150/1000*0.6</f>
        <v>0.09</v>
      </c>
      <c r="E63" s="8" t="s">
        <v>13</v>
      </c>
    </row>
    <row r="64" spans="3:8" x14ac:dyDescent="0.25">
      <c r="C64" t="s">
        <v>154</v>
      </c>
      <c r="D64" s="11">
        <f>100/1000000*D38</f>
        <v>0.15</v>
      </c>
      <c r="E64" s="8" t="s">
        <v>13</v>
      </c>
      <c r="F64" t="s">
        <v>155</v>
      </c>
    </row>
    <row r="66" spans="3:8" x14ac:dyDescent="0.25">
      <c r="C66" s="5" t="s">
        <v>80</v>
      </c>
      <c r="D66" s="6"/>
      <c r="E66" s="22"/>
      <c r="F66" s="6"/>
      <c r="G66" s="6"/>
      <c r="H66" s="6"/>
    </row>
    <row r="67" spans="3:8" x14ac:dyDescent="0.25">
      <c r="C67" s="7" t="s">
        <v>9</v>
      </c>
      <c r="D67" s="10" t="s">
        <v>14</v>
      </c>
      <c r="E67" s="8" t="s">
        <v>10</v>
      </c>
      <c r="F67" s="7" t="s">
        <v>11</v>
      </c>
    </row>
    <row r="68" spans="3:8" x14ac:dyDescent="0.25">
      <c r="C68" t="s">
        <v>15</v>
      </c>
      <c r="D68" s="12">
        <f>1170/1000000*D37*1.1</f>
        <v>3.4749000000000008</v>
      </c>
      <c r="E68" s="8" t="s">
        <v>13</v>
      </c>
      <c r="F68" t="s">
        <v>100</v>
      </c>
    </row>
    <row r="69" spans="3:8" x14ac:dyDescent="0.25">
      <c r="C69" t="s">
        <v>16</v>
      </c>
      <c r="D69" s="12">
        <f>450/1000000*D36</f>
        <v>0.67499999999999993</v>
      </c>
      <c r="E69" s="8" t="s">
        <v>13</v>
      </c>
      <c r="F69" t="s">
        <v>101</v>
      </c>
    </row>
    <row r="72" spans="3:8" x14ac:dyDescent="0.25">
      <c r="C72" s="5" t="s">
        <v>81</v>
      </c>
      <c r="D72" s="6"/>
      <c r="E72" s="22"/>
      <c r="F72" s="6"/>
      <c r="G72" s="6"/>
      <c r="H72" s="6"/>
    </row>
    <row r="73" spans="3:8" x14ac:dyDescent="0.25">
      <c r="C73" s="7" t="s">
        <v>9</v>
      </c>
      <c r="D73" s="10" t="s">
        <v>14</v>
      </c>
      <c r="E73" s="8" t="s">
        <v>10</v>
      </c>
      <c r="F73" s="7" t="s">
        <v>11</v>
      </c>
    </row>
    <row r="74" spans="3:8" x14ac:dyDescent="0.25">
      <c r="C74" t="s">
        <v>15</v>
      </c>
      <c r="D74" s="12">
        <f>1275/1000000*D37*1.1</f>
        <v>3.7867500000000005</v>
      </c>
      <c r="E74" s="8" t="s">
        <v>13</v>
      </c>
      <c r="F74" t="s">
        <v>102</v>
      </c>
    </row>
    <row r="75" spans="3:8" x14ac:dyDescent="0.25">
      <c r="C75" t="s">
        <v>16</v>
      </c>
      <c r="D75" s="12">
        <f>520/1000000*D36</f>
        <v>0.77999999999999992</v>
      </c>
      <c r="E75" s="8" t="s">
        <v>13</v>
      </c>
      <c r="F75" t="s">
        <v>103</v>
      </c>
    </row>
    <row r="78" spans="3:8" x14ac:dyDescent="0.25">
      <c r="C78" s="5" t="s">
        <v>104</v>
      </c>
      <c r="D78" s="6"/>
      <c r="E78" s="22"/>
      <c r="F78" s="6"/>
      <c r="G78" s="6"/>
      <c r="H78" s="6"/>
    </row>
    <row r="79" spans="3:8" x14ac:dyDescent="0.25">
      <c r="C79" s="7" t="s">
        <v>9</v>
      </c>
      <c r="D79" s="10" t="s">
        <v>14</v>
      </c>
      <c r="E79" s="8" t="s">
        <v>10</v>
      </c>
      <c r="F79" s="7" t="s">
        <v>11</v>
      </c>
    </row>
    <row r="80" spans="3:8" x14ac:dyDescent="0.25">
      <c r="C80" t="s">
        <v>15</v>
      </c>
      <c r="D80" s="12">
        <f>4450/1000000*D37*1.1</f>
        <v>13.216500000000002</v>
      </c>
      <c r="E80" s="8" t="s">
        <v>13</v>
      </c>
      <c r="F80" t="s">
        <v>105</v>
      </c>
    </row>
    <row r="81" spans="3:6" x14ac:dyDescent="0.25">
      <c r="C81" t="s">
        <v>16</v>
      </c>
      <c r="D81" s="12">
        <f>1300/1000000*D36</f>
        <v>1.95</v>
      </c>
      <c r="E81" s="8" t="s">
        <v>13</v>
      </c>
      <c r="F81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77C0-FDB2-4B9A-8FD4-4349565898FF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7" width="18.140625" customWidth="1"/>
    <col min="8" max="8" width="13.42578125" bestFit="1" customWidth="1"/>
    <col min="9" max="9" width="17.7109375" bestFit="1" customWidth="1"/>
    <col min="10" max="14" width="10.85546875" bestFit="1" customWidth="1"/>
    <col min="15" max="15" width="49.5703125" style="32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229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235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229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251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275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232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252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9EBA-5497-4484-9655-40B62D1F5661}">
  <dimension ref="A1:P17"/>
  <sheetViews>
    <sheetView workbookViewId="0">
      <selection activeCell="H24" sqref="H2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232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233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232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252</v>
      </c>
      <c r="P12" s="26"/>
    </row>
    <row r="13" spans="1:16" s="35" customFormat="1" x14ac:dyDescent="0.25">
      <c r="A13" s="33" t="s">
        <v>196</v>
      </c>
      <c r="B13" s="40">
        <v>0</v>
      </c>
      <c r="C13" s="31" t="s">
        <v>48</v>
      </c>
      <c r="D13" s="42" t="s">
        <v>234</v>
      </c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197</v>
      </c>
      <c r="P13" s="33"/>
    </row>
    <row r="14" spans="1:16" s="35" customFormat="1" x14ac:dyDescent="0.25">
      <c r="A14" s="33" t="s">
        <v>135</v>
      </c>
      <c r="B14" s="39">
        <f>-0.35</f>
        <v>-0.35</v>
      </c>
      <c r="C14" s="31" t="s">
        <v>48</v>
      </c>
      <c r="D14" s="31"/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39">
        <f>-0.4</f>
        <v>-0.4</v>
      </c>
      <c r="C15" s="31" t="s">
        <v>48</v>
      </c>
      <c r="D15" s="31"/>
      <c r="E15" s="31" t="s">
        <v>60</v>
      </c>
      <c r="F15" s="31" t="s">
        <v>61</v>
      </c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35" customFormat="1" x14ac:dyDescent="0.25">
      <c r="A16" s="33" t="s">
        <v>236</v>
      </c>
      <c r="B16" s="39">
        <f>-0.12</f>
        <v>-0.12</v>
      </c>
      <c r="C16" s="31" t="s">
        <v>48</v>
      </c>
      <c r="D16" s="31"/>
      <c r="E16" s="31" t="s">
        <v>60</v>
      </c>
      <c r="F16" s="31" t="s">
        <v>61</v>
      </c>
      <c r="G16" s="31" t="s">
        <v>237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31" t="s">
        <v>238</v>
      </c>
      <c r="P16" s="33"/>
    </row>
    <row r="17" spans="1:16" s="35" customFormat="1" x14ac:dyDescent="0.25">
      <c r="A17" s="33" t="s">
        <v>239</v>
      </c>
      <c r="B17" s="39">
        <f>-0.07</f>
        <v>-7.0000000000000007E-2</v>
      </c>
      <c r="C17" s="31" t="s">
        <v>48</v>
      </c>
      <c r="D17" s="31"/>
      <c r="E17" s="31" t="s">
        <v>60</v>
      </c>
      <c r="F17" s="31" t="s">
        <v>61</v>
      </c>
      <c r="G17" s="31" t="s">
        <v>267</v>
      </c>
      <c r="H17" s="31" t="s">
        <v>62</v>
      </c>
      <c r="I17" s="31" t="s">
        <v>61</v>
      </c>
      <c r="J17" s="31" t="s">
        <v>61</v>
      </c>
      <c r="K17" s="31" t="s">
        <v>61</v>
      </c>
      <c r="L17" s="31" t="s">
        <v>61</v>
      </c>
      <c r="M17" s="31" t="s">
        <v>61</v>
      </c>
      <c r="N17" s="31" t="s">
        <v>61</v>
      </c>
      <c r="O17" s="31" t="s">
        <v>240</v>
      </c>
      <c r="P17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FCA0-E44D-4457-AE5B-B9C680AC5470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194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219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194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241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274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195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242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7045-95CC-46A2-8EC7-A272067F2BD6}">
  <dimension ref="A1:P16"/>
  <sheetViews>
    <sheetView workbookViewId="0">
      <selection activeCell="B13" sqref="B13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195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218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195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242</v>
      </c>
      <c r="P12" s="33"/>
    </row>
    <row r="13" spans="1:16" s="35" customFormat="1" x14ac:dyDescent="0.25">
      <c r="A13" s="33" t="s">
        <v>131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179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180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35" customFormat="1" x14ac:dyDescent="0.25">
      <c r="A16" s="33" t="s">
        <v>149</v>
      </c>
      <c r="B16" s="39">
        <f>-Hypothesis!D42</f>
        <v>-0.94609929078014166</v>
      </c>
      <c r="C16" s="31" t="s">
        <v>65</v>
      </c>
      <c r="D16" s="31"/>
      <c r="E16" s="31" t="s">
        <v>268</v>
      </c>
      <c r="F16" s="31" t="s">
        <v>61</v>
      </c>
      <c r="G16" s="31" t="s">
        <v>44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31" t="s">
        <v>243</v>
      </c>
      <c r="P16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1A97-D360-4614-930F-5E821087FA83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9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94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217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94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253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273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134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254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7CF7-0485-4F19-B480-8F1E3AE3CF6E}">
  <dimension ref="A1:P16"/>
  <sheetViews>
    <sheetView workbookViewId="0">
      <selection activeCell="O12" sqref="O12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134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208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134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254</v>
      </c>
      <c r="P12" s="33"/>
    </row>
    <row r="13" spans="1:16" s="35" customFormat="1" x14ac:dyDescent="0.25">
      <c r="A13" s="33" t="s">
        <v>131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179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180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35" customFormat="1" x14ac:dyDescent="0.25">
      <c r="A16" s="33" t="s">
        <v>142</v>
      </c>
      <c r="B16" s="39">
        <f>-Hypothesis!D42</f>
        <v>-0.94609929078014166</v>
      </c>
      <c r="C16" s="31" t="s">
        <v>65</v>
      </c>
      <c r="D16" s="31"/>
      <c r="E16" s="31" t="s">
        <v>268</v>
      </c>
      <c r="F16" s="31" t="s">
        <v>61</v>
      </c>
      <c r="G16" s="31" t="s">
        <v>44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31" t="s">
        <v>245</v>
      </c>
      <c r="P16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D8E9-B09E-42D5-8447-572000C56B25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140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216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140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255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273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141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256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D22D-8E42-4544-AEDF-1AF1C1770151}">
  <dimension ref="A1:P16"/>
  <sheetViews>
    <sheetView workbookViewId="0">
      <selection activeCell="D15" sqref="D1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141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215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141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256</v>
      </c>
      <c r="P12" s="33"/>
    </row>
    <row r="13" spans="1:16" s="35" customFormat="1" x14ac:dyDescent="0.25">
      <c r="A13" s="33" t="s">
        <v>131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179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181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35" customFormat="1" x14ac:dyDescent="0.25">
      <c r="A16" s="33" t="s">
        <v>142</v>
      </c>
      <c r="B16" s="39">
        <f>-Hypothesis!D42</f>
        <v>-0.94609929078014166</v>
      </c>
      <c r="C16" s="31" t="s">
        <v>65</v>
      </c>
      <c r="D16" s="31"/>
      <c r="E16" s="31" t="s">
        <v>268</v>
      </c>
      <c r="F16" s="31" t="s">
        <v>61</v>
      </c>
      <c r="G16" s="31" t="s">
        <v>44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31" t="s">
        <v>245</v>
      </c>
      <c r="P16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2BDB-ED64-4DCC-A6E1-248ECD96D1F1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183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214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183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257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272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184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258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13F8-BDDC-47F8-8D17-F6340F6E3251}">
  <dimension ref="A1:P16"/>
  <sheetViews>
    <sheetView workbookViewId="0">
      <selection activeCell="A17" sqref="A17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184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213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184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258</v>
      </c>
      <c r="P12" s="33"/>
    </row>
    <row r="13" spans="1:16" s="35" customFormat="1" x14ac:dyDescent="0.25">
      <c r="A13" s="33" t="s">
        <v>131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185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186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16" customFormat="1" x14ac:dyDescent="0.25">
      <c r="A16" s="26" t="s">
        <v>150</v>
      </c>
      <c r="B16" s="19">
        <f>-Hypothesis!D42</f>
        <v>-0.94609929078014166</v>
      </c>
      <c r="C16" s="20" t="s">
        <v>65</v>
      </c>
      <c r="D16" s="20"/>
      <c r="E16" s="20" t="s">
        <v>268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247</v>
      </c>
      <c r="P16" s="26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692C-E0F3-49D7-94C6-AE0594B1B749}">
  <dimension ref="A1:T61"/>
  <sheetViews>
    <sheetView tabSelected="1" topLeftCell="A3" zoomScaleNormal="100" workbookViewId="0">
      <selection activeCell="A7" sqref="A7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65.28515625" bestFit="1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20" x14ac:dyDescent="0.25">
      <c r="A1" t="s">
        <v>30</v>
      </c>
      <c r="B1">
        <v>11</v>
      </c>
      <c r="C1" s="1" t="s">
        <v>31</v>
      </c>
    </row>
    <row r="2" spans="1:20" ht="15.75" x14ac:dyDescent="0.25">
      <c r="A2" s="13" t="s">
        <v>32</v>
      </c>
      <c r="B2" s="13" t="s">
        <v>268</v>
      </c>
      <c r="C2" s="1" t="s">
        <v>33</v>
      </c>
      <c r="O2" s="9"/>
    </row>
    <row r="3" spans="1:20" x14ac:dyDescent="0.25">
      <c r="A3" t="s">
        <v>34</v>
      </c>
      <c r="C3" s="1" t="s">
        <v>35</v>
      </c>
      <c r="O3" s="9"/>
    </row>
    <row r="4" spans="1:20" x14ac:dyDescent="0.25">
      <c r="A4" t="s">
        <v>36</v>
      </c>
      <c r="B4" t="s">
        <v>37</v>
      </c>
      <c r="C4" s="1" t="s">
        <v>38</v>
      </c>
      <c r="O4" s="9"/>
    </row>
    <row r="5" spans="1:20" ht="15.75" x14ac:dyDescent="0.25">
      <c r="A5" s="13" t="s">
        <v>87</v>
      </c>
      <c r="O5"/>
    </row>
    <row r="6" spans="1:20" s="28" customFormat="1" x14ac:dyDescent="0.25">
      <c r="A6" s="28" t="s">
        <v>50</v>
      </c>
      <c r="B6" s="28" t="s">
        <v>10</v>
      </c>
      <c r="C6" s="28" t="s">
        <v>51</v>
      </c>
      <c r="D6" s="28" t="s">
        <v>88</v>
      </c>
      <c r="E6" s="29" t="s">
        <v>89</v>
      </c>
    </row>
    <row r="7" spans="1:20" x14ac:dyDescent="0.25">
      <c r="O7"/>
    </row>
    <row r="8" spans="1:20" x14ac:dyDescent="0.25">
      <c r="A8" s="28" t="s">
        <v>90</v>
      </c>
      <c r="C8" s="30"/>
      <c r="O8"/>
    </row>
    <row r="9" spans="1:20" x14ac:dyDescent="0.25">
      <c r="A9" s="28" t="s">
        <v>50</v>
      </c>
      <c r="B9" s="36" t="s">
        <v>10</v>
      </c>
      <c r="C9" s="36" t="s">
        <v>51</v>
      </c>
      <c r="D9" s="36" t="s">
        <v>88</v>
      </c>
      <c r="E9" s="36" t="s">
        <v>89</v>
      </c>
      <c r="F9" s="29"/>
      <c r="G9" s="29"/>
      <c r="H9" s="29"/>
      <c r="J9" s="29"/>
      <c r="K9" s="29"/>
      <c r="O9"/>
    </row>
    <row r="10" spans="1:20" x14ac:dyDescent="0.25">
      <c r="A10" t="s">
        <v>291</v>
      </c>
      <c r="B10" s="32" t="s">
        <v>292</v>
      </c>
      <c r="C10" s="45">
        <v>2.5</v>
      </c>
      <c r="D10" s="32"/>
      <c r="E10" s="32" t="s">
        <v>293</v>
      </c>
      <c r="G10" s="11"/>
      <c r="H10" s="11"/>
      <c r="I10" s="11"/>
      <c r="J10" s="11"/>
      <c r="K10" s="11"/>
      <c r="O10"/>
    </row>
    <row r="11" spans="1:20" x14ac:dyDescent="0.25">
      <c r="A11" t="s">
        <v>294</v>
      </c>
      <c r="B11" s="32" t="s">
        <v>295</v>
      </c>
      <c r="C11" s="37">
        <v>10</v>
      </c>
      <c r="D11" s="32"/>
      <c r="E11" s="32" t="s">
        <v>296</v>
      </c>
      <c r="G11" s="11"/>
      <c r="H11" s="11"/>
      <c r="I11" s="11"/>
      <c r="J11" s="11"/>
      <c r="K11" s="11"/>
      <c r="O11"/>
    </row>
    <row r="12" spans="1:20" x14ac:dyDescent="0.25">
      <c r="A12" t="s">
        <v>297</v>
      </c>
      <c r="B12" s="32" t="s">
        <v>295</v>
      </c>
      <c r="C12" s="37">
        <v>10</v>
      </c>
      <c r="D12" s="32"/>
      <c r="E12" s="32" t="s">
        <v>298</v>
      </c>
      <c r="G12" s="11"/>
      <c r="H12" s="11"/>
      <c r="I12" s="11"/>
      <c r="J12" s="11"/>
      <c r="K12" s="11"/>
      <c r="O12"/>
    </row>
    <row r="13" spans="1:20" x14ac:dyDescent="0.25">
      <c r="A13" t="s">
        <v>299</v>
      </c>
      <c r="B13" s="32" t="s">
        <v>10</v>
      </c>
      <c r="C13" s="37">
        <v>2</v>
      </c>
      <c r="D13" s="32"/>
      <c r="E13" s="32" t="s">
        <v>300</v>
      </c>
      <c r="G13" s="11"/>
      <c r="H13" s="11"/>
      <c r="I13" s="11"/>
      <c r="J13" s="11"/>
      <c r="K13" s="11"/>
      <c r="O13"/>
    </row>
    <row r="14" spans="1:20" x14ac:dyDescent="0.25">
      <c r="A14" t="s">
        <v>301</v>
      </c>
      <c r="B14" s="32" t="s">
        <v>302</v>
      </c>
      <c r="C14" s="37">
        <v>125</v>
      </c>
      <c r="D14" s="32"/>
      <c r="E14" s="32" t="s">
        <v>303</v>
      </c>
      <c r="G14" s="11"/>
      <c r="H14" s="11"/>
      <c r="I14" s="11"/>
      <c r="J14" s="11"/>
      <c r="K14" s="11"/>
      <c r="O14"/>
    </row>
    <row r="15" spans="1:20" x14ac:dyDescent="0.25">
      <c r="A15" t="s">
        <v>304</v>
      </c>
      <c r="B15" s="32" t="s">
        <v>295</v>
      </c>
      <c r="C15" s="37">
        <v>8</v>
      </c>
      <c r="E15" s="32" t="s">
        <v>305</v>
      </c>
      <c r="I15" s="11"/>
      <c r="J15" s="11"/>
      <c r="K15" s="11"/>
      <c r="N15" s="32"/>
      <c r="O15"/>
      <c r="T15" s="32"/>
    </row>
    <row r="16" spans="1:20" x14ac:dyDescent="0.25">
      <c r="A16" t="s">
        <v>306</v>
      </c>
      <c r="B16" s="32" t="s">
        <v>295</v>
      </c>
      <c r="C16" s="37">
        <v>6</v>
      </c>
      <c r="E16" s="32" t="s">
        <v>307</v>
      </c>
      <c r="I16" s="11"/>
      <c r="J16" s="11"/>
      <c r="K16" s="11"/>
      <c r="N16" s="32"/>
      <c r="O16"/>
      <c r="T16" s="32"/>
    </row>
    <row r="17" spans="1:20" x14ac:dyDescent="0.25">
      <c r="A17" t="s">
        <v>308</v>
      </c>
      <c r="B17" s="32" t="s">
        <v>295</v>
      </c>
      <c r="C17" s="37">
        <v>8</v>
      </c>
      <c r="E17" s="32" t="s">
        <v>309</v>
      </c>
      <c r="I17" s="11"/>
      <c r="J17" s="11"/>
      <c r="K17" s="11"/>
      <c r="N17" s="32"/>
      <c r="O17"/>
      <c r="T17" s="32"/>
    </row>
    <row r="18" spans="1:20" s="28" customFormat="1" x14ac:dyDescent="0.25">
      <c r="A18" t="s">
        <v>116</v>
      </c>
      <c r="B18" t="s">
        <v>13</v>
      </c>
      <c r="C18" s="43">
        <v>0</v>
      </c>
      <c r="D18" t="s">
        <v>112</v>
      </c>
      <c r="E18" t="s">
        <v>123</v>
      </c>
    </row>
    <row r="19" spans="1:20" s="28" customFormat="1" x14ac:dyDescent="0.25">
      <c r="A19" t="s">
        <v>169</v>
      </c>
      <c r="B19" s="8" t="s">
        <v>13</v>
      </c>
      <c r="C19" s="12">
        <f>1115/1000000*Hypothesis!D37*1.1</f>
        <v>3.3115500000000009</v>
      </c>
      <c r="E19" t="s">
        <v>167</v>
      </c>
    </row>
    <row r="20" spans="1:20" s="28" customFormat="1" x14ac:dyDescent="0.25">
      <c r="A20" t="s">
        <v>170</v>
      </c>
      <c r="B20" s="8" t="s">
        <v>13</v>
      </c>
      <c r="C20" s="12">
        <f>150/1000*0.6</f>
        <v>0.09</v>
      </c>
      <c r="E20" t="s">
        <v>156</v>
      </c>
    </row>
    <row r="21" spans="1:20" s="28" customFormat="1" x14ac:dyDescent="0.25">
      <c r="A21" t="s">
        <v>171</v>
      </c>
      <c r="B21" s="8" t="s">
        <v>13</v>
      </c>
      <c r="C21" s="11">
        <f>100/1000000*Hypothesis!D38</f>
        <v>0.15</v>
      </c>
      <c r="E21" t="s">
        <v>157</v>
      </c>
    </row>
    <row r="22" spans="1:20" s="28" customFormat="1" x14ac:dyDescent="0.25">
      <c r="A22" t="s">
        <v>172</v>
      </c>
      <c r="B22" s="8" t="s">
        <v>13</v>
      </c>
      <c r="C22" s="12">
        <f>365/1000000*Hypothesis!D36</f>
        <v>0.54749999999999999</v>
      </c>
      <c r="E22" t="s">
        <v>158</v>
      </c>
    </row>
    <row r="23" spans="1:20" x14ac:dyDescent="0.25">
      <c r="A23" t="s">
        <v>117</v>
      </c>
      <c r="B23" t="s">
        <v>13</v>
      </c>
      <c r="C23">
        <v>0</v>
      </c>
      <c r="D23" t="s">
        <v>113</v>
      </c>
      <c r="E23" t="s">
        <v>109</v>
      </c>
      <c r="O23"/>
    </row>
    <row r="24" spans="1:20" s="28" customFormat="1" x14ac:dyDescent="0.25">
      <c r="A24" t="s">
        <v>173</v>
      </c>
      <c r="B24" s="8" t="s">
        <v>13</v>
      </c>
      <c r="C24" s="12">
        <f>1170/1000000*Hypothesis!D37*1.1</f>
        <v>3.4749000000000008</v>
      </c>
      <c r="E24" t="s">
        <v>168</v>
      </c>
    </row>
    <row r="25" spans="1:20" s="28" customFormat="1" x14ac:dyDescent="0.25">
      <c r="A25" t="s">
        <v>174</v>
      </c>
      <c r="B25" s="8" t="s">
        <v>13</v>
      </c>
      <c r="C25" s="12">
        <f>150/1000*0.6</f>
        <v>0.09</v>
      </c>
      <c r="E25" t="s">
        <v>159</v>
      </c>
    </row>
    <row r="26" spans="1:20" s="28" customFormat="1" x14ac:dyDescent="0.25">
      <c r="A26" t="s">
        <v>175</v>
      </c>
      <c r="B26" s="8" t="s">
        <v>13</v>
      </c>
      <c r="C26" s="11">
        <f>100/1000000*Hypothesis!D38</f>
        <v>0.15</v>
      </c>
      <c r="E26" t="s">
        <v>160</v>
      </c>
    </row>
    <row r="27" spans="1:20" s="28" customFormat="1" x14ac:dyDescent="0.25">
      <c r="A27" t="s">
        <v>176</v>
      </c>
      <c r="B27" s="8" t="s">
        <v>13</v>
      </c>
      <c r="C27" s="12">
        <f>450/1000000*Hypothesis!D36</f>
        <v>0.67499999999999993</v>
      </c>
      <c r="E27" t="s">
        <v>161</v>
      </c>
    </row>
    <row r="28" spans="1:20" x14ac:dyDescent="0.25">
      <c r="A28" t="s">
        <v>118</v>
      </c>
      <c r="B28" t="s">
        <v>13</v>
      </c>
      <c r="C28">
        <v>0</v>
      </c>
      <c r="D28" t="s">
        <v>114</v>
      </c>
      <c r="E28" t="s">
        <v>110</v>
      </c>
      <c r="O28"/>
    </row>
    <row r="29" spans="1:20" s="28" customFormat="1" x14ac:dyDescent="0.25">
      <c r="A29" t="s">
        <v>177</v>
      </c>
      <c r="B29" s="8" t="s">
        <v>13</v>
      </c>
      <c r="C29" s="12">
        <f>1275/1000000*Hypothesis!D37*1.1</f>
        <v>3.7867500000000005</v>
      </c>
      <c r="E29" t="s">
        <v>162</v>
      </c>
    </row>
    <row r="30" spans="1:20" s="28" customFormat="1" x14ac:dyDescent="0.25">
      <c r="A30" t="s">
        <v>124</v>
      </c>
      <c r="B30" s="8" t="s">
        <v>13</v>
      </c>
      <c r="C30" s="12">
        <f>520/1000000*Hypothesis!D36</f>
        <v>0.77999999999999992</v>
      </c>
      <c r="E30" t="s">
        <v>163</v>
      </c>
    </row>
    <row r="31" spans="1:20" x14ac:dyDescent="0.25">
      <c r="A31" t="s">
        <v>119</v>
      </c>
      <c r="B31" t="s">
        <v>13</v>
      </c>
      <c r="C31">
        <v>0</v>
      </c>
      <c r="D31" t="s">
        <v>115</v>
      </c>
      <c r="E31" t="s">
        <v>111</v>
      </c>
      <c r="O31"/>
    </row>
    <row r="32" spans="1:20" s="28" customFormat="1" x14ac:dyDescent="0.25">
      <c r="A32" t="s">
        <v>178</v>
      </c>
      <c r="B32" s="8" t="s">
        <v>13</v>
      </c>
      <c r="C32" s="12">
        <f>4450/1000000*Hypothesis!D37*1.1</f>
        <v>13.216500000000002</v>
      </c>
      <c r="E32" t="s">
        <v>164</v>
      </c>
    </row>
    <row r="33" spans="1:15" s="28" customFormat="1" x14ac:dyDescent="0.25">
      <c r="A33" t="s">
        <v>125</v>
      </c>
      <c r="B33" s="8" t="s">
        <v>13</v>
      </c>
      <c r="C33" s="12">
        <f>1300/1000000*Hypothesis!D36</f>
        <v>1.95</v>
      </c>
      <c r="E33" t="s">
        <v>165</v>
      </c>
    </row>
    <row r="34" spans="1:15" x14ac:dyDescent="0.25">
      <c r="A34" t="s">
        <v>120</v>
      </c>
      <c r="B34" t="s">
        <v>13</v>
      </c>
      <c r="C34">
        <v>0</v>
      </c>
      <c r="D34" t="s">
        <v>113</v>
      </c>
      <c r="E34" t="s">
        <v>107</v>
      </c>
      <c r="O34"/>
    </row>
    <row r="35" spans="1:15" x14ac:dyDescent="0.25">
      <c r="A35" t="s">
        <v>121</v>
      </c>
      <c r="B35" t="s">
        <v>13</v>
      </c>
      <c r="C35">
        <v>0</v>
      </c>
      <c r="D35" t="s">
        <v>113</v>
      </c>
      <c r="E35" t="s">
        <v>127</v>
      </c>
      <c r="O35"/>
    </row>
    <row r="36" spans="1:15" x14ac:dyDescent="0.25">
      <c r="A36" t="s">
        <v>230</v>
      </c>
      <c r="B36" t="s">
        <v>13</v>
      </c>
      <c r="C36">
        <v>0.94</v>
      </c>
      <c r="E36" t="s">
        <v>231</v>
      </c>
      <c r="O36"/>
    </row>
    <row r="37" spans="1:15" x14ac:dyDescent="0.25">
      <c r="A37" t="s">
        <v>122</v>
      </c>
      <c r="B37" t="s">
        <v>13</v>
      </c>
      <c r="C37">
        <v>0</v>
      </c>
      <c r="D37" t="s">
        <v>115</v>
      </c>
      <c r="E37" t="s">
        <v>108</v>
      </c>
      <c r="O37"/>
    </row>
    <row r="38" spans="1:15" x14ac:dyDescent="0.25">
      <c r="A38" t="s">
        <v>182</v>
      </c>
      <c r="B38" t="s">
        <v>13</v>
      </c>
      <c r="C38" s="44">
        <f>C19+C24</f>
        <v>6.7864500000000021</v>
      </c>
      <c r="E38" t="s">
        <v>128</v>
      </c>
      <c r="O38"/>
    </row>
    <row r="39" spans="1:15" x14ac:dyDescent="0.25">
      <c r="A39" t="s">
        <v>126</v>
      </c>
      <c r="B39" t="s">
        <v>13</v>
      </c>
      <c r="C39" s="21">
        <f>C22+C27</f>
        <v>1.2224999999999999</v>
      </c>
      <c r="E39" t="s">
        <v>129</v>
      </c>
      <c r="O39"/>
    </row>
    <row r="40" spans="1:15" x14ac:dyDescent="0.25">
      <c r="A40" t="s">
        <v>166</v>
      </c>
      <c r="B40" t="s">
        <v>92</v>
      </c>
      <c r="C40" s="37">
        <v>130</v>
      </c>
      <c r="E40" t="s">
        <v>93</v>
      </c>
      <c r="O40"/>
    </row>
    <row r="41" spans="1:15" x14ac:dyDescent="0.25">
      <c r="A41" t="s">
        <v>130</v>
      </c>
      <c r="B41" t="s">
        <v>92</v>
      </c>
      <c r="C41" s="37">
        <v>50</v>
      </c>
      <c r="E41" t="s">
        <v>143</v>
      </c>
      <c r="O41"/>
    </row>
    <row r="42" spans="1:15" x14ac:dyDescent="0.25">
      <c r="C42" s="38"/>
      <c r="O42"/>
    </row>
    <row r="43" spans="1:15" x14ac:dyDescent="0.25">
      <c r="O43"/>
    </row>
    <row r="44" spans="1:15" ht="15.75" x14ac:dyDescent="0.25">
      <c r="A44" s="13" t="s">
        <v>39</v>
      </c>
      <c r="B44" s="14" t="s">
        <v>149</v>
      </c>
      <c r="C44" s="4"/>
      <c r="D44" s="15"/>
    </row>
    <row r="45" spans="1:15" x14ac:dyDescent="0.25">
      <c r="A45" t="s">
        <v>40</v>
      </c>
      <c r="B45" t="s">
        <v>41</v>
      </c>
    </row>
    <row r="46" spans="1:15" x14ac:dyDescent="0.25">
      <c r="A46" t="s">
        <v>42</v>
      </c>
      <c r="B46" s="16" t="s">
        <v>224</v>
      </c>
      <c r="C46" s="4"/>
      <c r="D46" s="15"/>
    </row>
    <row r="47" spans="1:15" x14ac:dyDescent="0.25">
      <c r="A47" t="s">
        <v>43</v>
      </c>
      <c r="B47" s="16" t="s">
        <v>44</v>
      </c>
      <c r="C47" s="4"/>
      <c r="D47" s="15"/>
    </row>
    <row r="48" spans="1:15" x14ac:dyDescent="0.25">
      <c r="A48" t="s">
        <v>45</v>
      </c>
      <c r="B48">
        <v>-1</v>
      </c>
      <c r="C48" s="4"/>
    </row>
    <row r="49" spans="1:16" x14ac:dyDescent="0.25">
      <c r="A49" t="s">
        <v>46</v>
      </c>
      <c r="B49" t="s">
        <v>47</v>
      </c>
    </row>
    <row r="50" spans="1:16" x14ac:dyDescent="0.25">
      <c r="A50" t="s">
        <v>10</v>
      </c>
      <c r="B50" t="s">
        <v>65</v>
      </c>
    </row>
    <row r="51" spans="1:16" x14ac:dyDescent="0.25">
      <c r="A51" t="s">
        <v>86</v>
      </c>
    </row>
    <row r="52" spans="1:16" ht="15.75" x14ac:dyDescent="0.25">
      <c r="A52" s="13" t="s">
        <v>49</v>
      </c>
    </row>
    <row r="53" spans="1:16" ht="15.75" x14ac:dyDescent="0.25">
      <c r="A53" s="13" t="s">
        <v>50</v>
      </c>
      <c r="B53" s="17" t="s">
        <v>51</v>
      </c>
      <c r="C53" s="17" t="s">
        <v>10</v>
      </c>
      <c r="D53" s="17" t="s">
        <v>88</v>
      </c>
      <c r="E53" s="17" t="s">
        <v>52</v>
      </c>
      <c r="F53" s="17" t="s">
        <v>40</v>
      </c>
      <c r="G53" s="17" t="s">
        <v>43</v>
      </c>
      <c r="H53" s="17" t="s">
        <v>46</v>
      </c>
      <c r="I53" s="17" t="s">
        <v>53</v>
      </c>
      <c r="J53" s="17" t="s">
        <v>54</v>
      </c>
      <c r="K53" s="17" t="s">
        <v>55</v>
      </c>
      <c r="L53" s="17" t="s">
        <v>56</v>
      </c>
      <c r="M53" s="17" t="s">
        <v>57</v>
      </c>
      <c r="N53" s="17" t="s">
        <v>58</v>
      </c>
      <c r="O53" s="17" t="s">
        <v>59</v>
      </c>
      <c r="P53" s="18" t="s">
        <v>11</v>
      </c>
    </row>
    <row r="54" spans="1:16" s="16" customFormat="1" x14ac:dyDescent="0.25">
      <c r="A54" s="26" t="s">
        <v>149</v>
      </c>
      <c r="B54" s="27">
        <v>-1</v>
      </c>
      <c r="C54" s="20" t="s">
        <v>65</v>
      </c>
      <c r="D54" s="20"/>
      <c r="E54" s="20" t="s">
        <v>268</v>
      </c>
      <c r="F54" s="20" t="s">
        <v>61</v>
      </c>
      <c r="G54" s="20" t="s">
        <v>44</v>
      </c>
      <c r="H54" s="20" t="s">
        <v>64</v>
      </c>
      <c r="I54" s="20" t="s">
        <v>61</v>
      </c>
      <c r="J54" s="20" t="s">
        <v>61</v>
      </c>
      <c r="K54" s="20" t="s">
        <v>61</v>
      </c>
      <c r="L54" s="20" t="s">
        <v>61</v>
      </c>
      <c r="M54" s="20" t="s">
        <v>61</v>
      </c>
      <c r="N54" s="20" t="s">
        <v>61</v>
      </c>
      <c r="O54" s="20" t="s">
        <v>243</v>
      </c>
      <c r="P54" s="26"/>
    </row>
    <row r="55" spans="1:16" s="35" customFormat="1" x14ac:dyDescent="0.25">
      <c r="A55" s="33" t="s">
        <v>83</v>
      </c>
      <c r="B55" s="40">
        <v>0</v>
      </c>
      <c r="C55" s="31" t="s">
        <v>84</v>
      </c>
      <c r="D55" s="31" t="s">
        <v>279</v>
      </c>
      <c r="E55" s="31" t="s">
        <v>60</v>
      </c>
      <c r="F55" s="31" t="s">
        <v>61</v>
      </c>
      <c r="G55" s="31" t="s">
        <v>63</v>
      </c>
      <c r="H55" s="11" t="s">
        <v>62</v>
      </c>
      <c r="I55" s="31" t="s">
        <v>61</v>
      </c>
      <c r="J55" s="31" t="s">
        <v>61</v>
      </c>
      <c r="K55" s="31" t="s">
        <v>61</v>
      </c>
      <c r="L55" s="31" t="s">
        <v>61</v>
      </c>
      <c r="M55" s="31" t="s">
        <v>61</v>
      </c>
      <c r="N55" s="31" t="s">
        <v>61</v>
      </c>
      <c r="O55" s="31" t="s">
        <v>85</v>
      </c>
      <c r="P55" s="33"/>
    </row>
    <row r="56" spans="1:16" s="35" customFormat="1" x14ac:dyDescent="0.25">
      <c r="A56" s="33" t="s">
        <v>147</v>
      </c>
      <c r="B56" s="34">
        <v>-1</v>
      </c>
      <c r="C56" s="31" t="s">
        <v>65</v>
      </c>
      <c r="D56" s="31"/>
      <c r="E56" s="31" t="s">
        <v>268</v>
      </c>
      <c r="F56" s="31" t="s">
        <v>61</v>
      </c>
      <c r="G56" s="31" t="s">
        <v>44</v>
      </c>
      <c r="H56" s="31" t="s">
        <v>62</v>
      </c>
      <c r="I56" s="31" t="s">
        <v>61</v>
      </c>
      <c r="J56" s="31" t="s">
        <v>61</v>
      </c>
      <c r="K56" s="31" t="s">
        <v>61</v>
      </c>
      <c r="L56" s="31" t="s">
        <v>61</v>
      </c>
      <c r="M56" s="31" t="s">
        <v>61</v>
      </c>
      <c r="N56" s="31" t="s">
        <v>61</v>
      </c>
      <c r="O56" s="31" t="s">
        <v>244</v>
      </c>
      <c r="P56" s="33"/>
    </row>
    <row r="57" spans="1:16" s="35" customFormat="1" x14ac:dyDescent="0.25">
      <c r="A57" s="33"/>
      <c r="B57" s="34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3"/>
    </row>
    <row r="58" spans="1:16" s="35" customFormat="1" x14ac:dyDescent="0.25">
      <c r="A58" s="33"/>
      <c r="B58" s="34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3"/>
    </row>
    <row r="59" spans="1:16" s="35" customFormat="1" x14ac:dyDescent="0.25">
      <c r="A59" s="33"/>
      <c r="B59" s="34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3"/>
    </row>
    <row r="60" spans="1:16" s="35" customFormat="1" x14ac:dyDescent="0.25">
      <c r="A60" s="33"/>
      <c r="B60" s="34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3"/>
    </row>
    <row r="61" spans="1:16" s="35" customFormat="1" x14ac:dyDescent="0.25">
      <c r="A61" s="33"/>
      <c r="B61" s="34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0EB3C-4F1B-4095-AB2E-181B4E124A4F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187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212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187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259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269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202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260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3066-6E97-4B94-AEFD-D2A4900351DA}">
  <dimension ref="A1:P17"/>
  <sheetViews>
    <sheetView workbookViewId="0">
      <selection activeCell="B5" sqref="B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202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211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202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260</v>
      </c>
      <c r="P12" s="33"/>
    </row>
    <row r="13" spans="1:16" s="35" customFormat="1" x14ac:dyDescent="0.25">
      <c r="A13" s="33" t="s">
        <v>131</v>
      </c>
      <c r="B13" s="34">
        <v>-4.4000000000000004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188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189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16" customFormat="1" x14ac:dyDescent="0.25">
      <c r="A16" s="26" t="s">
        <v>142</v>
      </c>
      <c r="B16" s="19">
        <f>-Hypothesis!D42</f>
        <v>-0.94609929078014166</v>
      </c>
      <c r="C16" s="20" t="s">
        <v>65</v>
      </c>
      <c r="D16" s="20"/>
      <c r="E16" s="20" t="s">
        <v>268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245</v>
      </c>
      <c r="P16" s="26"/>
    </row>
    <row r="17" spans="1:15" s="16" customFormat="1" x14ac:dyDescent="0.25">
      <c r="A17" s="16" t="s">
        <v>149</v>
      </c>
      <c r="B17" s="19">
        <f>-Hypothesis!D42</f>
        <v>-0.94609929078014166</v>
      </c>
      <c r="C17" s="20" t="s">
        <v>65</v>
      </c>
      <c r="D17" s="20"/>
      <c r="E17" s="20" t="s">
        <v>268</v>
      </c>
      <c r="F17" s="20" t="s">
        <v>61</v>
      </c>
      <c r="G17" s="20" t="s">
        <v>44</v>
      </c>
      <c r="H17" s="20" t="s">
        <v>62</v>
      </c>
      <c r="I17" s="20" t="s">
        <v>61</v>
      </c>
      <c r="J17" s="20" t="s">
        <v>61</v>
      </c>
      <c r="K17" s="20" t="s">
        <v>61</v>
      </c>
      <c r="L17" s="20" t="s">
        <v>61</v>
      </c>
      <c r="M17" s="20" t="s">
        <v>61</v>
      </c>
      <c r="N17" s="20" t="s">
        <v>61</v>
      </c>
      <c r="O17" s="20" t="s">
        <v>243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5105-978E-4EC3-ABDB-BD15688AED88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198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207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198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261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271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200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262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7206-81B4-497C-9DE7-4D3593F195D6}">
  <dimension ref="A1:P16"/>
  <sheetViews>
    <sheetView workbookViewId="0">
      <selection activeCell="A40" sqref="A40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200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206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200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262</v>
      </c>
      <c r="P12" s="33"/>
    </row>
    <row r="13" spans="1:16" s="35" customFormat="1" x14ac:dyDescent="0.25">
      <c r="A13" s="33" t="s">
        <v>131</v>
      </c>
      <c r="B13" s="34">
        <v>-4.4000000000000004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188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189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16" customFormat="1" x14ac:dyDescent="0.25">
      <c r="A16" s="26" t="s">
        <v>205</v>
      </c>
      <c r="B16" s="19">
        <f>-Hypothesis!D42</f>
        <v>-0.94609929078014166</v>
      </c>
      <c r="C16" s="20" t="s">
        <v>65</v>
      </c>
      <c r="D16" s="20"/>
      <c r="E16" s="20" t="s">
        <v>268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249</v>
      </c>
      <c r="P16" s="26"/>
    </row>
  </sheetData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2A8C-4000-4305-82D7-F7F19E715C5C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225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226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225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263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270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227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264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1F62-7CBB-447D-B7BF-93967A842255}">
  <dimension ref="A1:P16"/>
  <sheetViews>
    <sheetView workbookViewId="0">
      <selection activeCell="D21" sqref="D21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227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228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227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264</v>
      </c>
      <c r="P12" s="33"/>
    </row>
    <row r="13" spans="1:16" s="35" customFormat="1" x14ac:dyDescent="0.25">
      <c r="A13" s="33" t="s">
        <v>131</v>
      </c>
      <c r="B13" s="34">
        <v>-3.6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179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181</v>
      </c>
      <c r="E15" s="31" t="s">
        <v>60</v>
      </c>
      <c r="F15" s="31"/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16" customFormat="1" x14ac:dyDescent="0.25">
      <c r="A16" s="26" t="s">
        <v>229</v>
      </c>
      <c r="B16" s="19">
        <f>-Hypothesis!D42</f>
        <v>-0.94609929078014166</v>
      </c>
      <c r="C16" s="20" t="s">
        <v>65</v>
      </c>
      <c r="D16" s="20"/>
      <c r="E16" s="20" t="s">
        <v>268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251</v>
      </c>
      <c r="P16" s="26"/>
    </row>
  </sheetData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82E7-CCEA-48C2-985F-EBDE30E7DB94}">
  <dimension ref="A1:P19"/>
  <sheetViews>
    <sheetView workbookViewId="0">
      <selection activeCell="A19" sqref="A19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190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210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190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265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269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16" customFormat="1" x14ac:dyDescent="0.25">
      <c r="A14" s="26" t="s">
        <v>191</v>
      </c>
      <c r="B14" s="27">
        <v>-1</v>
      </c>
      <c r="C14" s="20" t="s">
        <v>65</v>
      </c>
      <c r="D14" s="20"/>
      <c r="E14" s="20" t="s">
        <v>268</v>
      </c>
      <c r="F14" s="20" t="s">
        <v>61</v>
      </c>
      <c r="G14" s="20" t="s">
        <v>44</v>
      </c>
      <c r="H14" s="20" t="s">
        <v>62</v>
      </c>
      <c r="I14" s="20" t="s">
        <v>61</v>
      </c>
      <c r="J14" s="20" t="s">
        <v>61</v>
      </c>
      <c r="K14" s="20" t="s">
        <v>61</v>
      </c>
      <c r="L14" s="20" t="s">
        <v>61</v>
      </c>
      <c r="M14" s="20" t="s">
        <v>61</v>
      </c>
      <c r="N14" s="20" t="s">
        <v>61</v>
      </c>
      <c r="O14" s="20" t="s">
        <v>266</v>
      </c>
      <c r="P14" s="26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5A4B-812F-4065-99E6-7A41B4F4B2A0}">
  <dimension ref="A1:P17"/>
  <sheetViews>
    <sheetView workbookViewId="0">
      <selection activeCell="A12" sqref="A12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191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209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191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266</v>
      </c>
      <c r="P12" s="33"/>
    </row>
    <row r="13" spans="1:16" s="35" customFormat="1" x14ac:dyDescent="0.25">
      <c r="A13" s="33" t="s">
        <v>131</v>
      </c>
      <c r="B13" s="34">
        <v>-9.1</v>
      </c>
      <c r="C13" s="31" t="s">
        <v>48</v>
      </c>
      <c r="D13" s="31"/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132</v>
      </c>
      <c r="P13" s="33"/>
    </row>
    <row r="14" spans="1:16" s="35" customFormat="1" x14ac:dyDescent="0.25">
      <c r="A14" s="33" t="s">
        <v>135</v>
      </c>
      <c r="B14" s="40">
        <v>0</v>
      </c>
      <c r="C14" s="31" t="s">
        <v>48</v>
      </c>
      <c r="D14" s="41" t="s">
        <v>193</v>
      </c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40">
        <v>0</v>
      </c>
      <c r="C15" s="31" t="s">
        <v>48</v>
      </c>
      <c r="D15" s="41" t="s">
        <v>192</v>
      </c>
      <c r="E15" s="31" t="s">
        <v>60</v>
      </c>
      <c r="F15" s="31" t="s">
        <v>61</v>
      </c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/>
    </row>
    <row r="16" spans="1:16" s="16" customFormat="1" x14ac:dyDescent="0.25">
      <c r="A16" s="26" t="s">
        <v>142</v>
      </c>
      <c r="B16" s="19">
        <f>-Hypothesis!D42</f>
        <v>-0.94609929078014166</v>
      </c>
      <c r="C16" s="20" t="s">
        <v>65</v>
      </c>
      <c r="D16" s="20"/>
      <c r="E16" s="20" t="s">
        <v>268</v>
      </c>
      <c r="F16" s="20" t="s">
        <v>61</v>
      </c>
      <c r="G16" s="20" t="s">
        <v>44</v>
      </c>
      <c r="H16" s="20" t="s">
        <v>62</v>
      </c>
      <c r="I16" s="20" t="s">
        <v>61</v>
      </c>
      <c r="J16" s="20" t="s">
        <v>61</v>
      </c>
      <c r="K16" s="20" t="s">
        <v>61</v>
      </c>
      <c r="L16" s="20" t="s">
        <v>61</v>
      </c>
      <c r="M16" s="20" t="s">
        <v>61</v>
      </c>
      <c r="N16" s="20" t="s">
        <v>61</v>
      </c>
      <c r="O16" s="20" t="s">
        <v>245</v>
      </c>
      <c r="P16" s="26"/>
    </row>
    <row r="17" spans="1:15" s="16" customFormat="1" x14ac:dyDescent="0.25">
      <c r="A17" s="16" t="s">
        <v>149</v>
      </c>
      <c r="B17" s="19">
        <f>-Hypothesis!D42</f>
        <v>-0.94609929078014166</v>
      </c>
      <c r="C17" s="20" t="s">
        <v>65</v>
      </c>
      <c r="D17" s="20"/>
      <c r="E17" s="20" t="s">
        <v>268</v>
      </c>
      <c r="F17" s="20" t="s">
        <v>61</v>
      </c>
      <c r="G17" s="20" t="s">
        <v>44</v>
      </c>
      <c r="H17" s="20" t="s">
        <v>62</v>
      </c>
      <c r="I17" s="20" t="s">
        <v>61</v>
      </c>
      <c r="J17" s="20" t="s">
        <v>61</v>
      </c>
      <c r="K17" s="20" t="s">
        <v>61</v>
      </c>
      <c r="L17" s="20" t="s">
        <v>61</v>
      </c>
      <c r="M17" s="20" t="s">
        <v>61</v>
      </c>
      <c r="N17" s="20" t="s">
        <v>61</v>
      </c>
      <c r="O17" s="20" t="s">
        <v>243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B050-3CE5-4BFA-A994-517E87F15990}">
  <dimension ref="A1:P19"/>
  <sheetViews>
    <sheetView workbookViewId="0">
      <selection activeCell="C18" sqref="C18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280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281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280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282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286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16" customFormat="1" x14ac:dyDescent="0.25">
      <c r="A14" s="26" t="s">
        <v>283</v>
      </c>
      <c r="B14" s="27">
        <v>-1</v>
      </c>
      <c r="C14" s="20" t="s">
        <v>65</v>
      </c>
      <c r="D14" s="20"/>
      <c r="E14" s="20" t="s">
        <v>268</v>
      </c>
      <c r="F14" s="20" t="s">
        <v>61</v>
      </c>
      <c r="G14" s="20" t="s">
        <v>44</v>
      </c>
      <c r="H14" s="20" t="s">
        <v>62</v>
      </c>
      <c r="I14" s="20" t="s">
        <v>61</v>
      </c>
      <c r="J14" s="20" t="s">
        <v>61</v>
      </c>
      <c r="K14" s="20" t="s">
        <v>61</v>
      </c>
      <c r="L14" s="20" t="s">
        <v>61</v>
      </c>
      <c r="M14" s="20" t="s">
        <v>61</v>
      </c>
      <c r="N14" s="20" t="s">
        <v>61</v>
      </c>
      <c r="O14" s="20" t="s">
        <v>266</v>
      </c>
      <c r="P14" s="26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0F57-159A-4649-B677-0DFBC4D1668B}">
  <dimension ref="A1:P16"/>
  <sheetViews>
    <sheetView workbookViewId="0">
      <selection activeCell="B22" sqref="B22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5" width="19.5703125" bestFit="1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/>
    </row>
    <row r="2" spans="1:16" ht="15.75" x14ac:dyDescent="0.25">
      <c r="A2" s="13" t="s">
        <v>39</v>
      </c>
      <c r="B2" s="14" t="s">
        <v>283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284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35" customFormat="1" x14ac:dyDescent="0.25">
      <c r="A12" s="26" t="s">
        <v>283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285</v>
      </c>
      <c r="P12" s="33"/>
    </row>
    <row r="13" spans="1:16" s="35" customFormat="1" x14ac:dyDescent="0.25">
      <c r="A13" s="33" t="s">
        <v>287</v>
      </c>
      <c r="B13" s="34">
        <v>-0.1</v>
      </c>
      <c r="C13" s="31" t="s">
        <v>48</v>
      </c>
      <c r="D13" s="31"/>
      <c r="E13" s="31" t="s">
        <v>60</v>
      </c>
      <c r="F13" s="31" t="s">
        <v>61</v>
      </c>
      <c r="G13" s="31" t="s">
        <v>237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288</v>
      </c>
      <c r="P13" s="33"/>
    </row>
    <row r="14" spans="1:16" s="35" customFormat="1" x14ac:dyDescent="0.25">
      <c r="A14" s="33" t="s">
        <v>135</v>
      </c>
      <c r="B14" s="40">
        <v>-1</v>
      </c>
      <c r="C14" s="31" t="s">
        <v>48</v>
      </c>
      <c r="D14" s="41"/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236</v>
      </c>
      <c r="B15" s="39">
        <v>-0.41</v>
      </c>
      <c r="C15" s="31" t="s">
        <v>48</v>
      </c>
      <c r="D15" s="41"/>
      <c r="E15" s="31" t="s">
        <v>60</v>
      </c>
      <c r="F15" s="31" t="s">
        <v>61</v>
      </c>
      <c r="G15" s="31" t="s">
        <v>237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238</v>
      </c>
      <c r="P15" s="33"/>
    </row>
    <row r="16" spans="1:16" x14ac:dyDescent="0.25">
      <c r="A16" t="s">
        <v>289</v>
      </c>
      <c r="B16">
        <v>-0.41</v>
      </c>
      <c r="C16" s="31" t="s">
        <v>48</v>
      </c>
      <c r="D16" s="41"/>
      <c r="E16" s="31" t="s">
        <v>60</v>
      </c>
      <c r="F16" s="31" t="s">
        <v>61</v>
      </c>
      <c r="G16" t="s">
        <v>133</v>
      </c>
      <c r="H16" s="31" t="s">
        <v>62</v>
      </c>
      <c r="I16" s="31" t="s">
        <v>61</v>
      </c>
      <c r="J16" s="31" t="s">
        <v>61</v>
      </c>
      <c r="K16" s="31" t="s">
        <v>61</v>
      </c>
      <c r="L16" s="31" t="s">
        <v>61</v>
      </c>
      <c r="M16" s="31" t="s">
        <v>61</v>
      </c>
      <c r="N16" s="31" t="s">
        <v>61</v>
      </c>
      <c r="O16" s="11" t="s">
        <v>290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6C1B-6F02-4AF1-AF9F-09D84DB1D562}">
  <dimension ref="A1:P15"/>
  <sheetViews>
    <sheetView workbookViewId="0">
      <selection activeCell="B5" sqref="B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147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223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147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244</v>
      </c>
      <c r="P12" s="26"/>
    </row>
    <row r="13" spans="1:16" s="35" customFormat="1" x14ac:dyDescent="0.25">
      <c r="A13" s="33" t="s">
        <v>196</v>
      </c>
      <c r="B13" s="40">
        <v>0</v>
      </c>
      <c r="C13" s="31" t="s">
        <v>48</v>
      </c>
      <c r="D13" s="42" t="s">
        <v>148</v>
      </c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197</v>
      </c>
      <c r="P13" s="33"/>
    </row>
    <row r="14" spans="1:16" s="35" customFormat="1" x14ac:dyDescent="0.25">
      <c r="A14" s="33"/>
      <c r="B14" s="34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A086-3488-430C-B65C-DAEF5939638A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142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222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142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245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278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144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246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C70D-3BA6-4FA7-B2A5-397D5839FA4E}">
  <dimension ref="A1:P17"/>
  <sheetViews>
    <sheetView workbookViewId="0">
      <selection activeCell="O13" sqref="O13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144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221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144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246</v>
      </c>
      <c r="P12" s="26"/>
    </row>
    <row r="13" spans="1:16" s="35" customFormat="1" x14ac:dyDescent="0.25">
      <c r="A13" s="33" t="s">
        <v>196</v>
      </c>
      <c r="B13" s="40">
        <v>0</v>
      </c>
      <c r="C13" s="31" t="s">
        <v>48</v>
      </c>
      <c r="D13" s="42" t="s">
        <v>145</v>
      </c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197</v>
      </c>
      <c r="P13" s="33"/>
    </row>
    <row r="14" spans="1:16" s="35" customFormat="1" x14ac:dyDescent="0.25">
      <c r="A14" s="33" t="s">
        <v>135</v>
      </c>
      <c r="B14" s="34">
        <v>-0.15</v>
      </c>
      <c r="C14" s="31" t="s">
        <v>48</v>
      </c>
      <c r="D14" s="31"/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39">
        <v>-0.04</v>
      </c>
      <c r="C15" s="31" t="s">
        <v>48</v>
      </c>
      <c r="D15" s="31"/>
      <c r="E15" s="31" t="s">
        <v>60</v>
      </c>
      <c r="F15" s="31" t="s">
        <v>61</v>
      </c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 t="s">
        <v>146</v>
      </c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89DB-C870-4886-B254-C88A8077B1D9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7" width="18.140625" customWidth="1"/>
    <col min="8" max="8" width="13.42578125" bestFit="1" customWidth="1"/>
    <col min="9" max="9" width="17.7109375" bestFit="1" customWidth="1"/>
    <col min="10" max="14" width="10.85546875" bestFit="1" customWidth="1"/>
    <col min="15" max="15" width="49.5703125" style="32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150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220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150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247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277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151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248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F795-8C13-492B-AC75-28359BAF7576}">
  <dimension ref="A1:P17"/>
  <sheetViews>
    <sheetView workbookViewId="0">
      <selection activeCell="A15" sqref="A14:XFD15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151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152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151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248</v>
      </c>
      <c r="P12" s="26"/>
    </row>
    <row r="13" spans="1:16" s="35" customFormat="1" x14ac:dyDescent="0.25">
      <c r="A13" s="33" t="s">
        <v>196</v>
      </c>
      <c r="B13" s="40">
        <v>0</v>
      </c>
      <c r="C13" s="31" t="s">
        <v>48</v>
      </c>
      <c r="D13" s="42" t="s">
        <v>153</v>
      </c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197</v>
      </c>
      <c r="P13" s="33"/>
    </row>
    <row r="14" spans="1:16" s="35" customFormat="1" x14ac:dyDescent="0.25">
      <c r="A14" s="33" t="s">
        <v>135</v>
      </c>
      <c r="B14" s="39">
        <f>-0.15*2</f>
        <v>-0.3</v>
      </c>
      <c r="C14" s="31" t="s">
        <v>48</v>
      </c>
      <c r="D14" s="31"/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136</v>
      </c>
      <c r="P14" s="33"/>
    </row>
    <row r="15" spans="1:16" s="35" customFormat="1" x14ac:dyDescent="0.25">
      <c r="A15" s="33" t="s">
        <v>137</v>
      </c>
      <c r="B15" s="39">
        <f>-0.04*2</f>
        <v>-0.08</v>
      </c>
      <c r="C15" s="31" t="s">
        <v>48</v>
      </c>
      <c r="D15" s="31"/>
      <c r="E15" s="31" t="s">
        <v>60</v>
      </c>
      <c r="F15" s="31" t="s">
        <v>61</v>
      </c>
      <c r="G15" s="31" t="s">
        <v>133</v>
      </c>
      <c r="H15" s="31" t="s">
        <v>62</v>
      </c>
      <c r="I15" s="31" t="s">
        <v>61</v>
      </c>
      <c r="J15" s="31" t="s">
        <v>61</v>
      </c>
      <c r="K15" s="31" t="s">
        <v>61</v>
      </c>
      <c r="L15" s="31" t="s">
        <v>61</v>
      </c>
      <c r="M15" s="31" t="s">
        <v>61</v>
      </c>
      <c r="N15" s="31" t="s">
        <v>61</v>
      </c>
      <c r="O15" s="31" t="s">
        <v>138</v>
      </c>
      <c r="P15" s="33" t="s">
        <v>146</v>
      </c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FE3D-045F-4219-A78B-B74300CCF7C8}">
  <dimension ref="A1:P19"/>
  <sheetViews>
    <sheetView workbookViewId="0">
      <selection activeCell="D14" sqref="D14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7" width="18.140625" customWidth="1"/>
    <col min="8" max="8" width="13.42578125" bestFit="1" customWidth="1"/>
    <col min="9" max="9" width="17.7109375" bestFit="1" customWidth="1"/>
    <col min="10" max="14" width="10.85546875" bestFit="1" customWidth="1"/>
    <col min="15" max="15" width="49.5703125" style="32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205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199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205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249</v>
      </c>
      <c r="P12" s="26"/>
    </row>
    <row r="13" spans="1:16" s="35" customFormat="1" x14ac:dyDescent="0.25">
      <c r="A13" s="33" t="s">
        <v>83</v>
      </c>
      <c r="B13" s="40">
        <v>0</v>
      </c>
      <c r="C13" s="31" t="s">
        <v>84</v>
      </c>
      <c r="D13" s="31" t="s">
        <v>276</v>
      </c>
      <c r="E13" s="31" t="s">
        <v>60</v>
      </c>
      <c r="F13" s="31" t="s">
        <v>61</v>
      </c>
      <c r="G13" s="31" t="s">
        <v>63</v>
      </c>
      <c r="H13" s="1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85</v>
      </c>
      <c r="P13" s="33"/>
    </row>
    <row r="14" spans="1:16" s="35" customFormat="1" x14ac:dyDescent="0.25">
      <c r="A14" s="33" t="s">
        <v>204</v>
      </c>
      <c r="B14" s="34">
        <v>-1</v>
      </c>
      <c r="C14" s="31" t="s">
        <v>65</v>
      </c>
      <c r="D14" s="31"/>
      <c r="E14" s="31" t="s">
        <v>268</v>
      </c>
      <c r="F14" s="31" t="s">
        <v>61</v>
      </c>
      <c r="G14" s="31" t="s">
        <v>44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250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  <row r="16" spans="1:16" s="35" customFormat="1" x14ac:dyDescent="0.25">
      <c r="A16" s="33"/>
      <c r="B16" s="34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3"/>
    </row>
    <row r="17" spans="1:16" s="35" customFormat="1" x14ac:dyDescent="0.25">
      <c r="A17" s="33"/>
      <c r="B17" s="34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3"/>
    </row>
    <row r="18" spans="1:16" s="35" customFormat="1" x14ac:dyDescent="0.25">
      <c r="A18" s="33"/>
      <c r="B18" s="34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3"/>
    </row>
    <row r="19" spans="1:16" s="35" customFormat="1" x14ac:dyDescent="0.25">
      <c r="A19" s="33"/>
      <c r="B19" s="34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3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5263-2D0F-4A2A-8001-A193EF64E1E6}">
  <dimension ref="A1:P15"/>
  <sheetViews>
    <sheetView workbookViewId="0">
      <selection activeCell="D23" sqref="D23"/>
    </sheetView>
  </sheetViews>
  <sheetFormatPr defaultColWidth="8.85546875" defaultRowHeight="15" x14ac:dyDescent="0.25"/>
  <cols>
    <col min="1" max="1" width="65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55.5703125" style="32" bestFit="1" customWidth="1"/>
  </cols>
  <sheetData>
    <row r="1" spans="1:16" x14ac:dyDescent="0.25">
      <c r="A1" t="s">
        <v>30</v>
      </c>
      <c r="B1">
        <v>11</v>
      </c>
      <c r="C1" s="1" t="s">
        <v>31</v>
      </c>
    </row>
    <row r="2" spans="1:16" ht="15.75" x14ac:dyDescent="0.25">
      <c r="A2" s="13" t="s">
        <v>39</v>
      </c>
      <c r="B2" s="14" t="s">
        <v>204</v>
      </c>
      <c r="C2" s="4"/>
      <c r="D2" s="15"/>
    </row>
    <row r="3" spans="1:16" x14ac:dyDescent="0.25">
      <c r="A3" t="s">
        <v>40</v>
      </c>
      <c r="B3" t="s">
        <v>41</v>
      </c>
    </row>
    <row r="4" spans="1:16" x14ac:dyDescent="0.25">
      <c r="A4" t="s">
        <v>42</v>
      </c>
      <c r="B4" s="16" t="s">
        <v>201</v>
      </c>
      <c r="C4" s="4"/>
      <c r="D4" s="15"/>
    </row>
    <row r="5" spans="1:16" x14ac:dyDescent="0.25">
      <c r="A5" t="s">
        <v>43</v>
      </c>
      <c r="B5" s="16" t="s">
        <v>44</v>
      </c>
      <c r="C5" s="4"/>
      <c r="D5" s="15"/>
    </row>
    <row r="6" spans="1:16" x14ac:dyDescent="0.25">
      <c r="A6" t="s">
        <v>45</v>
      </c>
      <c r="B6">
        <v>-1</v>
      </c>
      <c r="C6" s="4"/>
    </row>
    <row r="7" spans="1:16" x14ac:dyDescent="0.25">
      <c r="A7" t="s">
        <v>46</v>
      </c>
      <c r="B7" t="s">
        <v>47</v>
      </c>
    </row>
    <row r="8" spans="1:16" x14ac:dyDescent="0.25">
      <c r="A8" t="s">
        <v>10</v>
      </c>
      <c r="B8" t="s">
        <v>65</v>
      </c>
    </row>
    <row r="9" spans="1:16" x14ac:dyDescent="0.25">
      <c r="A9" t="s">
        <v>86</v>
      </c>
    </row>
    <row r="10" spans="1:16" ht="15.75" x14ac:dyDescent="0.25">
      <c r="A10" s="13" t="s">
        <v>49</v>
      </c>
    </row>
    <row r="11" spans="1:16" ht="15.75" x14ac:dyDescent="0.25">
      <c r="A11" s="13" t="s">
        <v>50</v>
      </c>
      <c r="B11" s="17" t="s">
        <v>51</v>
      </c>
      <c r="C11" s="17" t="s">
        <v>10</v>
      </c>
      <c r="D11" s="17" t="s">
        <v>88</v>
      </c>
      <c r="E11" s="17" t="s">
        <v>52</v>
      </c>
      <c r="F11" s="17" t="s">
        <v>40</v>
      </c>
      <c r="G11" s="17" t="s">
        <v>43</v>
      </c>
      <c r="H11" s="17" t="s">
        <v>46</v>
      </c>
      <c r="I11" s="17" t="s">
        <v>53</v>
      </c>
      <c r="J11" s="17" t="s">
        <v>54</v>
      </c>
      <c r="K11" s="17" t="s">
        <v>55</v>
      </c>
      <c r="L11" s="17" t="s">
        <v>56</v>
      </c>
      <c r="M11" s="17" t="s">
        <v>57</v>
      </c>
      <c r="N11" s="17" t="s">
        <v>58</v>
      </c>
      <c r="O11" s="17" t="s">
        <v>59</v>
      </c>
      <c r="P11" s="18" t="s">
        <v>11</v>
      </c>
    </row>
    <row r="12" spans="1:16" s="16" customFormat="1" x14ac:dyDescent="0.25">
      <c r="A12" s="26" t="s">
        <v>204</v>
      </c>
      <c r="B12" s="27">
        <v>-1</v>
      </c>
      <c r="C12" s="20" t="s">
        <v>65</v>
      </c>
      <c r="D12" s="20"/>
      <c r="E12" s="20" t="s">
        <v>268</v>
      </c>
      <c r="F12" s="20" t="s">
        <v>61</v>
      </c>
      <c r="G12" s="20" t="s">
        <v>44</v>
      </c>
      <c r="H12" s="20" t="s">
        <v>64</v>
      </c>
      <c r="I12" s="20" t="s">
        <v>61</v>
      </c>
      <c r="J12" s="20" t="s">
        <v>61</v>
      </c>
      <c r="K12" s="20" t="s">
        <v>61</v>
      </c>
      <c r="L12" s="20" t="s">
        <v>61</v>
      </c>
      <c r="M12" s="20" t="s">
        <v>61</v>
      </c>
      <c r="N12" s="20" t="s">
        <v>61</v>
      </c>
      <c r="O12" s="20" t="s">
        <v>250</v>
      </c>
      <c r="P12" s="26"/>
    </row>
    <row r="13" spans="1:16" s="35" customFormat="1" x14ac:dyDescent="0.25">
      <c r="A13" s="33" t="s">
        <v>196</v>
      </c>
      <c r="B13" s="40">
        <v>0</v>
      </c>
      <c r="C13" s="31" t="s">
        <v>48</v>
      </c>
      <c r="D13" s="42" t="s">
        <v>203</v>
      </c>
      <c r="E13" s="31" t="s">
        <v>60</v>
      </c>
      <c r="F13" s="31" t="s">
        <v>61</v>
      </c>
      <c r="G13" s="31" t="s">
        <v>133</v>
      </c>
      <c r="H13" s="31" t="s">
        <v>62</v>
      </c>
      <c r="I13" s="31" t="s">
        <v>61</v>
      </c>
      <c r="J13" s="31" t="s">
        <v>61</v>
      </c>
      <c r="K13" s="31" t="s">
        <v>61</v>
      </c>
      <c r="L13" s="31" t="s">
        <v>61</v>
      </c>
      <c r="M13" s="31" t="s">
        <v>61</v>
      </c>
      <c r="N13" s="31" t="s">
        <v>61</v>
      </c>
      <c r="O13" s="31" t="s">
        <v>197</v>
      </c>
      <c r="P13" s="33"/>
    </row>
    <row r="14" spans="1:16" s="35" customFormat="1" x14ac:dyDescent="0.25">
      <c r="A14" s="33" t="s">
        <v>196</v>
      </c>
      <c r="B14" s="40">
        <v>-1</v>
      </c>
      <c r="C14" s="31" t="s">
        <v>48</v>
      </c>
      <c r="D14" s="42"/>
      <c r="E14" s="31" t="s">
        <v>60</v>
      </c>
      <c r="F14" s="31" t="s">
        <v>61</v>
      </c>
      <c r="G14" s="31" t="s">
        <v>133</v>
      </c>
      <c r="H14" s="31" t="s">
        <v>62</v>
      </c>
      <c r="I14" s="31" t="s">
        <v>61</v>
      </c>
      <c r="J14" s="31" t="s">
        <v>61</v>
      </c>
      <c r="K14" s="31" t="s">
        <v>61</v>
      </c>
      <c r="L14" s="31" t="s">
        <v>61</v>
      </c>
      <c r="M14" s="31" t="s">
        <v>61</v>
      </c>
      <c r="N14" s="31" t="s">
        <v>61</v>
      </c>
      <c r="O14" s="31" t="s">
        <v>197</v>
      </c>
      <c r="P14" s="33"/>
    </row>
    <row r="15" spans="1:16" s="35" customFormat="1" x14ac:dyDescent="0.25">
      <c r="A15" s="33"/>
      <c r="B15" s="34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Hypothesis</vt:lpstr>
      <vt:lpstr>EoL_SG_Market</vt:lpstr>
      <vt:lpstr>EoL_SG</vt:lpstr>
      <vt:lpstr>EoL_DG_Market</vt:lpstr>
      <vt:lpstr>EoL_DG</vt:lpstr>
      <vt:lpstr>EoL_TG_Market</vt:lpstr>
      <vt:lpstr>EoL_TG</vt:lpstr>
      <vt:lpstr>EoL_vacuum_Market</vt:lpstr>
      <vt:lpstr>EoL_vacuum</vt:lpstr>
      <vt:lpstr>EoL_smart_Market</vt:lpstr>
      <vt:lpstr>EoL_smart</vt:lpstr>
      <vt:lpstr>EoL_CW_SG_Low_Market</vt:lpstr>
      <vt:lpstr>EoL_CW_SG_Low</vt:lpstr>
      <vt:lpstr>EoL_CW_DG_Low_Market</vt:lpstr>
      <vt:lpstr>EoL_CW_DG_Low</vt:lpstr>
      <vt:lpstr>EoL_CW_DG_High_Market</vt:lpstr>
      <vt:lpstr>EoL_CW_DG_High</vt:lpstr>
      <vt:lpstr>EoL_CW_TG_High_Market</vt:lpstr>
      <vt:lpstr>EoL_CW_TG_High</vt:lpstr>
      <vt:lpstr>EoL_CW_CCF_Market</vt:lpstr>
      <vt:lpstr>EoL_CW_CCF</vt:lpstr>
      <vt:lpstr>EoL_CW_vacuum_Market</vt:lpstr>
      <vt:lpstr>EoL_CW_vacuum</vt:lpstr>
      <vt:lpstr>EoL_CW_smart_Market</vt:lpstr>
      <vt:lpstr>EoL_CW_smart</vt:lpstr>
      <vt:lpstr>EoL_CW_DSF_Market</vt:lpstr>
      <vt:lpstr>EoL_CW_DSF</vt:lpstr>
      <vt:lpstr>EoL_screen_market</vt:lpstr>
      <vt:lpstr>EoL_screen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2021-09-20T14:17:31Z</dcterms:created>
  <dcterms:modified xsi:type="dcterms:W3CDTF">2022-02-18T15:23:56Z</dcterms:modified>
</cp:coreProperties>
</file>