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_Repo\benchmark\data\"/>
    </mc:Choice>
  </mc:AlternateContent>
  <xr:revisionPtr revIDLastSave="0" documentId="13_ncr:1_{F96E3F74-B934-453B-BC47-93BF9F2A201B}" xr6:coauthVersionLast="47" xr6:coauthVersionMax="47" xr10:uidLastSave="{00000000-0000-0000-0000-000000000000}"/>
  <bookViews>
    <workbookView xWindow="-120" yWindow="-120" windowWidth="29040" windowHeight="16440" xr2:uid="{1CC61374-E2B3-4FBC-AA32-BD376F26C049}"/>
  </bookViews>
  <sheets>
    <sheet name="Benchmark_BXL" sheetId="1" r:id="rId1"/>
    <sheet name="Benchmark_PARIS" sheetId="4" r:id="rId2"/>
    <sheet name="DDU" sheetId="3" r:id="rId3"/>
  </sheets>
  <definedNames>
    <definedName name="_xlchart.v1.0" hidden="1">Benchmark_PARIS!$A$35</definedName>
    <definedName name="_xlchart.v1.1" hidden="1">Benchmark_PARIS!$A$36</definedName>
    <definedName name="_xlchart.v1.2" hidden="1">Benchmark_PARIS!$A$37</definedName>
    <definedName name="_xlchart.v1.3" hidden="1">Benchmark_PARIS!$A$38</definedName>
    <definedName name="_xlchart.v1.4" hidden="1">Benchmark_PARIS!$B$35:$W$35</definedName>
    <definedName name="_xlchart.v1.5" hidden="1">Benchmark_PARIS!$B$36:$W$36</definedName>
    <definedName name="_xlchart.v1.6" hidden="1">Benchmark_PARIS!$B$37:$W$37</definedName>
    <definedName name="_xlchart.v1.7" hidden="1">Benchmark_PARIS!$B$38:$W$38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J42" i="1"/>
  <c r="I24" i="1"/>
  <c r="L40" i="1"/>
  <c r="J40" i="1"/>
  <c r="I40" i="1"/>
  <c r="L39" i="1"/>
  <c r="J39" i="1"/>
  <c r="I39" i="1"/>
  <c r="L38" i="1"/>
  <c r="J38" i="1"/>
  <c r="I38" i="1"/>
  <c r="L37" i="1"/>
  <c r="J37" i="1"/>
  <c r="I37" i="1"/>
  <c r="L36" i="1"/>
  <c r="J36" i="1"/>
  <c r="I36" i="1"/>
  <c r="L35" i="1"/>
  <c r="J35" i="1"/>
  <c r="I35" i="1"/>
  <c r="L34" i="1"/>
  <c r="J34" i="1"/>
  <c r="I34" i="1"/>
  <c r="L33" i="1"/>
  <c r="J33" i="1"/>
  <c r="I33" i="1"/>
  <c r="L32" i="1"/>
  <c r="J32" i="1"/>
  <c r="I32" i="1"/>
  <c r="L31" i="1"/>
  <c r="J31" i="1"/>
  <c r="I31" i="1"/>
  <c r="L30" i="1"/>
  <c r="J30" i="1"/>
  <c r="I30" i="1"/>
  <c r="L29" i="1"/>
  <c r="J29" i="1"/>
  <c r="I29" i="1"/>
  <c r="L28" i="1"/>
  <c r="J28" i="1"/>
  <c r="I28" i="1"/>
  <c r="L27" i="1"/>
  <c r="J27" i="1"/>
  <c r="I27" i="1"/>
  <c r="L26" i="1"/>
  <c r="J26" i="1"/>
  <c r="I26" i="1"/>
  <c r="L25" i="1"/>
  <c r="J25" i="1"/>
  <c r="I25" i="1"/>
  <c r="L24" i="1"/>
  <c r="J24" i="1"/>
  <c r="L23" i="1"/>
  <c r="J23" i="1"/>
  <c r="I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E17" i="3"/>
  <c r="K38" i="4"/>
  <c r="C38" i="4"/>
  <c r="S37" i="4"/>
  <c r="R37" i="4"/>
  <c r="Q37" i="4"/>
  <c r="K37" i="4"/>
  <c r="J37" i="4"/>
  <c r="I37" i="4"/>
  <c r="C37" i="4"/>
  <c r="B37" i="4"/>
  <c r="W36" i="4"/>
  <c r="V36" i="4"/>
  <c r="U36" i="4"/>
  <c r="T36" i="4"/>
  <c r="S36" i="4"/>
  <c r="R36" i="4"/>
  <c r="Q36" i="4"/>
  <c r="P36" i="4"/>
  <c r="O36" i="4"/>
  <c r="O38" i="4" s="1"/>
  <c r="N36" i="4"/>
  <c r="M36" i="4"/>
  <c r="L36" i="4"/>
  <c r="K36" i="4"/>
  <c r="J36" i="4"/>
  <c r="I36" i="4"/>
  <c r="H36" i="4"/>
  <c r="G36" i="4"/>
  <c r="G38" i="4" s="1"/>
  <c r="F36" i="4"/>
  <c r="E36" i="4"/>
  <c r="D36" i="4"/>
  <c r="C36" i="4"/>
  <c r="B36" i="4"/>
  <c r="W35" i="4"/>
  <c r="V35" i="4"/>
  <c r="U35" i="4"/>
  <c r="T35" i="4"/>
  <c r="S35" i="4"/>
  <c r="S38" i="4" s="1"/>
  <c r="R35" i="4"/>
  <c r="R38" i="4" s="1"/>
  <c r="Q35" i="4"/>
  <c r="Q38" i="4" s="1"/>
  <c r="P35" i="4"/>
  <c r="P38" i="4" s="1"/>
  <c r="O35" i="4"/>
  <c r="N35" i="4"/>
  <c r="M35" i="4"/>
  <c r="L35" i="4"/>
  <c r="K35" i="4"/>
  <c r="J35" i="4"/>
  <c r="J38" i="4" s="1"/>
  <c r="I35" i="4"/>
  <c r="I38" i="4" s="1"/>
  <c r="H35" i="4"/>
  <c r="H38" i="4" s="1"/>
  <c r="G35" i="4"/>
  <c r="F35" i="4"/>
  <c r="E35" i="4"/>
  <c r="D35" i="4"/>
  <c r="C35" i="4"/>
  <c r="B35" i="4"/>
  <c r="B38" i="4" s="1"/>
  <c r="W33" i="4"/>
  <c r="V33" i="4"/>
  <c r="R33" i="4"/>
  <c r="Q33" i="4"/>
  <c r="P33" i="4"/>
  <c r="O33" i="4"/>
  <c r="N33" i="4"/>
  <c r="J33" i="4"/>
  <c r="I33" i="4"/>
  <c r="H33" i="4"/>
  <c r="G33" i="4"/>
  <c r="F33" i="4"/>
  <c r="B33" i="4"/>
  <c r="W32" i="4"/>
  <c r="W37" i="4" s="1"/>
  <c r="V32" i="4"/>
  <c r="V37" i="4" s="1"/>
  <c r="V38" i="4" s="1"/>
  <c r="U32" i="4"/>
  <c r="U33" i="4" s="1"/>
  <c r="T32" i="4"/>
  <c r="T37" i="4" s="1"/>
  <c r="T38" i="4" s="1"/>
  <c r="S32" i="4"/>
  <c r="S33" i="4" s="1"/>
  <c r="R32" i="4"/>
  <c r="Q32" i="4"/>
  <c r="P32" i="4"/>
  <c r="P37" i="4" s="1"/>
  <c r="O32" i="4"/>
  <c r="O37" i="4" s="1"/>
  <c r="N32" i="4"/>
  <c r="N37" i="4" s="1"/>
  <c r="N38" i="4" s="1"/>
  <c r="M32" i="4"/>
  <c r="M33" i="4" s="1"/>
  <c r="L32" i="4"/>
  <c r="L33" i="4" s="1"/>
  <c r="K32" i="4"/>
  <c r="K33" i="4" s="1"/>
  <c r="J32" i="4"/>
  <c r="I32" i="4"/>
  <c r="H32" i="4"/>
  <c r="H37" i="4" s="1"/>
  <c r="G32" i="4"/>
  <c r="G37" i="4" s="1"/>
  <c r="F32" i="4"/>
  <c r="F37" i="4" s="1"/>
  <c r="F38" i="4" s="1"/>
  <c r="E32" i="4"/>
  <c r="E33" i="4" s="1"/>
  <c r="D32" i="4"/>
  <c r="D33" i="4" s="1"/>
  <c r="C32" i="4"/>
  <c r="C33" i="4" s="1"/>
  <c r="B32" i="4"/>
  <c r="K34" i="1" l="1"/>
  <c r="K30" i="1"/>
  <c r="K23" i="1"/>
  <c r="K28" i="1"/>
  <c r="K36" i="1"/>
  <c r="K25" i="1"/>
  <c r="K35" i="1"/>
  <c r="K38" i="1"/>
  <c r="K31" i="1"/>
  <c r="K27" i="1"/>
  <c r="K32" i="1"/>
  <c r="K37" i="1"/>
  <c r="K40" i="1"/>
  <c r="K26" i="1"/>
  <c r="K24" i="1"/>
  <c r="K39" i="1"/>
  <c r="K33" i="1"/>
  <c r="K29" i="1"/>
  <c r="W38" i="4"/>
  <c r="D37" i="4"/>
  <c r="D38" i="4" s="1"/>
  <c r="L37" i="4"/>
  <c r="L38" i="4" s="1"/>
  <c r="E37" i="4"/>
  <c r="E38" i="4" s="1"/>
  <c r="M37" i="4"/>
  <c r="M38" i="4" s="1"/>
  <c r="U37" i="4"/>
  <c r="U38" i="4" s="1"/>
  <c r="T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F2" authorId="0" shapeId="0" xr:uid="{7AF0D6C2-50DE-4FDD-A59B-4B7EECB32B28}">
      <text>
        <r>
          <rPr>
            <sz val="9"/>
            <color indexed="81"/>
            <rFont val="Tahoma"/>
            <family val="2"/>
          </rPr>
          <t>https://energieplus-lesite.be/donnees/climat2/degres-jours/</t>
        </r>
      </text>
    </comment>
    <comment ref="I2" authorId="0" shapeId="0" xr:uid="{9F1C3A91-ED59-4964-A10F-5E5FDF5560E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https://www.statistiques.developpement-durable.gouv.fr/indice-de-rigueur-degres-jours-unifies-aux-niveaux-national-regional-et-departemental</t>
        </r>
      </text>
    </comment>
  </commentList>
</comments>
</file>

<file path=xl/sharedStrings.xml><?xml version="1.0" encoding="utf-8"?>
<sst xmlns="http://schemas.openxmlformats.org/spreadsheetml/2006/main" count="392" uniqueCount="105">
  <si>
    <t>City</t>
  </si>
  <si>
    <t>Year</t>
  </si>
  <si>
    <t>Brussels</t>
  </si>
  <si>
    <t>reference</t>
  </si>
  <si>
    <t>-</t>
  </si>
  <si>
    <t>averages</t>
  </si>
  <si>
    <t>specific bldgs</t>
  </si>
  <si>
    <t>Number of bldgs</t>
  </si>
  <si>
    <t>Wallonie</t>
  </si>
  <si>
    <t>ICEDD, Bilan énergétique de la Wallonie 2012. Bilan de l'industrie et bilan global, 2014</t>
  </si>
  <si>
    <t>DD 15/15</t>
  </si>
  <si>
    <t>Paris</t>
  </si>
  <si>
    <t>DD 18</t>
  </si>
  <si>
    <t>Brussels (Uccle), IRM</t>
  </si>
  <si>
    <t>Belgium</t>
  </si>
  <si>
    <t>DD 16.5/16.5</t>
  </si>
  <si>
    <t>DD 17</t>
  </si>
  <si>
    <t>Île-de-France</t>
  </si>
  <si>
    <t>size, m²</t>
  </si>
  <si>
    <t>mean</t>
  </si>
  <si>
    <t>38 Av.Kleber, renovated</t>
  </si>
  <si>
    <t>electricity, kWhpe/m²</t>
  </si>
  <si>
    <t>electricity, kWhfe/m²</t>
  </si>
  <si>
    <t>fuel, kWhfe/m²</t>
  </si>
  <si>
    <t>https://www.observatoirebbc.org/patrimoine/8925</t>
  </si>
  <si>
    <t>Grand Central St Lazare - Bureaux Londres</t>
  </si>
  <si>
    <t>https://www.observatoirebbc.org/patrimoine/8923</t>
  </si>
  <si>
    <t>https://www.observatoirebbc.org/patrimoine/8934</t>
  </si>
  <si>
    <t xml:space="preserve">Rue de Calais </t>
  </si>
  <si>
    <t>Hight (new)</t>
  </si>
  <si>
    <t>Hight (old)</t>
  </si>
  <si>
    <t>https://www.observatoirebbc.org/patrimoine/8672</t>
  </si>
  <si>
    <t>heating, kWhpe/m²</t>
  </si>
  <si>
    <t>heating system</t>
  </si>
  <si>
    <t>geothermics</t>
  </si>
  <si>
    <t>réseau de chaleur de la ville de Paris</t>
  </si>
  <si>
    <t>gaz</t>
  </si>
  <si>
    <t>Fateurs d'énergie primaire</t>
  </si>
  <si>
    <t>https://www.actu-environnement.com/media/pdf/news-27904-referentiel-energie-carbone.pdf</t>
  </si>
  <si>
    <t>cooling, kWhpe/m²</t>
  </si>
  <si>
    <t>cooling system</t>
  </si>
  <si>
    <t>élec = 2.58</t>
  </si>
  <si>
    <t>réseau local = 1</t>
  </si>
  <si>
    <t>fossil fuel = 1</t>
  </si>
  <si>
    <t>réseau de froid de la ville de Paris</t>
  </si>
  <si>
    <t>réseau de froid</t>
  </si>
  <si>
    <t>heating, kWhfe/m²</t>
  </si>
  <si>
    <t>cooling, kWhfe/m²</t>
  </si>
  <si>
    <t>elec</t>
  </si>
  <si>
    <t>Total final energy, kWh/m²</t>
  </si>
  <si>
    <t>Total primary energy, kWh/m²</t>
  </si>
  <si>
    <t>40 Louvre (new)</t>
  </si>
  <si>
    <t>40 Louvre (old)</t>
  </si>
  <si>
    <t xml:space="preserve">Rue Cambacérès </t>
  </si>
  <si>
    <t>https://www.observatoirebbc.org/patrimoine/8360</t>
  </si>
  <si>
    <t>https://www.observatoirebbc.org/patrimoine/8012</t>
  </si>
  <si>
    <t>Rue Henner (old)</t>
  </si>
  <si>
    <t>Rue Henner (new)</t>
  </si>
  <si>
    <t>https://www.observatoirebbc.org/patrimoine/8665</t>
  </si>
  <si>
    <t>44 St Lazare (old)</t>
  </si>
  <si>
    <t>44 St Lazare (new)</t>
  </si>
  <si>
    <t>https://www.observatoirebbc.org/patrimoine/8669</t>
  </si>
  <si>
    <t>Le Shift (old)</t>
  </si>
  <si>
    <t>Le Shift (new)</t>
  </si>
  <si>
    <t>49 rue La Boetie</t>
  </si>
  <si>
    <t>https://www.observatoirebbc.org/patrimoine/7536</t>
  </si>
  <si>
    <t>https://www.observatoirebbc.org/patrimoine/8003</t>
  </si>
  <si>
    <t>Ilot Fontenoy Segu</t>
  </si>
  <si>
    <t>elc</t>
  </si>
  <si>
    <t>https://www.observatoirebbc.org/patrimoine/8414</t>
  </si>
  <si>
    <t>Théodore (old)</t>
  </si>
  <si>
    <t>Théodore (new)</t>
  </si>
  <si>
    <t>14 rue de Londres (old)</t>
  </si>
  <si>
    <t>14 rue de Londres (new)</t>
  </si>
  <si>
    <t>https://www.observatoirebbc.org/patrimoine/7523</t>
  </si>
  <si>
    <t>https://www.observatoirebbc.org/patrimoine/7533</t>
  </si>
  <si>
    <t>55 Amsterdam (old)</t>
  </si>
  <si>
    <t>55 Amsterdam (new)</t>
  </si>
  <si>
    <t>https://www.observatoirebbc.org/patrimoine/7537</t>
  </si>
  <si>
    <t>OID, https://www.taloen.fr/indicateurs-energie-batiment</t>
  </si>
  <si>
    <t>La Défense</t>
  </si>
  <si>
    <t>fuel, kWhpe/m²</t>
  </si>
  <si>
    <t>Typology</t>
  </si>
  <si>
    <t>&lt;1970</t>
  </si>
  <si>
    <t>haussman</t>
  </si>
  <si>
    <t>Grand Paris</t>
  </si>
  <si>
    <t>80'</t>
  </si>
  <si>
    <t>90'</t>
  </si>
  <si>
    <t>~ 2005</t>
  </si>
  <si>
    <t>Grand Lille</t>
  </si>
  <si>
    <t>high-rise</t>
  </si>
  <si>
    <t>private</t>
  </si>
  <si>
    <t>public</t>
  </si>
  <si>
    <t>average area, m²</t>
  </si>
  <si>
    <t>max area, m²</t>
  </si>
  <si>
    <t>min area, m²</t>
  </si>
  <si>
    <t>ICEDD, "Bilan énergétique de la région de Bruxelles-Capitale 2012", 2014, p. 123</t>
  </si>
  <si>
    <t>ICEDD, "Bilan énergétique de la région de Bruxelles-Capitale 2011", 2013, p. 124</t>
  </si>
  <si>
    <t>ICEDD, "Bilan énergétique de la région de Bruxelles-Capitale 2013", 2015, p. 42</t>
  </si>
  <si>
    <t>"Bilan énergétique de la Wallonie 2012. Secteur domestique et équivalent", 2014, p.74</t>
  </si>
  <si>
    <t>Average:</t>
  </si>
  <si>
    <t>DD</t>
  </si>
  <si>
    <t>No</t>
  </si>
  <si>
    <t>electricity, kWh/m²</t>
  </si>
  <si>
    <t>fuel, kWh/m²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</si>
</sst>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horizontal="right"/>
    </xf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0" xfId="2"/>
    <xf numFmtId="164" fontId="0" fillId="0" borderId="0" xfId="1" applyNumberFormat="1" applyFont="1"/>
    <xf numFmtId="1" fontId="0" fillId="0" borderId="0" xfId="0" applyNumberFormat="1"/>
    <xf numFmtId="0" fontId="5" fillId="0" borderId="0" xfId="2" applyAlignment="1">
      <alignment horizontal="right"/>
    </xf>
    <xf numFmtId="0" fontId="3" fillId="2" borderId="0" xfId="0" applyFont="1" applyFill="1"/>
    <xf numFmtId="164" fontId="0" fillId="2" borderId="0" xfId="1" applyNumberFormat="1" applyFont="1" applyFill="1" applyAlignment="1">
      <alignment horizontal="right"/>
    </xf>
    <xf numFmtId="0" fontId="0" fillId="2" borderId="0" xfId="0" applyFill="1"/>
    <xf numFmtId="164" fontId="0" fillId="0" borderId="0" xfId="0" applyNumberFormat="1"/>
    <xf numFmtId="164" fontId="5" fillId="0" borderId="0" xfId="2" applyNumberFormat="1" applyAlignment="1">
      <alignment horizontal="right"/>
    </xf>
    <xf numFmtId="0" fontId="0" fillId="0" borderId="1" xfId="0" applyFill="1" applyBorder="1"/>
    <xf numFmtId="1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0" xfId="0" applyFont="1"/>
    <xf numFmtId="1" fontId="9" fillId="0" borderId="0" xfId="0" applyNumberFormat="1" applyFont="1"/>
    <xf numFmtId="0" fontId="9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1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5" fillId="0" borderId="0" xfId="2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0" fillId="0" borderId="0" xfId="0" applyNumberFormat="1" applyBorder="1"/>
    <xf numFmtId="164" fontId="9" fillId="0" borderId="0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plotArea>
      <cx:plotAreaRegion>
        <cx:series layoutId="boxWhisker" uniqueId="{87EBB044-D15D-4E90-BD33-FCD0445AB4D0}" formatIdx="0">
          <cx:tx>
            <cx:txData>
              <cx:f>_xlchart.v1.0</cx:f>
              <cx:v>heating, kWhfe/m²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49C345-E68B-4FCE-A98C-D9AC4021F213}" formatIdx="1">
          <cx:tx>
            <cx:txData>
              <cx:f>_xlchart.v1.1</cx:f>
              <cx:v>cooling, kWhfe/m²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40F2E1-0162-4EE5-B521-89AA4F2E3F30}" formatIdx="2">
          <cx:tx>
            <cx:txData>
              <cx:f>_xlchart.v1.2</cx:f>
              <cx:v>electricity, kWhfe/m²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9E4813-C043-4261-92B8-F26C2959C69C}" formatIdx="3">
          <cx:tx>
            <cx:txData>
              <cx:f>_xlchart.v1.3</cx:f>
              <cx:v>Total final energy, kWh/m²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694771</xdr:colOff>
      <xdr:row>44</xdr:row>
      <xdr:rowOff>51547</xdr:rowOff>
    </xdr:from>
    <xdr:to>
      <xdr:col>7</xdr:col>
      <xdr:colOff>291360</xdr:colOff>
      <xdr:row>58</xdr:row>
      <xdr:rowOff>127747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FDD510-7C76-4782-8CDA-A748E27C2A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9771" y="8090647"/>
              <a:ext cx="45686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bservatoirebbc.org/patrimoine/836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observatoirebbc.org/patrimoine/8934" TargetMode="External"/><Relationship Id="rId7" Type="http://schemas.openxmlformats.org/officeDocument/2006/relationships/hyperlink" Target="https://www.observatoirebbc.org/patrimoine/8360" TargetMode="External"/><Relationship Id="rId12" Type="http://schemas.openxmlformats.org/officeDocument/2006/relationships/hyperlink" Target="https://www.observatoirebbc.org/patrimoine/8003" TargetMode="External"/><Relationship Id="rId2" Type="http://schemas.openxmlformats.org/officeDocument/2006/relationships/hyperlink" Target="https://www.actu-environnement.com/media/pdf/news-27904-referentiel-energie-carbone.pdf" TargetMode="External"/><Relationship Id="rId1" Type="http://schemas.openxmlformats.org/officeDocument/2006/relationships/hyperlink" Target="https://www.observatoirebbc.org/patrimoine/8925" TargetMode="External"/><Relationship Id="rId6" Type="http://schemas.openxmlformats.org/officeDocument/2006/relationships/hyperlink" Target="https://www.observatoirebbc.org/patrimoine/8934" TargetMode="External"/><Relationship Id="rId11" Type="http://schemas.openxmlformats.org/officeDocument/2006/relationships/hyperlink" Target="https://www.observatoirebbc.org/patrimoine/8665" TargetMode="External"/><Relationship Id="rId5" Type="http://schemas.openxmlformats.org/officeDocument/2006/relationships/hyperlink" Target="https://www.observatoirebbc.org/patrimoine/8672" TargetMode="External"/><Relationship Id="rId10" Type="http://schemas.openxmlformats.org/officeDocument/2006/relationships/hyperlink" Target="https://www.observatoirebbc.org/patrimoine/8665" TargetMode="External"/><Relationship Id="rId4" Type="http://schemas.openxmlformats.org/officeDocument/2006/relationships/hyperlink" Target="https://www.observatoirebbc.org/patrimoine/8923" TargetMode="External"/><Relationship Id="rId9" Type="http://schemas.openxmlformats.org/officeDocument/2006/relationships/hyperlink" Target="https://www.observatoirebbc.org/patrimoine/801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FECA-0909-45A6-9D93-3F697C19B8C6}">
  <dimension ref="A1:M45"/>
  <sheetViews>
    <sheetView tabSelected="1" zoomScale="85" zoomScaleNormal="115" workbookViewId="0">
      <pane xSplit="1" topLeftCell="B1" activePane="topRight" state="frozen"/>
      <selection pane="topRight" activeCell="M2" sqref="M2"/>
    </sheetView>
  </sheetViews>
  <sheetFormatPr defaultRowHeight="15" x14ac:dyDescent="0.25"/>
  <cols>
    <col min="1" max="1" width="3.5703125" style="23" bestFit="1" customWidth="1"/>
    <col min="2" max="2" width="9.7109375" style="23" bestFit="1" customWidth="1"/>
    <col min="3" max="3" width="5.5703125" style="23" bestFit="1" customWidth="1"/>
    <col min="4" max="4" width="16.28515625" style="23" bestFit="1" customWidth="1"/>
    <col min="5" max="5" width="9.5703125" style="23" bestFit="1" customWidth="1"/>
    <col min="6" max="6" width="12.7109375" style="23" bestFit="1" customWidth="1"/>
    <col min="7" max="7" width="13.42578125" style="23" bestFit="1" customWidth="1"/>
    <col min="8" max="8" width="16.7109375" style="23" bestFit="1" customWidth="1"/>
    <col min="9" max="9" width="28.5703125" style="23" customWidth="1"/>
    <col min="10" max="10" width="27.42578125" style="23" customWidth="1"/>
    <col min="11" max="11" width="25.42578125" style="23" bestFit="1" customWidth="1"/>
    <col min="12" max="12" width="15.140625" style="23" customWidth="1"/>
    <col min="13" max="13" width="85.7109375" style="27" bestFit="1" customWidth="1"/>
    <col min="14" max="40" width="12.42578125" style="23" customWidth="1"/>
    <col min="41" max="16384" width="9.140625" style="23"/>
  </cols>
  <sheetData>
    <row r="1" spans="1:13" s="5" customFormat="1" x14ac:dyDescent="0.25">
      <c r="A1" s="22" t="s">
        <v>102</v>
      </c>
      <c r="B1" s="30" t="s">
        <v>0</v>
      </c>
      <c r="C1" s="30" t="s">
        <v>1</v>
      </c>
      <c r="D1" s="30" t="s">
        <v>7</v>
      </c>
      <c r="E1" s="30" t="s">
        <v>82</v>
      </c>
      <c r="F1" s="30" t="s">
        <v>95</v>
      </c>
      <c r="G1" s="30" t="s">
        <v>94</v>
      </c>
      <c r="H1" s="30" t="s">
        <v>93</v>
      </c>
      <c r="I1" s="30" t="s">
        <v>103</v>
      </c>
      <c r="J1" s="30" t="s">
        <v>104</v>
      </c>
      <c r="K1" s="30" t="s">
        <v>49</v>
      </c>
      <c r="L1" s="5" t="s">
        <v>101</v>
      </c>
      <c r="M1" s="31" t="s">
        <v>3</v>
      </c>
    </row>
    <row r="2" spans="1:13" x14ac:dyDescent="0.25">
      <c r="A2" s="23">
        <v>1</v>
      </c>
      <c r="B2" s="24" t="s">
        <v>2</v>
      </c>
      <c r="C2" s="25">
        <v>2012</v>
      </c>
      <c r="D2" s="26">
        <v>43</v>
      </c>
      <c r="E2" s="26" t="s">
        <v>91</v>
      </c>
      <c r="F2" s="26">
        <v>2000</v>
      </c>
      <c r="G2" s="26">
        <v>10000</v>
      </c>
      <c r="H2" s="26">
        <v>5419</v>
      </c>
      <c r="I2" s="26">
        <v>122</v>
      </c>
      <c r="J2" s="26">
        <v>112</v>
      </c>
      <c r="K2" s="26">
        <f t="shared" ref="K2:K40" si="0">J2+I2</f>
        <v>234</v>
      </c>
      <c r="L2" s="23">
        <f>LOOKUP(C2,DDU!$D$4:$E$14)</f>
        <v>1914.7000000000003</v>
      </c>
      <c r="M2" s="27" t="s">
        <v>96</v>
      </c>
    </row>
    <row r="3" spans="1:13" x14ac:dyDescent="0.25">
      <c r="A3" s="23">
        <v>2</v>
      </c>
      <c r="B3" s="24" t="s">
        <v>2</v>
      </c>
      <c r="C3" s="25">
        <v>2012</v>
      </c>
      <c r="D3" s="26">
        <v>34</v>
      </c>
      <c r="E3" s="26" t="s">
        <v>91</v>
      </c>
      <c r="F3" s="26">
        <v>10000</v>
      </c>
      <c r="G3" s="26"/>
      <c r="H3" s="26">
        <v>17061</v>
      </c>
      <c r="I3" s="26">
        <v>127</v>
      </c>
      <c r="J3" s="26">
        <v>87</v>
      </c>
      <c r="K3" s="26">
        <f t="shared" si="0"/>
        <v>214</v>
      </c>
      <c r="L3" s="23">
        <f>LOOKUP(C3,DDU!$D$4:$E$14)</f>
        <v>1914.7000000000003</v>
      </c>
      <c r="M3" s="27" t="s">
        <v>96</v>
      </c>
    </row>
    <row r="4" spans="1:13" x14ac:dyDescent="0.25">
      <c r="A4" s="28">
        <v>3</v>
      </c>
      <c r="B4" s="24" t="s">
        <v>2</v>
      </c>
      <c r="C4" s="25">
        <v>2012</v>
      </c>
      <c r="D4" s="26">
        <v>89</v>
      </c>
      <c r="E4" s="26" t="s">
        <v>91</v>
      </c>
      <c r="F4" s="26"/>
      <c r="G4" s="26"/>
      <c r="H4" s="26">
        <v>9267</v>
      </c>
      <c r="I4" s="26">
        <v>126</v>
      </c>
      <c r="J4" s="26">
        <v>97</v>
      </c>
      <c r="K4" s="26">
        <f t="shared" si="0"/>
        <v>223</v>
      </c>
      <c r="L4" s="23">
        <f>LOOKUP(C4,DDU!$D$4:$E$14)</f>
        <v>1914.7000000000003</v>
      </c>
      <c r="M4" s="27" t="s">
        <v>96</v>
      </c>
    </row>
    <row r="5" spans="1:13" x14ac:dyDescent="0.25">
      <c r="A5" s="23">
        <v>4</v>
      </c>
      <c r="B5" s="24" t="s">
        <v>2</v>
      </c>
      <c r="C5" s="25">
        <v>2012</v>
      </c>
      <c r="D5" s="26">
        <v>58</v>
      </c>
      <c r="E5" s="26" t="s">
        <v>92</v>
      </c>
      <c r="F5" s="26">
        <v>2000</v>
      </c>
      <c r="G5" s="26">
        <v>10000</v>
      </c>
      <c r="H5" s="26">
        <v>6481</v>
      </c>
      <c r="I5" s="26">
        <v>85</v>
      </c>
      <c r="J5" s="26">
        <v>82</v>
      </c>
      <c r="K5" s="26">
        <f t="shared" si="0"/>
        <v>167</v>
      </c>
      <c r="L5" s="23">
        <f>LOOKUP(C5,DDU!$D$4:$E$14)</f>
        <v>1914.7000000000003</v>
      </c>
      <c r="M5" s="27" t="s">
        <v>96</v>
      </c>
    </row>
    <row r="6" spans="1:13" x14ac:dyDescent="0.25">
      <c r="A6" s="23">
        <v>5</v>
      </c>
      <c r="B6" s="24" t="s">
        <v>2</v>
      </c>
      <c r="C6" s="25">
        <v>2012</v>
      </c>
      <c r="D6" s="26">
        <v>55</v>
      </c>
      <c r="E6" s="26" t="s">
        <v>92</v>
      </c>
      <c r="F6" s="26">
        <v>10000</v>
      </c>
      <c r="G6" s="26"/>
      <c r="H6" s="26">
        <v>18576</v>
      </c>
      <c r="I6" s="26">
        <v>95</v>
      </c>
      <c r="J6" s="26">
        <v>80</v>
      </c>
      <c r="K6" s="26">
        <f t="shared" si="0"/>
        <v>175</v>
      </c>
      <c r="L6" s="23">
        <f>LOOKUP(C6,DDU!$D$4:$E$14)</f>
        <v>1914.7000000000003</v>
      </c>
      <c r="M6" s="27" t="s">
        <v>96</v>
      </c>
    </row>
    <row r="7" spans="1:13" x14ac:dyDescent="0.25">
      <c r="A7" s="28">
        <v>6</v>
      </c>
      <c r="B7" s="24" t="s">
        <v>2</v>
      </c>
      <c r="C7" s="25">
        <v>2012</v>
      </c>
      <c r="D7" s="26">
        <v>129</v>
      </c>
      <c r="E7" s="26" t="s">
        <v>92</v>
      </c>
      <c r="F7" s="26"/>
      <c r="G7" s="26"/>
      <c r="H7" s="26">
        <v>11893</v>
      </c>
      <c r="I7" s="26">
        <v>94</v>
      </c>
      <c r="J7" s="26">
        <v>83</v>
      </c>
      <c r="K7" s="26">
        <f t="shared" si="0"/>
        <v>177</v>
      </c>
      <c r="L7" s="23">
        <f>LOOKUP(C7,DDU!$D$4:$E$14)</f>
        <v>1914.7000000000003</v>
      </c>
      <c r="M7" s="27" t="s">
        <v>96</v>
      </c>
    </row>
    <row r="8" spans="1:13" x14ac:dyDescent="0.25">
      <c r="A8" s="23">
        <v>7</v>
      </c>
      <c r="B8" s="24" t="s">
        <v>2</v>
      </c>
      <c r="C8" s="25">
        <v>2011</v>
      </c>
      <c r="D8" s="26">
        <v>37</v>
      </c>
      <c r="E8" s="26" t="s">
        <v>91</v>
      </c>
      <c r="F8" s="26">
        <v>2000</v>
      </c>
      <c r="G8" s="26">
        <v>10000</v>
      </c>
      <c r="H8" s="26">
        <v>4708</v>
      </c>
      <c r="I8" s="26">
        <v>150</v>
      </c>
      <c r="J8" s="26">
        <v>103</v>
      </c>
      <c r="K8" s="26">
        <f t="shared" si="0"/>
        <v>253</v>
      </c>
      <c r="L8" s="23">
        <f>LOOKUP(C8,DDU!$D$4:$E$14)</f>
        <v>1514.5</v>
      </c>
      <c r="M8" s="27" t="s">
        <v>97</v>
      </c>
    </row>
    <row r="9" spans="1:13" x14ac:dyDescent="0.25">
      <c r="A9" s="23">
        <v>8</v>
      </c>
      <c r="B9" s="24" t="s">
        <v>2</v>
      </c>
      <c r="C9" s="25">
        <v>2011</v>
      </c>
      <c r="D9" s="26">
        <v>28</v>
      </c>
      <c r="E9" s="26" t="s">
        <v>91</v>
      </c>
      <c r="F9" s="26">
        <v>10000</v>
      </c>
      <c r="G9" s="26"/>
      <c r="H9" s="26">
        <v>17378</v>
      </c>
      <c r="I9" s="26">
        <v>129</v>
      </c>
      <c r="J9" s="26">
        <v>80</v>
      </c>
      <c r="K9" s="26">
        <f t="shared" si="0"/>
        <v>209</v>
      </c>
      <c r="L9" s="23">
        <f>LOOKUP(C9,DDU!$D$4:$E$14)</f>
        <v>1514.5</v>
      </c>
      <c r="M9" s="27" t="s">
        <v>97</v>
      </c>
    </row>
    <row r="10" spans="1:13" x14ac:dyDescent="0.25">
      <c r="A10" s="28">
        <v>9</v>
      </c>
      <c r="B10" s="24" t="s">
        <v>2</v>
      </c>
      <c r="C10" s="25">
        <v>2011</v>
      </c>
      <c r="D10" s="26">
        <v>90</v>
      </c>
      <c r="E10" s="26" t="s">
        <v>91</v>
      </c>
      <c r="F10" s="26"/>
      <c r="G10" s="26"/>
      <c r="H10" s="26">
        <v>10754</v>
      </c>
      <c r="I10" s="26">
        <v>121</v>
      </c>
      <c r="J10" s="26">
        <v>79</v>
      </c>
      <c r="K10" s="26">
        <f t="shared" si="0"/>
        <v>200</v>
      </c>
      <c r="L10" s="23">
        <f>LOOKUP(C10,DDU!$D$4:$E$14)</f>
        <v>1514.5</v>
      </c>
      <c r="M10" s="27" t="s">
        <v>97</v>
      </c>
    </row>
    <row r="11" spans="1:13" x14ac:dyDescent="0.25">
      <c r="A11" s="23">
        <v>10</v>
      </c>
      <c r="B11" s="24" t="s">
        <v>2</v>
      </c>
      <c r="C11" s="25">
        <v>2011</v>
      </c>
      <c r="D11" s="26">
        <v>8</v>
      </c>
      <c r="E11" s="26" t="s">
        <v>91</v>
      </c>
      <c r="F11" s="26"/>
      <c r="G11" s="26"/>
      <c r="H11" s="26">
        <v>441</v>
      </c>
      <c r="I11" s="26">
        <v>164</v>
      </c>
      <c r="J11" s="26">
        <v>114</v>
      </c>
      <c r="K11" s="26">
        <f t="shared" si="0"/>
        <v>278</v>
      </c>
      <c r="L11" s="23">
        <f>LOOKUP(C11,DDU!$D$4:$E$14)</f>
        <v>1514.5</v>
      </c>
      <c r="M11" s="27" t="s">
        <v>97</v>
      </c>
    </row>
    <row r="12" spans="1:13" x14ac:dyDescent="0.25">
      <c r="A12" s="23">
        <v>11</v>
      </c>
      <c r="B12" s="24" t="s">
        <v>2</v>
      </c>
      <c r="C12" s="25">
        <v>2011</v>
      </c>
      <c r="D12" s="26">
        <v>72</v>
      </c>
      <c r="E12" s="26" t="s">
        <v>92</v>
      </c>
      <c r="F12" s="26">
        <v>2000</v>
      </c>
      <c r="G12" s="26">
        <v>10000</v>
      </c>
      <c r="H12" s="26">
        <v>5891</v>
      </c>
      <c r="I12" s="26">
        <v>79</v>
      </c>
      <c r="J12" s="26">
        <v>84</v>
      </c>
      <c r="K12" s="26">
        <f t="shared" si="0"/>
        <v>163</v>
      </c>
      <c r="L12" s="23">
        <f>LOOKUP(C12,DDU!$D$4:$E$14)</f>
        <v>1514.5</v>
      </c>
      <c r="M12" s="27" t="s">
        <v>97</v>
      </c>
    </row>
    <row r="13" spans="1:13" x14ac:dyDescent="0.25">
      <c r="A13" s="28">
        <v>12</v>
      </c>
      <c r="B13" s="24" t="s">
        <v>2</v>
      </c>
      <c r="C13" s="25">
        <v>2011</v>
      </c>
      <c r="D13" s="26">
        <v>54</v>
      </c>
      <c r="E13" s="26" t="s">
        <v>92</v>
      </c>
      <c r="F13" s="26">
        <v>10000</v>
      </c>
      <c r="G13" s="26"/>
      <c r="H13" s="26">
        <v>18355</v>
      </c>
      <c r="I13" s="26">
        <v>102</v>
      </c>
      <c r="J13" s="26">
        <v>70</v>
      </c>
      <c r="K13" s="26">
        <f t="shared" si="0"/>
        <v>172</v>
      </c>
      <c r="L13" s="23">
        <f>LOOKUP(C13,DDU!$D$4:$E$14)</f>
        <v>1514.5</v>
      </c>
      <c r="M13" s="27" t="s">
        <v>97</v>
      </c>
    </row>
    <row r="14" spans="1:13" x14ac:dyDescent="0.25">
      <c r="A14" s="23">
        <v>13</v>
      </c>
      <c r="B14" s="24" t="s">
        <v>2</v>
      </c>
      <c r="C14" s="25">
        <v>2011</v>
      </c>
      <c r="D14" s="26">
        <v>146</v>
      </c>
      <c r="E14" s="26" t="s">
        <v>92</v>
      </c>
      <c r="F14" s="26"/>
      <c r="G14" s="26"/>
      <c r="H14" s="26">
        <v>12897</v>
      </c>
      <c r="I14" s="26">
        <v>94</v>
      </c>
      <c r="J14" s="26">
        <v>71</v>
      </c>
      <c r="K14" s="26">
        <f t="shared" si="0"/>
        <v>165</v>
      </c>
      <c r="L14" s="23">
        <f>LOOKUP(C14,DDU!$D$4:$E$14)</f>
        <v>1514.5</v>
      </c>
      <c r="M14" s="27" t="s">
        <v>97</v>
      </c>
    </row>
    <row r="15" spans="1:13" x14ac:dyDescent="0.25">
      <c r="A15" s="23">
        <v>14</v>
      </c>
      <c r="B15" s="24" t="s">
        <v>2</v>
      </c>
      <c r="C15" s="25">
        <v>2011</v>
      </c>
      <c r="D15" s="26">
        <v>28</v>
      </c>
      <c r="E15" s="26" t="s">
        <v>92</v>
      </c>
      <c r="F15" s="26"/>
      <c r="G15" s="26"/>
      <c r="H15" s="26">
        <v>539</v>
      </c>
      <c r="I15" s="26">
        <v>27</v>
      </c>
      <c r="J15" s="26">
        <v>153</v>
      </c>
      <c r="K15" s="26">
        <f t="shared" si="0"/>
        <v>180</v>
      </c>
      <c r="L15" s="23">
        <f>LOOKUP(C15,DDU!$D$4:$E$14)</f>
        <v>1514.5</v>
      </c>
      <c r="M15" s="27" t="s">
        <v>97</v>
      </c>
    </row>
    <row r="16" spans="1:13" x14ac:dyDescent="0.25">
      <c r="A16" s="28">
        <v>15</v>
      </c>
      <c r="B16" s="24" t="s">
        <v>2</v>
      </c>
      <c r="C16" s="25">
        <v>2013</v>
      </c>
      <c r="D16" s="26">
        <v>48</v>
      </c>
      <c r="E16" s="26" t="s">
        <v>91</v>
      </c>
      <c r="F16" s="26">
        <v>2000</v>
      </c>
      <c r="G16" s="26">
        <v>10000</v>
      </c>
      <c r="H16" s="26">
        <v>5325</v>
      </c>
      <c r="I16" s="26">
        <v>123</v>
      </c>
      <c r="J16" s="26">
        <v>115</v>
      </c>
      <c r="K16" s="26">
        <f t="shared" si="0"/>
        <v>238</v>
      </c>
      <c r="L16" s="23">
        <f>LOOKUP(C16,DDU!$D$4:$E$14)</f>
        <v>2137.7000000000003</v>
      </c>
      <c r="M16" s="27" t="s">
        <v>98</v>
      </c>
    </row>
    <row r="17" spans="1:13" x14ac:dyDescent="0.25">
      <c r="A17" s="23">
        <v>16</v>
      </c>
      <c r="B17" s="24" t="s">
        <v>2</v>
      </c>
      <c r="C17" s="25">
        <v>2013</v>
      </c>
      <c r="D17" s="26">
        <v>30</v>
      </c>
      <c r="E17" s="26" t="s">
        <v>91</v>
      </c>
      <c r="F17" s="26">
        <v>10000</v>
      </c>
      <c r="G17" s="26"/>
      <c r="H17" s="26">
        <v>18092</v>
      </c>
      <c r="I17" s="26">
        <v>123</v>
      </c>
      <c r="J17" s="26">
        <v>93</v>
      </c>
      <c r="K17" s="26">
        <f t="shared" si="0"/>
        <v>216</v>
      </c>
      <c r="L17" s="23">
        <f>LOOKUP(C17,DDU!$D$4:$E$14)</f>
        <v>2137.7000000000003</v>
      </c>
      <c r="M17" s="27" t="s">
        <v>98</v>
      </c>
    </row>
    <row r="18" spans="1:13" x14ac:dyDescent="0.25">
      <c r="A18" s="23">
        <v>17</v>
      </c>
      <c r="B18" s="24" t="s">
        <v>2</v>
      </c>
      <c r="C18" s="25">
        <v>2013</v>
      </c>
      <c r="D18" s="26">
        <v>92</v>
      </c>
      <c r="E18" s="26" t="s">
        <v>91</v>
      </c>
      <c r="F18" s="26"/>
      <c r="G18" s="26"/>
      <c r="H18" s="26">
        <v>9246</v>
      </c>
      <c r="I18" s="26">
        <v>124</v>
      </c>
      <c r="J18" s="26">
        <v>100</v>
      </c>
      <c r="K18" s="26">
        <f t="shared" si="0"/>
        <v>224</v>
      </c>
      <c r="L18" s="23">
        <f>LOOKUP(C18,DDU!$D$4:$E$14)</f>
        <v>2137.7000000000003</v>
      </c>
      <c r="M18" s="27" t="s">
        <v>98</v>
      </c>
    </row>
    <row r="19" spans="1:13" x14ac:dyDescent="0.25">
      <c r="A19" s="28">
        <v>18</v>
      </c>
      <c r="B19" s="24" t="s">
        <v>2</v>
      </c>
      <c r="C19" s="25">
        <v>2013</v>
      </c>
      <c r="D19" s="26">
        <v>50</v>
      </c>
      <c r="E19" s="26" t="s">
        <v>92</v>
      </c>
      <c r="F19" s="26">
        <v>2000</v>
      </c>
      <c r="G19" s="26">
        <v>10000</v>
      </c>
      <c r="H19" s="26">
        <v>6491</v>
      </c>
      <c r="I19" s="26">
        <v>95</v>
      </c>
      <c r="J19" s="26">
        <v>89</v>
      </c>
      <c r="K19" s="26">
        <f t="shared" si="0"/>
        <v>184</v>
      </c>
      <c r="L19" s="23">
        <f>LOOKUP(C19,DDU!$D$4:$E$14)</f>
        <v>2137.7000000000003</v>
      </c>
      <c r="M19" s="27" t="s">
        <v>98</v>
      </c>
    </row>
    <row r="20" spans="1:13" x14ac:dyDescent="0.25">
      <c r="A20" s="23">
        <v>19</v>
      </c>
      <c r="B20" s="24" t="s">
        <v>2</v>
      </c>
      <c r="C20" s="25">
        <v>2013</v>
      </c>
      <c r="D20" s="26">
        <v>48</v>
      </c>
      <c r="E20" s="26" t="s">
        <v>92</v>
      </c>
      <c r="F20" s="26">
        <v>10000</v>
      </c>
      <c r="G20" s="26"/>
      <c r="H20" s="26">
        <v>18145</v>
      </c>
      <c r="I20" s="26">
        <v>93</v>
      </c>
      <c r="J20" s="26">
        <v>87</v>
      </c>
      <c r="K20" s="26">
        <f t="shared" si="0"/>
        <v>180</v>
      </c>
      <c r="L20" s="23">
        <f>LOOKUP(C20,DDU!$D$4:$E$14)</f>
        <v>2137.7000000000003</v>
      </c>
      <c r="M20" s="27" t="s">
        <v>98</v>
      </c>
    </row>
    <row r="21" spans="1:13" x14ac:dyDescent="0.25">
      <c r="A21" s="23">
        <v>20</v>
      </c>
      <c r="B21" s="24" t="s">
        <v>2</v>
      </c>
      <c r="C21" s="25">
        <v>2013</v>
      </c>
      <c r="D21" s="26">
        <v>109</v>
      </c>
      <c r="E21" s="26" t="s">
        <v>92</v>
      </c>
      <c r="F21" s="26"/>
      <c r="G21" s="26"/>
      <c r="H21" s="26">
        <v>12244</v>
      </c>
      <c r="I21" s="26">
        <v>95</v>
      </c>
      <c r="J21" s="26">
        <v>91</v>
      </c>
      <c r="K21" s="26">
        <f t="shared" si="0"/>
        <v>186</v>
      </c>
      <c r="L21" s="23">
        <f>LOOKUP(C21,DDU!$D$4:$E$14)</f>
        <v>2137.7000000000003</v>
      </c>
      <c r="M21" s="27" t="s">
        <v>98</v>
      </c>
    </row>
    <row r="22" spans="1:13" x14ac:dyDescent="0.25">
      <c r="A22" s="23">
        <v>23</v>
      </c>
      <c r="B22" s="24" t="s">
        <v>8</v>
      </c>
      <c r="C22" s="25">
        <v>2012</v>
      </c>
      <c r="D22" s="26">
        <v>20</v>
      </c>
      <c r="E22" s="26" t="s">
        <v>91</v>
      </c>
      <c r="F22" s="26">
        <v>200</v>
      </c>
      <c r="G22" s="26">
        <v>25150</v>
      </c>
      <c r="H22" s="26">
        <v>12897</v>
      </c>
      <c r="I22" s="26">
        <v>138</v>
      </c>
      <c r="J22" s="26">
        <v>102</v>
      </c>
      <c r="K22" s="26">
        <f t="shared" si="0"/>
        <v>240</v>
      </c>
      <c r="L22" s="23">
        <f>LOOKUP(C22,DDU!$D$4:$E$14)</f>
        <v>1914.7000000000003</v>
      </c>
      <c r="M22" s="27" t="s">
        <v>9</v>
      </c>
    </row>
    <row r="23" spans="1:13" x14ac:dyDescent="0.25">
      <c r="A23" s="28">
        <v>24</v>
      </c>
      <c r="B23" s="24" t="s">
        <v>8</v>
      </c>
      <c r="C23" s="25">
        <v>2012</v>
      </c>
      <c r="D23" s="24">
        <v>1</v>
      </c>
      <c r="E23" s="26" t="s">
        <v>91</v>
      </c>
      <c r="F23" s="26"/>
      <c r="G23" s="26"/>
      <c r="H23" s="26">
        <v>25200</v>
      </c>
      <c r="I23" s="26">
        <f>1800*1000/H23</f>
        <v>71.428571428571431</v>
      </c>
      <c r="J23" s="26">
        <f>1000000*1.15/H23</f>
        <v>45.634920634920633</v>
      </c>
      <c r="K23" s="26">
        <f t="shared" si="0"/>
        <v>117.06349206349206</v>
      </c>
      <c r="L23" s="23">
        <f>LOOKUP(C23,DDU!$D$4:$E$14)</f>
        <v>1914.7000000000003</v>
      </c>
      <c r="M23" s="27" t="s">
        <v>99</v>
      </c>
    </row>
    <row r="24" spans="1:13" x14ac:dyDescent="0.25">
      <c r="A24" s="23">
        <v>25</v>
      </c>
      <c r="B24" s="24" t="s">
        <v>8</v>
      </c>
      <c r="C24" s="25">
        <v>2012</v>
      </c>
      <c r="D24" s="24">
        <v>1</v>
      </c>
      <c r="E24" s="26" t="s">
        <v>91</v>
      </c>
      <c r="F24" s="26"/>
      <c r="G24" s="26"/>
      <c r="H24" s="26">
        <v>23000</v>
      </c>
      <c r="I24" s="26">
        <f>1000*975/H24</f>
        <v>42.391304347826086</v>
      </c>
      <c r="J24" s="26">
        <f>1000000/H24*2.9</f>
        <v>126.08695652173913</v>
      </c>
      <c r="K24" s="26">
        <f t="shared" si="0"/>
        <v>168.47826086956522</v>
      </c>
      <c r="L24" s="23">
        <f>LOOKUP(C24,DDU!$D$4:$E$14)</f>
        <v>1914.7000000000003</v>
      </c>
      <c r="M24" s="27" t="s">
        <v>99</v>
      </c>
    </row>
    <row r="25" spans="1:13" x14ac:dyDescent="0.25">
      <c r="A25" s="23">
        <v>26</v>
      </c>
      <c r="B25" s="24" t="s">
        <v>8</v>
      </c>
      <c r="C25" s="25">
        <v>2012</v>
      </c>
      <c r="D25" s="24">
        <v>1</v>
      </c>
      <c r="E25" s="26" t="s">
        <v>91</v>
      </c>
      <c r="F25" s="26"/>
      <c r="G25" s="26"/>
      <c r="H25" s="26">
        <v>19200</v>
      </c>
      <c r="I25" s="26">
        <f>1000/H25*1300</f>
        <v>67.708333333333343</v>
      </c>
      <c r="J25" s="26">
        <f>1000000/H25*1.3</f>
        <v>67.708333333333343</v>
      </c>
      <c r="K25" s="26">
        <f t="shared" si="0"/>
        <v>135.41666666666669</v>
      </c>
      <c r="L25" s="23">
        <f>LOOKUP(C25,DDU!$D$4:$E$14)</f>
        <v>1914.7000000000003</v>
      </c>
      <c r="M25" s="27" t="s">
        <v>99</v>
      </c>
    </row>
    <row r="26" spans="1:13" x14ac:dyDescent="0.25">
      <c r="A26" s="28">
        <v>27</v>
      </c>
      <c r="B26" s="24" t="s">
        <v>8</v>
      </c>
      <c r="C26" s="25">
        <v>2012</v>
      </c>
      <c r="D26" s="24">
        <v>1</v>
      </c>
      <c r="E26" s="26" t="s">
        <v>91</v>
      </c>
      <c r="F26" s="26"/>
      <c r="G26" s="26"/>
      <c r="H26" s="26">
        <v>12200</v>
      </c>
      <c r="I26" s="26">
        <f>1000/H26*350</f>
        <v>28.688524590163933</v>
      </c>
      <c r="J26" s="26">
        <f>1000000*1.2/H26</f>
        <v>98.360655737704917</v>
      </c>
      <c r="K26" s="26">
        <f t="shared" si="0"/>
        <v>127.04918032786885</v>
      </c>
      <c r="L26" s="23">
        <f>LOOKUP(C26,DDU!$D$4:$E$14)</f>
        <v>1914.7000000000003</v>
      </c>
      <c r="M26" s="27" t="s">
        <v>99</v>
      </c>
    </row>
    <row r="27" spans="1:13" x14ac:dyDescent="0.25">
      <c r="A27" s="23">
        <v>29</v>
      </c>
      <c r="B27" s="24" t="s">
        <v>8</v>
      </c>
      <c r="C27" s="25">
        <v>2012</v>
      </c>
      <c r="D27" s="24">
        <v>1</v>
      </c>
      <c r="E27" s="26" t="s">
        <v>91</v>
      </c>
      <c r="F27" s="26"/>
      <c r="G27" s="26"/>
      <c r="H27" s="26">
        <v>10800</v>
      </c>
      <c r="I27" s="26">
        <f>1000/H27*1000</f>
        <v>92.592592592592581</v>
      </c>
      <c r="J27" s="26">
        <f>1000000*0.7/H27</f>
        <v>64.81481481481481</v>
      </c>
      <c r="K27" s="26">
        <f t="shared" si="0"/>
        <v>157.40740740740739</v>
      </c>
      <c r="L27" s="23">
        <f>LOOKUP(C27,DDU!$D$4:$E$14)</f>
        <v>1914.7000000000003</v>
      </c>
      <c r="M27" s="27" t="s">
        <v>99</v>
      </c>
    </row>
    <row r="28" spans="1:13" x14ac:dyDescent="0.25">
      <c r="A28" s="28">
        <v>30</v>
      </c>
      <c r="B28" s="24" t="s">
        <v>8</v>
      </c>
      <c r="C28" s="25">
        <v>2012</v>
      </c>
      <c r="D28" s="24">
        <v>1</v>
      </c>
      <c r="E28" s="26" t="s">
        <v>91</v>
      </c>
      <c r="F28" s="26"/>
      <c r="G28" s="26"/>
      <c r="H28" s="26">
        <v>9500</v>
      </c>
      <c r="I28" s="26">
        <f>1000/H28*900</f>
        <v>94.73684210526315</v>
      </c>
      <c r="J28" s="26">
        <f>1000000*0.82/H28</f>
        <v>86.315789473684205</v>
      </c>
      <c r="K28" s="26">
        <f t="shared" si="0"/>
        <v>181.05263157894734</v>
      </c>
      <c r="L28" s="23">
        <f>LOOKUP(C28,DDU!$D$4:$E$14)</f>
        <v>1914.7000000000003</v>
      </c>
      <c r="M28" s="27" t="s">
        <v>99</v>
      </c>
    </row>
    <row r="29" spans="1:13" x14ac:dyDescent="0.25">
      <c r="A29" s="23">
        <v>31</v>
      </c>
      <c r="B29" s="24" t="s">
        <v>8</v>
      </c>
      <c r="C29" s="25">
        <v>2012</v>
      </c>
      <c r="D29" s="24">
        <v>1</v>
      </c>
      <c r="E29" s="26" t="s">
        <v>91</v>
      </c>
      <c r="F29" s="26"/>
      <c r="G29" s="26"/>
      <c r="H29" s="26">
        <v>9000</v>
      </c>
      <c r="I29" s="26">
        <f>1000/H29*600</f>
        <v>66.666666666666657</v>
      </c>
      <c r="J29" s="26">
        <f>1000000*0.7/H29</f>
        <v>77.777777777777771</v>
      </c>
      <c r="K29" s="26">
        <f t="shared" si="0"/>
        <v>144.44444444444443</v>
      </c>
      <c r="L29" s="23">
        <f>LOOKUP(C29,DDU!$D$4:$E$14)</f>
        <v>1914.7000000000003</v>
      </c>
      <c r="M29" s="27" t="s">
        <v>99</v>
      </c>
    </row>
    <row r="30" spans="1:13" x14ac:dyDescent="0.25">
      <c r="A30" s="23">
        <v>32</v>
      </c>
      <c r="B30" s="24" t="s">
        <v>8</v>
      </c>
      <c r="C30" s="25">
        <v>2012</v>
      </c>
      <c r="D30" s="24">
        <v>1</v>
      </c>
      <c r="E30" s="26" t="s">
        <v>91</v>
      </c>
      <c r="F30" s="26"/>
      <c r="G30" s="26"/>
      <c r="H30" s="26">
        <v>6600</v>
      </c>
      <c r="I30" s="26">
        <f>250*1000/H30</f>
        <v>37.878787878787875</v>
      </c>
      <c r="J30" s="26">
        <f>1000000*0.51/H30</f>
        <v>77.272727272727266</v>
      </c>
      <c r="K30" s="26">
        <f t="shared" si="0"/>
        <v>115.15151515151514</v>
      </c>
      <c r="L30" s="23">
        <f>LOOKUP(C30,DDU!$D$4:$E$14)</f>
        <v>1914.7000000000003</v>
      </c>
      <c r="M30" s="27" t="s">
        <v>99</v>
      </c>
    </row>
    <row r="31" spans="1:13" x14ac:dyDescent="0.25">
      <c r="A31" s="28">
        <v>33</v>
      </c>
      <c r="B31" s="24" t="s">
        <v>8</v>
      </c>
      <c r="C31" s="25">
        <v>2012</v>
      </c>
      <c r="D31" s="24">
        <v>1</v>
      </c>
      <c r="E31" s="26" t="s">
        <v>91</v>
      </c>
      <c r="F31" s="26"/>
      <c r="G31" s="26"/>
      <c r="H31" s="26">
        <v>6400</v>
      </c>
      <c r="I31" s="26">
        <f>550*1000/H31</f>
        <v>85.9375</v>
      </c>
      <c r="J31" s="26">
        <f>1000000*0.57/H31</f>
        <v>89.0625</v>
      </c>
      <c r="K31" s="26">
        <f t="shared" si="0"/>
        <v>175</v>
      </c>
      <c r="L31" s="23">
        <f>LOOKUP(C31,DDU!$D$4:$E$14)</f>
        <v>1914.7000000000003</v>
      </c>
      <c r="M31" s="27" t="s">
        <v>99</v>
      </c>
    </row>
    <row r="32" spans="1:13" x14ac:dyDescent="0.25">
      <c r="A32" s="23">
        <v>34</v>
      </c>
      <c r="B32" s="24" t="s">
        <v>8</v>
      </c>
      <c r="C32" s="25">
        <v>2012</v>
      </c>
      <c r="D32" s="24">
        <v>1</v>
      </c>
      <c r="E32" s="26" t="s">
        <v>91</v>
      </c>
      <c r="F32" s="26"/>
      <c r="G32" s="26"/>
      <c r="H32" s="26">
        <v>5200</v>
      </c>
      <c r="I32" s="26">
        <f>350*1000/H32</f>
        <v>67.307692307692307</v>
      </c>
      <c r="J32" s="26">
        <f>1000000*0.3/H32</f>
        <v>57.692307692307693</v>
      </c>
      <c r="K32" s="26">
        <f t="shared" si="0"/>
        <v>125</v>
      </c>
      <c r="L32" s="23">
        <f>LOOKUP(C32,DDU!$D$4:$E$14)</f>
        <v>1914.7000000000003</v>
      </c>
      <c r="M32" s="27" t="s">
        <v>99</v>
      </c>
    </row>
    <row r="33" spans="1:13" x14ac:dyDescent="0.25">
      <c r="A33" s="23">
        <v>35</v>
      </c>
      <c r="B33" s="24" t="s">
        <v>8</v>
      </c>
      <c r="C33" s="25">
        <v>2012</v>
      </c>
      <c r="D33" s="24">
        <v>1</v>
      </c>
      <c r="E33" s="26" t="s">
        <v>91</v>
      </c>
      <c r="F33" s="26"/>
      <c r="G33" s="26"/>
      <c r="H33" s="26">
        <v>5000</v>
      </c>
      <c r="I33" s="26">
        <f>300*1000/H33</f>
        <v>60</v>
      </c>
      <c r="J33" s="26">
        <f>1000000*0.2/H33</f>
        <v>40</v>
      </c>
      <c r="K33" s="26">
        <f t="shared" si="0"/>
        <v>100</v>
      </c>
      <c r="L33" s="23">
        <f>LOOKUP(C33,DDU!$D$4:$E$14)</f>
        <v>1914.7000000000003</v>
      </c>
      <c r="M33" s="27" t="s">
        <v>99</v>
      </c>
    </row>
    <row r="34" spans="1:13" x14ac:dyDescent="0.25">
      <c r="A34" s="23">
        <v>36</v>
      </c>
      <c r="B34" s="24" t="s">
        <v>8</v>
      </c>
      <c r="C34" s="25">
        <v>2012</v>
      </c>
      <c r="D34" s="24">
        <v>1</v>
      </c>
      <c r="E34" s="26" t="s">
        <v>91</v>
      </c>
      <c r="F34" s="26"/>
      <c r="G34" s="26"/>
      <c r="H34" s="26">
        <v>3100</v>
      </c>
      <c r="I34" s="26">
        <f>400*1000/H34</f>
        <v>129.03225806451613</v>
      </c>
      <c r="J34" s="26">
        <f>1000000*0.6/H34</f>
        <v>193.54838709677421</v>
      </c>
      <c r="K34" s="26">
        <f t="shared" si="0"/>
        <v>322.58064516129036</v>
      </c>
      <c r="L34" s="23">
        <f>LOOKUP(C34,DDU!$D$4:$E$14)</f>
        <v>1914.7000000000003</v>
      </c>
      <c r="M34" s="27" t="s">
        <v>99</v>
      </c>
    </row>
    <row r="35" spans="1:13" x14ac:dyDescent="0.25">
      <c r="A35" s="23">
        <v>37</v>
      </c>
      <c r="B35" s="24" t="s">
        <v>8</v>
      </c>
      <c r="C35" s="25">
        <v>2012</v>
      </c>
      <c r="D35" s="24">
        <v>1</v>
      </c>
      <c r="E35" s="26" t="s">
        <v>91</v>
      </c>
      <c r="F35" s="26"/>
      <c r="G35" s="26"/>
      <c r="H35" s="26">
        <v>3000</v>
      </c>
      <c r="I35" s="26">
        <f>250*1000/H35</f>
        <v>83.333333333333329</v>
      </c>
      <c r="J35" s="26">
        <f>1000000*0.3/H35</f>
        <v>100</v>
      </c>
      <c r="K35" s="26">
        <f t="shared" si="0"/>
        <v>183.33333333333331</v>
      </c>
      <c r="L35" s="23">
        <f>LOOKUP(C35,DDU!$D$4:$E$14)</f>
        <v>1914.7000000000003</v>
      </c>
      <c r="M35" s="27" t="s">
        <v>99</v>
      </c>
    </row>
    <row r="36" spans="1:13" x14ac:dyDescent="0.25">
      <c r="A36" s="23">
        <v>38</v>
      </c>
      <c r="B36" s="24" t="s">
        <v>8</v>
      </c>
      <c r="C36" s="25">
        <v>2012</v>
      </c>
      <c r="D36" s="24">
        <v>1</v>
      </c>
      <c r="E36" s="26" t="s">
        <v>91</v>
      </c>
      <c r="F36" s="26"/>
      <c r="G36" s="26"/>
      <c r="H36" s="26">
        <v>2250</v>
      </c>
      <c r="I36" s="26">
        <f>200*1000/H36</f>
        <v>88.888888888888886</v>
      </c>
      <c r="J36" s="26">
        <f>1000000*0.325/H36</f>
        <v>144.44444444444446</v>
      </c>
      <c r="K36" s="26">
        <f t="shared" si="0"/>
        <v>233.33333333333334</v>
      </c>
      <c r="L36" s="23">
        <f>LOOKUP(C36,DDU!$D$4:$E$14)</f>
        <v>1914.7000000000003</v>
      </c>
      <c r="M36" s="27" t="s">
        <v>99</v>
      </c>
    </row>
    <row r="37" spans="1:13" x14ac:dyDescent="0.25">
      <c r="A37" s="23">
        <v>39</v>
      </c>
      <c r="B37" s="24" t="s">
        <v>8</v>
      </c>
      <c r="C37" s="25">
        <v>2012</v>
      </c>
      <c r="D37" s="24">
        <v>1</v>
      </c>
      <c r="E37" s="26" t="s">
        <v>91</v>
      </c>
      <c r="F37" s="26"/>
      <c r="G37" s="26"/>
      <c r="H37" s="26">
        <v>2000</v>
      </c>
      <c r="I37" s="26">
        <f>100*1000/H37</f>
        <v>50</v>
      </c>
      <c r="J37" s="26">
        <f>1000000*0.45/H37</f>
        <v>225</v>
      </c>
      <c r="K37" s="26">
        <f t="shared" si="0"/>
        <v>275</v>
      </c>
      <c r="L37" s="23">
        <f>LOOKUP(C37,DDU!$D$4:$E$14)</f>
        <v>1914.7000000000003</v>
      </c>
      <c r="M37" s="27" t="s">
        <v>99</v>
      </c>
    </row>
    <row r="38" spans="1:13" x14ac:dyDescent="0.25">
      <c r="A38" s="23">
        <v>40</v>
      </c>
      <c r="B38" s="24" t="s">
        <v>8</v>
      </c>
      <c r="C38" s="25">
        <v>2012</v>
      </c>
      <c r="D38" s="24">
        <v>1</v>
      </c>
      <c r="E38" s="26" t="s">
        <v>91</v>
      </c>
      <c r="F38" s="26"/>
      <c r="G38" s="26"/>
      <c r="H38" s="26">
        <v>2000</v>
      </c>
      <c r="I38" s="26">
        <f>25*1000/H38</f>
        <v>12.5</v>
      </c>
      <c r="J38" s="26">
        <f>1000000*0.2/H38</f>
        <v>100</v>
      </c>
      <c r="K38" s="26">
        <f t="shared" si="0"/>
        <v>112.5</v>
      </c>
      <c r="L38" s="23">
        <f>LOOKUP(C38,DDU!$D$4:$E$14)</f>
        <v>1914.7000000000003</v>
      </c>
      <c r="M38" s="27" t="s">
        <v>99</v>
      </c>
    </row>
    <row r="39" spans="1:13" x14ac:dyDescent="0.25">
      <c r="A39" s="23">
        <v>41</v>
      </c>
      <c r="B39" s="24" t="s">
        <v>8</v>
      </c>
      <c r="C39" s="25">
        <v>2012</v>
      </c>
      <c r="D39" s="24">
        <v>1</v>
      </c>
      <c r="E39" s="26" t="s">
        <v>91</v>
      </c>
      <c r="F39" s="26"/>
      <c r="G39" s="26"/>
      <c r="H39" s="26">
        <v>1500</v>
      </c>
      <c r="I39" s="26">
        <f>50*1000/H39</f>
        <v>33.333333333333336</v>
      </c>
      <c r="J39" s="26">
        <f>1000000*0.26/H39</f>
        <v>173.33333333333334</v>
      </c>
      <c r="K39" s="26">
        <f t="shared" si="0"/>
        <v>206.66666666666669</v>
      </c>
      <c r="L39" s="23">
        <f>LOOKUP(C39,DDU!$D$4:$E$14)</f>
        <v>1914.7000000000003</v>
      </c>
      <c r="M39" s="27" t="s">
        <v>99</v>
      </c>
    </row>
    <row r="40" spans="1:13" x14ac:dyDescent="0.25">
      <c r="A40" s="23">
        <v>42</v>
      </c>
      <c r="B40" s="24" t="s">
        <v>8</v>
      </c>
      <c r="C40" s="25">
        <v>2012</v>
      </c>
      <c r="D40" s="24">
        <v>1</v>
      </c>
      <c r="E40" s="26" t="s">
        <v>91</v>
      </c>
      <c r="F40" s="26"/>
      <c r="G40" s="26"/>
      <c r="H40" s="26">
        <v>1200</v>
      </c>
      <c r="I40" s="26">
        <f>50*1000/H40</f>
        <v>41.666666666666664</v>
      </c>
      <c r="J40" s="26">
        <f>1000000*0.25/H40</f>
        <v>208.33333333333334</v>
      </c>
      <c r="K40" s="26">
        <f t="shared" si="0"/>
        <v>250</v>
      </c>
      <c r="L40" s="23">
        <f>LOOKUP(C40,DDU!$D$4:$E$14)</f>
        <v>1914.7000000000003</v>
      </c>
      <c r="M40" s="27" t="s">
        <v>99</v>
      </c>
    </row>
    <row r="42" spans="1:13" x14ac:dyDescent="0.25">
      <c r="H42" s="23" t="s">
        <v>100</v>
      </c>
      <c r="I42" s="33">
        <f>AVERAGE(I2:I40)</f>
        <v>88.720289629170153</v>
      </c>
      <c r="J42" s="33">
        <f>AVERAGE(J2:J40)</f>
        <v>101.21503285812553</v>
      </c>
    </row>
    <row r="44" spans="1:13" x14ac:dyDescent="0.25">
      <c r="C44" s="29"/>
      <c r="I44" s="32"/>
    </row>
    <row r="45" spans="1:13" x14ac:dyDescent="0.25">
      <c r="C45" s="29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79CA-9A64-41DE-8BF9-CC826867847C}">
  <dimension ref="A3:AP97"/>
  <sheetViews>
    <sheetView zoomScale="85" zoomScaleNormal="115" workbookViewId="0">
      <pane xSplit="1" topLeftCell="B1" activePane="topRight" state="frozen"/>
      <selection pane="topRight" activeCell="J28" sqref="J28"/>
    </sheetView>
  </sheetViews>
  <sheetFormatPr defaultRowHeight="15" x14ac:dyDescent="0.25"/>
  <cols>
    <col min="1" max="1" width="28.5703125" bestFit="1" customWidth="1"/>
    <col min="2" max="43" width="12.42578125" customWidth="1"/>
  </cols>
  <sheetData>
    <row r="3" spans="1:42" x14ac:dyDescent="0.25">
      <c r="A3" s="5" t="s">
        <v>5</v>
      </c>
      <c r="B3" s="5"/>
      <c r="C3" s="5"/>
      <c r="D3" s="6"/>
      <c r="E3" s="5"/>
      <c r="F3" s="6"/>
      <c r="G3" s="5"/>
      <c r="H3" s="5"/>
      <c r="I3" s="6"/>
      <c r="J3" s="5"/>
      <c r="K3" s="5"/>
      <c r="L3" s="5"/>
      <c r="M3" s="5"/>
      <c r="N3" s="5"/>
      <c r="O3" s="5"/>
      <c r="P3" s="6"/>
      <c r="Q3" s="5"/>
      <c r="R3" s="6"/>
      <c r="S3" s="5"/>
      <c r="AI3" s="2"/>
      <c r="AJ3" s="2"/>
      <c r="AK3" s="1"/>
      <c r="AL3" s="1"/>
      <c r="AM3" s="1"/>
      <c r="AN3" s="1"/>
      <c r="AO3" s="1"/>
      <c r="AP3" s="1"/>
    </row>
    <row r="4" spans="1:42" x14ac:dyDescent="0.25">
      <c r="A4" s="4" t="s">
        <v>0</v>
      </c>
      <c r="B4" s="1" t="s">
        <v>80</v>
      </c>
      <c r="C4" s="1" t="s">
        <v>80</v>
      </c>
      <c r="D4" s="1" t="s">
        <v>85</v>
      </c>
      <c r="E4" s="1" t="s">
        <v>85</v>
      </c>
      <c r="F4" s="1" t="s">
        <v>85</v>
      </c>
      <c r="G4" s="1" t="s">
        <v>85</v>
      </c>
      <c r="H4" s="1" t="s">
        <v>85</v>
      </c>
      <c r="I4" s="1" t="s">
        <v>85</v>
      </c>
      <c r="J4" s="1" t="s">
        <v>85</v>
      </c>
      <c r="K4" s="1" t="s">
        <v>85</v>
      </c>
      <c r="L4" s="1" t="s">
        <v>85</v>
      </c>
      <c r="M4" s="1" t="s">
        <v>85</v>
      </c>
      <c r="N4" s="1" t="s">
        <v>85</v>
      </c>
      <c r="O4" s="1" t="s">
        <v>85</v>
      </c>
      <c r="P4" s="1" t="s">
        <v>85</v>
      </c>
      <c r="Q4" s="1" t="s">
        <v>89</v>
      </c>
      <c r="R4" s="1" t="s">
        <v>89</v>
      </c>
      <c r="S4" s="1" t="s">
        <v>85</v>
      </c>
      <c r="AI4" s="2"/>
      <c r="AJ4" s="2"/>
      <c r="AK4" s="1"/>
      <c r="AL4" s="1"/>
      <c r="AM4" s="1"/>
      <c r="AN4" s="1"/>
      <c r="AO4" s="1"/>
      <c r="AP4" s="1"/>
    </row>
    <row r="5" spans="1:42" x14ac:dyDescent="0.25">
      <c r="A5" s="4" t="s">
        <v>1</v>
      </c>
      <c r="B5" s="3" t="s">
        <v>19</v>
      </c>
      <c r="C5" s="3" t="s">
        <v>19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19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AI5" s="2"/>
      <c r="AJ5" s="2"/>
      <c r="AK5" s="3"/>
      <c r="AL5" s="3"/>
      <c r="AM5" s="3"/>
      <c r="AN5" s="3"/>
      <c r="AO5" s="3"/>
      <c r="AP5" s="3"/>
    </row>
    <row r="6" spans="1:42" x14ac:dyDescent="0.25">
      <c r="A6" s="4" t="s">
        <v>7</v>
      </c>
      <c r="B6" s="2">
        <v>64</v>
      </c>
      <c r="C6" s="2">
        <v>74</v>
      </c>
      <c r="D6" s="2">
        <v>43</v>
      </c>
      <c r="E6" s="2">
        <v>42</v>
      </c>
      <c r="F6" s="2">
        <v>87</v>
      </c>
      <c r="G6" s="1">
        <v>139</v>
      </c>
      <c r="H6" s="1">
        <v>41</v>
      </c>
      <c r="I6" s="1">
        <v>37</v>
      </c>
      <c r="J6" s="1">
        <v>33</v>
      </c>
      <c r="K6" s="1">
        <v>60</v>
      </c>
      <c r="L6" s="1">
        <v>38</v>
      </c>
      <c r="M6" s="1">
        <v>71</v>
      </c>
      <c r="N6" s="1">
        <v>60</v>
      </c>
      <c r="O6" s="1">
        <v>31</v>
      </c>
      <c r="P6" s="1">
        <v>48</v>
      </c>
      <c r="Q6" s="1">
        <v>31</v>
      </c>
      <c r="R6" s="1">
        <v>44</v>
      </c>
      <c r="S6" s="1">
        <v>32</v>
      </c>
      <c r="AI6" s="1"/>
      <c r="AJ6" s="1"/>
      <c r="AK6" s="2"/>
      <c r="AL6" s="2"/>
      <c r="AM6" s="2"/>
      <c r="AN6" s="2"/>
      <c r="AO6" s="1"/>
      <c r="AP6" s="1"/>
    </row>
    <row r="7" spans="1:42" x14ac:dyDescent="0.25">
      <c r="A7" s="4" t="s">
        <v>82</v>
      </c>
      <c r="B7" s="2"/>
      <c r="C7" s="2"/>
      <c r="D7" s="2" t="s">
        <v>83</v>
      </c>
      <c r="E7" s="1" t="s">
        <v>87</v>
      </c>
      <c r="F7" s="1" t="s">
        <v>84</v>
      </c>
      <c r="G7" s="1" t="s">
        <v>4</v>
      </c>
      <c r="H7" s="1" t="s">
        <v>4</v>
      </c>
      <c r="I7" s="2" t="s">
        <v>83</v>
      </c>
      <c r="J7" s="1" t="s">
        <v>86</v>
      </c>
      <c r="K7" s="1" t="s">
        <v>87</v>
      </c>
      <c r="L7" s="1" t="s">
        <v>84</v>
      </c>
      <c r="M7" s="1" t="s">
        <v>87</v>
      </c>
      <c r="N7" s="1" t="s">
        <v>88</v>
      </c>
      <c r="O7" s="1" t="s">
        <v>84</v>
      </c>
      <c r="P7" s="1" t="s">
        <v>4</v>
      </c>
      <c r="Q7" s="1" t="s">
        <v>4</v>
      </c>
      <c r="R7" s="1" t="s">
        <v>4</v>
      </c>
      <c r="S7" s="1" t="s">
        <v>90</v>
      </c>
      <c r="AI7" s="1"/>
      <c r="AJ7" s="1"/>
      <c r="AK7" s="2"/>
      <c r="AL7" s="2"/>
      <c r="AM7" s="2"/>
      <c r="AN7" s="2"/>
      <c r="AO7" s="2"/>
      <c r="AP7" s="2"/>
    </row>
    <row r="8" spans="1:42" x14ac:dyDescent="0.25">
      <c r="A8" s="4" t="s">
        <v>95</v>
      </c>
      <c r="B8" s="2">
        <v>10000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>
        <v>5000</v>
      </c>
      <c r="I8" s="2">
        <v>5000</v>
      </c>
      <c r="J8" s="2">
        <v>5000</v>
      </c>
      <c r="K8" s="2">
        <v>5000</v>
      </c>
      <c r="L8" s="2">
        <v>5000</v>
      </c>
      <c r="M8" s="2">
        <v>10000</v>
      </c>
      <c r="N8" s="2">
        <v>10000</v>
      </c>
      <c r="O8" s="2">
        <v>10000</v>
      </c>
      <c r="P8" s="2">
        <v>10000</v>
      </c>
      <c r="Q8" s="2" t="s">
        <v>4</v>
      </c>
      <c r="R8" s="2" t="s">
        <v>4</v>
      </c>
      <c r="S8" s="2">
        <v>10000</v>
      </c>
      <c r="AI8" s="1"/>
      <c r="AJ8" s="1"/>
      <c r="AK8" s="2"/>
      <c r="AL8" s="2"/>
      <c r="AM8" s="2"/>
      <c r="AN8" s="2"/>
      <c r="AO8" s="2"/>
      <c r="AP8" s="2"/>
    </row>
    <row r="9" spans="1:42" x14ac:dyDescent="0.25">
      <c r="A9" s="4" t="s">
        <v>94</v>
      </c>
      <c r="B9" s="2" t="s">
        <v>4</v>
      </c>
      <c r="C9" s="2" t="s">
        <v>4</v>
      </c>
      <c r="D9" s="2">
        <v>5000</v>
      </c>
      <c r="E9" s="2">
        <v>5000</v>
      </c>
      <c r="F9" s="2">
        <v>5000</v>
      </c>
      <c r="G9" s="2">
        <v>5000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 t="s">
        <v>4</v>
      </c>
      <c r="N9" s="2" t="s">
        <v>4</v>
      </c>
      <c r="O9" s="2" t="s">
        <v>4</v>
      </c>
      <c r="P9" s="2" t="s">
        <v>4</v>
      </c>
      <c r="Q9" s="2">
        <v>5000</v>
      </c>
      <c r="R9" s="2" t="s">
        <v>4</v>
      </c>
      <c r="S9" s="2" t="s">
        <v>4</v>
      </c>
      <c r="AI9" s="1"/>
      <c r="AJ9" s="1"/>
      <c r="AK9" s="2"/>
      <c r="AL9" s="2"/>
      <c r="AM9" s="2"/>
      <c r="AN9" s="2"/>
      <c r="AO9" s="2"/>
      <c r="AP9" s="2"/>
    </row>
    <row r="10" spans="1:42" x14ac:dyDescent="0.25">
      <c r="A10" s="4" t="s">
        <v>93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4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4" t="s">
        <v>81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4" t="s">
        <v>50</v>
      </c>
      <c r="B13" s="2">
        <v>447.91</v>
      </c>
      <c r="C13" s="2">
        <v>451.49</v>
      </c>
      <c r="D13" s="2">
        <v>436.11</v>
      </c>
      <c r="E13" s="2">
        <v>428.19</v>
      </c>
      <c r="F13" s="2">
        <v>401.32</v>
      </c>
      <c r="G13" s="2">
        <v>363.67</v>
      </c>
      <c r="H13" s="2">
        <v>355.4</v>
      </c>
      <c r="I13" s="2">
        <v>379.86</v>
      </c>
      <c r="J13" s="2">
        <v>431.21</v>
      </c>
      <c r="K13" s="2">
        <v>462.07</v>
      </c>
      <c r="L13" s="2">
        <v>433.03</v>
      </c>
      <c r="M13" s="2">
        <v>453.64</v>
      </c>
      <c r="N13" s="2">
        <v>408.56</v>
      </c>
      <c r="O13" s="2">
        <v>459.54</v>
      </c>
      <c r="P13" s="2">
        <v>348.25</v>
      </c>
      <c r="Q13" s="2">
        <v>354.22</v>
      </c>
      <c r="R13" s="2">
        <v>385.45</v>
      </c>
      <c r="S13" s="2">
        <v>229.63</v>
      </c>
      <c r="AI13" s="2"/>
      <c r="AJ13" s="2"/>
      <c r="AK13" s="3"/>
      <c r="AL13" s="3"/>
      <c r="AM13" s="1"/>
      <c r="AN13" s="1"/>
      <c r="AO13" s="1"/>
      <c r="AP13" s="1"/>
    </row>
    <row r="14" spans="1:42" ht="8.25" customHeigh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AI14" s="1"/>
      <c r="AJ14" s="1"/>
      <c r="AK14" s="2"/>
      <c r="AL14" s="2"/>
      <c r="AM14" s="1"/>
      <c r="AN14" s="1"/>
      <c r="AO14" s="1"/>
      <c r="AP14" s="1"/>
    </row>
    <row r="15" spans="1:42" x14ac:dyDescent="0.25">
      <c r="A15" s="4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AI15" s="1"/>
      <c r="AJ15" s="1"/>
      <c r="AK15" s="2"/>
      <c r="AL15" s="2"/>
      <c r="AM15" s="2"/>
      <c r="AN15" s="2"/>
      <c r="AO15" s="17"/>
      <c r="AP15" s="17"/>
    </row>
    <row r="16" spans="1:42" x14ac:dyDescent="0.25">
      <c r="A16" s="4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AI16" s="1"/>
      <c r="AJ16" s="1"/>
      <c r="AK16" s="2"/>
      <c r="AL16" s="2"/>
      <c r="AM16" s="2"/>
      <c r="AN16" s="2"/>
      <c r="AO16" s="17"/>
      <c r="AP16" s="17"/>
    </row>
    <row r="17" spans="1:42" x14ac:dyDescent="0.25">
      <c r="A17" s="4" t="s">
        <v>49</v>
      </c>
      <c r="B17" s="2">
        <v>221.56</v>
      </c>
      <c r="C17" s="2">
        <v>224.15</v>
      </c>
      <c r="D17" s="2">
        <v>251.17</v>
      </c>
      <c r="E17" s="2">
        <v>203.34</v>
      </c>
      <c r="F17" s="2">
        <v>209.34</v>
      </c>
      <c r="G17" s="2">
        <v>173</v>
      </c>
      <c r="H17" s="2">
        <v>178.05</v>
      </c>
      <c r="I17" s="2">
        <v>203.65</v>
      </c>
      <c r="J17" s="2">
        <v>186.26</v>
      </c>
      <c r="K17" s="2">
        <v>212.72</v>
      </c>
      <c r="L17" s="2">
        <v>204.58</v>
      </c>
      <c r="M17" s="2">
        <v>208.07</v>
      </c>
      <c r="N17" s="2">
        <v>178.91</v>
      </c>
      <c r="O17" s="2">
        <v>221.79</v>
      </c>
      <c r="P17" s="2">
        <v>161.05000000000001</v>
      </c>
      <c r="Q17" s="2">
        <v>141.53</v>
      </c>
      <c r="R17" s="2">
        <v>158.97</v>
      </c>
      <c r="S17" s="2">
        <v>446.92</v>
      </c>
      <c r="AI17" s="1"/>
      <c r="AJ17" s="1"/>
      <c r="AK17" s="2"/>
      <c r="AL17" s="2"/>
      <c r="AM17" s="2"/>
      <c r="AN17" s="2"/>
      <c r="AO17" s="2"/>
      <c r="AP17" s="2"/>
    </row>
    <row r="18" spans="1:42" ht="8.25" customHeight="1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3"/>
      <c r="Q18" s="18"/>
      <c r="R18" s="18"/>
      <c r="S18" s="18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4"/>
      <c r="B19" s="2"/>
      <c r="C19" s="2"/>
      <c r="D19" s="2"/>
      <c r="F19" s="1"/>
      <c r="G19" s="1"/>
      <c r="H19" s="1"/>
      <c r="I19" s="1"/>
      <c r="J19" s="1"/>
      <c r="K19" s="1"/>
      <c r="L19" s="1"/>
      <c r="Q19" s="1"/>
      <c r="R19" s="1"/>
      <c r="S19" s="1"/>
    </row>
    <row r="20" spans="1:42" x14ac:dyDescent="0.25">
      <c r="A20" s="4" t="s">
        <v>3</v>
      </c>
      <c r="B20" s="1" t="s">
        <v>79</v>
      </c>
      <c r="C20" s="1" t="s">
        <v>79</v>
      </c>
      <c r="D20" s="1" t="s">
        <v>79</v>
      </c>
      <c r="E20" s="1" t="s">
        <v>79</v>
      </c>
      <c r="F20" s="1" t="s">
        <v>79</v>
      </c>
      <c r="G20" s="1" t="s">
        <v>79</v>
      </c>
      <c r="H20" s="1" t="s">
        <v>79</v>
      </c>
      <c r="I20" s="1" t="s">
        <v>79</v>
      </c>
      <c r="J20" s="1" t="s">
        <v>79</v>
      </c>
      <c r="K20" s="1" t="s">
        <v>79</v>
      </c>
      <c r="L20" s="1" t="s">
        <v>79</v>
      </c>
      <c r="M20" s="1" t="s">
        <v>79</v>
      </c>
      <c r="N20" s="1" t="s">
        <v>79</v>
      </c>
      <c r="O20" s="1" t="s">
        <v>79</v>
      </c>
      <c r="P20" s="1" t="s">
        <v>79</v>
      </c>
      <c r="Q20" s="1" t="s">
        <v>79</v>
      </c>
      <c r="R20" s="1" t="s">
        <v>79</v>
      </c>
      <c r="S20" s="1" t="s">
        <v>79</v>
      </c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4"/>
      <c r="P21" s="2"/>
    </row>
    <row r="24" spans="1:42" x14ac:dyDescent="0.25">
      <c r="A24" s="5" t="s">
        <v>6</v>
      </c>
      <c r="B24" s="5" t="s">
        <v>20</v>
      </c>
      <c r="C24" s="5" t="s">
        <v>25</v>
      </c>
      <c r="D24" s="6" t="s">
        <v>30</v>
      </c>
      <c r="E24" s="6" t="s">
        <v>29</v>
      </c>
      <c r="F24" s="6" t="s">
        <v>28</v>
      </c>
      <c r="G24" s="5" t="s">
        <v>51</v>
      </c>
      <c r="H24" s="5" t="s">
        <v>52</v>
      </c>
      <c r="I24" s="5" t="s">
        <v>53</v>
      </c>
      <c r="J24" s="6" t="s">
        <v>56</v>
      </c>
      <c r="K24" s="5" t="s">
        <v>57</v>
      </c>
      <c r="L24" s="5" t="s">
        <v>59</v>
      </c>
      <c r="M24" s="5" t="s">
        <v>60</v>
      </c>
      <c r="N24" s="5" t="s">
        <v>62</v>
      </c>
      <c r="O24" s="5" t="s">
        <v>63</v>
      </c>
      <c r="P24" s="5" t="s">
        <v>64</v>
      </c>
      <c r="Q24" s="5" t="s">
        <v>67</v>
      </c>
      <c r="R24" s="5" t="s">
        <v>70</v>
      </c>
      <c r="S24" s="5" t="s">
        <v>71</v>
      </c>
      <c r="T24" s="5" t="s">
        <v>72</v>
      </c>
      <c r="U24" s="5" t="s">
        <v>73</v>
      </c>
      <c r="V24" s="16" t="s">
        <v>76</v>
      </c>
      <c r="W24" s="16" t="s">
        <v>77</v>
      </c>
    </row>
    <row r="25" spans="1:42" x14ac:dyDescent="0.25">
      <c r="A25" s="4" t="s">
        <v>0</v>
      </c>
      <c r="B25" s="1" t="s">
        <v>11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11</v>
      </c>
      <c r="Q25" s="1" t="s">
        <v>11</v>
      </c>
      <c r="R25" s="1" t="s">
        <v>11</v>
      </c>
      <c r="S25" s="1" t="s">
        <v>11</v>
      </c>
      <c r="T25" s="1" t="s">
        <v>11</v>
      </c>
      <c r="U25" s="1" t="s">
        <v>11</v>
      </c>
      <c r="V25" s="1" t="s">
        <v>11</v>
      </c>
      <c r="W25" s="1" t="s">
        <v>11</v>
      </c>
    </row>
    <row r="26" spans="1:42" x14ac:dyDescent="0.25">
      <c r="A26" s="4" t="s">
        <v>1</v>
      </c>
      <c r="B26" s="3" t="s">
        <v>19</v>
      </c>
      <c r="C26" s="3" t="s">
        <v>19</v>
      </c>
      <c r="D26" s="3" t="s">
        <v>19</v>
      </c>
      <c r="E26" s="3" t="s">
        <v>19</v>
      </c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3" t="s">
        <v>19</v>
      </c>
      <c r="L26" s="3" t="s">
        <v>19</v>
      </c>
      <c r="M26" s="3" t="s">
        <v>19</v>
      </c>
      <c r="N26" s="3" t="s">
        <v>19</v>
      </c>
      <c r="O26" s="3" t="s">
        <v>19</v>
      </c>
      <c r="P26" s="3" t="s">
        <v>19</v>
      </c>
      <c r="Q26" s="3" t="s">
        <v>19</v>
      </c>
      <c r="R26" s="3" t="s">
        <v>19</v>
      </c>
      <c r="S26" s="3" t="s">
        <v>19</v>
      </c>
      <c r="T26" s="3" t="s">
        <v>19</v>
      </c>
      <c r="U26" s="3" t="s">
        <v>19</v>
      </c>
      <c r="V26" s="3" t="s">
        <v>19</v>
      </c>
      <c r="W26" s="3" t="s">
        <v>19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x14ac:dyDescent="0.25">
      <c r="A27" s="4" t="s">
        <v>18</v>
      </c>
      <c r="B27" s="2">
        <v>14327</v>
      </c>
      <c r="C27" s="2">
        <v>3030</v>
      </c>
      <c r="D27" s="2">
        <v>6531</v>
      </c>
      <c r="E27" s="2">
        <v>6531</v>
      </c>
      <c r="F27" s="2">
        <v>4879</v>
      </c>
      <c r="G27" s="2">
        <v>7061</v>
      </c>
      <c r="H27" s="2">
        <v>7061</v>
      </c>
      <c r="I27" s="2">
        <v>2160</v>
      </c>
      <c r="J27" s="2">
        <v>2560</v>
      </c>
      <c r="K27" s="2">
        <v>2560</v>
      </c>
      <c r="L27" s="2">
        <v>5744</v>
      </c>
      <c r="M27" s="2">
        <v>5744</v>
      </c>
      <c r="N27" s="2">
        <v>5072</v>
      </c>
      <c r="O27" s="2">
        <v>5072</v>
      </c>
      <c r="P27" s="2">
        <v>11420</v>
      </c>
      <c r="Q27" s="2">
        <v>47959</v>
      </c>
      <c r="R27" s="2">
        <v>3291</v>
      </c>
      <c r="S27" s="2">
        <v>3291</v>
      </c>
      <c r="T27" s="2">
        <v>5737</v>
      </c>
      <c r="U27" s="2">
        <v>5737</v>
      </c>
      <c r="V27" s="2">
        <v>13204</v>
      </c>
      <c r="W27" s="2">
        <v>13204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4" t="s">
        <v>32</v>
      </c>
      <c r="B28" s="2">
        <v>35</v>
      </c>
      <c r="C28" s="2">
        <v>32.200000000000003</v>
      </c>
      <c r="D28" s="1">
        <v>57.3</v>
      </c>
      <c r="E28" s="2">
        <v>22.7</v>
      </c>
      <c r="F28" s="2">
        <v>15.2</v>
      </c>
      <c r="G28" s="2">
        <v>28.4</v>
      </c>
      <c r="H28" s="2">
        <v>101</v>
      </c>
      <c r="I28" s="2">
        <v>32.1</v>
      </c>
      <c r="J28" s="2">
        <v>76.400000000000006</v>
      </c>
      <c r="K28" s="2">
        <v>31</v>
      </c>
      <c r="L28" s="2">
        <v>119.6</v>
      </c>
      <c r="M28" s="2">
        <v>22.5</v>
      </c>
      <c r="N28" s="2">
        <v>161.9</v>
      </c>
      <c r="O28" s="2">
        <v>24</v>
      </c>
      <c r="P28" s="2">
        <v>27.5</v>
      </c>
      <c r="Q28" s="2">
        <v>12.4</v>
      </c>
      <c r="R28" s="2">
        <v>128.30000000000001</v>
      </c>
      <c r="S28" s="2">
        <v>27.6</v>
      </c>
      <c r="T28" s="2">
        <v>116.2</v>
      </c>
      <c r="U28" s="2">
        <v>21.6</v>
      </c>
      <c r="V28" s="2">
        <v>255.9</v>
      </c>
      <c r="W28" s="2">
        <v>32.799999999999997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42" x14ac:dyDescent="0.25">
      <c r="A29" s="4" t="s">
        <v>33</v>
      </c>
      <c r="B29" s="2" t="s">
        <v>35</v>
      </c>
      <c r="C29" s="2" t="s">
        <v>35</v>
      </c>
      <c r="D29" s="1" t="s">
        <v>36</v>
      </c>
      <c r="E29" s="2" t="s">
        <v>35</v>
      </c>
      <c r="F29" s="2" t="s">
        <v>34</v>
      </c>
      <c r="G29" s="2" t="s">
        <v>35</v>
      </c>
      <c r="H29" s="2" t="s">
        <v>36</v>
      </c>
      <c r="I29" s="2" t="s">
        <v>35</v>
      </c>
      <c r="J29" s="2" t="s">
        <v>36</v>
      </c>
      <c r="K29" s="2" t="s">
        <v>35</v>
      </c>
      <c r="L29" s="2" t="s">
        <v>36</v>
      </c>
      <c r="M29" s="2" t="s">
        <v>35</v>
      </c>
      <c r="N29" s="2" t="s">
        <v>36</v>
      </c>
      <c r="O29" s="2" t="s">
        <v>36</v>
      </c>
      <c r="P29" s="2" t="s">
        <v>35</v>
      </c>
      <c r="Q29" s="2" t="s">
        <v>35</v>
      </c>
      <c r="R29" s="2" t="s">
        <v>36</v>
      </c>
      <c r="S29" s="2" t="s">
        <v>35</v>
      </c>
      <c r="T29" s="2" t="s">
        <v>36</v>
      </c>
      <c r="U29" s="2" t="s">
        <v>35</v>
      </c>
      <c r="V29" s="2" t="s">
        <v>35</v>
      </c>
      <c r="W29" s="2" t="s">
        <v>35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42" x14ac:dyDescent="0.25">
      <c r="A30" s="4" t="s">
        <v>39</v>
      </c>
      <c r="B30" s="2">
        <v>5.8</v>
      </c>
      <c r="C30" s="2">
        <v>6.5</v>
      </c>
      <c r="D30" s="1">
        <v>33.1</v>
      </c>
      <c r="E30" s="2">
        <v>10.5</v>
      </c>
      <c r="F30" s="2">
        <v>8.3000000000000007</v>
      </c>
      <c r="G30" s="2">
        <v>7.7</v>
      </c>
      <c r="H30" s="2">
        <v>9.8000000000000007</v>
      </c>
      <c r="I30" s="2">
        <v>4.0999999999999996</v>
      </c>
      <c r="J30" s="2">
        <v>70.3</v>
      </c>
      <c r="K30" s="2">
        <v>9.3000000000000007</v>
      </c>
      <c r="L30" s="2">
        <v>0</v>
      </c>
      <c r="M30" s="2">
        <v>6.2</v>
      </c>
      <c r="N30" s="2">
        <v>20.399999999999999</v>
      </c>
      <c r="O30" s="2">
        <v>11.7</v>
      </c>
      <c r="P30" s="2">
        <v>8.1</v>
      </c>
      <c r="Q30" s="2">
        <v>6.9</v>
      </c>
      <c r="R30" s="2">
        <v>2.6</v>
      </c>
      <c r="S30" s="2">
        <v>11.7</v>
      </c>
      <c r="T30" s="2">
        <v>0</v>
      </c>
      <c r="U30" s="2">
        <v>11</v>
      </c>
      <c r="V30" s="2">
        <v>0.5</v>
      </c>
      <c r="W30" s="2">
        <v>9.1999999999999993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42" x14ac:dyDescent="0.25">
      <c r="A31" s="4" t="s">
        <v>40</v>
      </c>
      <c r="B31" s="2" t="s">
        <v>44</v>
      </c>
      <c r="C31" s="2" t="s">
        <v>45</v>
      </c>
      <c r="D31" s="1" t="s">
        <v>48</v>
      </c>
      <c r="E31" s="2" t="s">
        <v>45</v>
      </c>
      <c r="F31" s="2" t="s">
        <v>34</v>
      </c>
      <c r="G31" s="2" t="s">
        <v>44</v>
      </c>
      <c r="H31" s="2" t="s">
        <v>48</v>
      </c>
      <c r="I31" s="2" t="s">
        <v>44</v>
      </c>
      <c r="J31" s="2" t="s">
        <v>48</v>
      </c>
      <c r="K31" s="2" t="s">
        <v>44</v>
      </c>
      <c r="L31" s="2" t="s">
        <v>48</v>
      </c>
      <c r="M31" s="2" t="s">
        <v>44</v>
      </c>
      <c r="N31" s="2" t="s">
        <v>48</v>
      </c>
      <c r="O31" s="2" t="s">
        <v>44</v>
      </c>
      <c r="P31" s="2" t="s">
        <v>44</v>
      </c>
      <c r="Q31" s="2" t="s">
        <v>68</v>
      </c>
      <c r="R31" s="2" t="s">
        <v>48</v>
      </c>
      <c r="S31" s="2" t="s">
        <v>44</v>
      </c>
      <c r="T31" s="2" t="s">
        <v>48</v>
      </c>
      <c r="U31" s="2" t="s">
        <v>44</v>
      </c>
      <c r="V31" s="2" t="s">
        <v>44</v>
      </c>
      <c r="W31" s="2" t="s">
        <v>44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42" x14ac:dyDescent="0.25">
      <c r="A32" s="4" t="s">
        <v>21</v>
      </c>
      <c r="B32" s="2">
        <f>1.8+16.8+27.9+3.9</f>
        <v>50.4</v>
      </c>
      <c r="C32" s="2">
        <f>13.9+17.8+0.8</f>
        <v>32.5</v>
      </c>
      <c r="D32" s="2">
        <f>22.2+18.7+9.6</f>
        <v>50.5</v>
      </c>
      <c r="E32" s="2">
        <f>16.8+36.6+2.3</f>
        <v>55.7</v>
      </c>
      <c r="F32" s="2">
        <f>15.6+15.9+11.7</f>
        <v>43.2</v>
      </c>
      <c r="G32" s="2">
        <f>1.9+18.4+16.9</f>
        <v>37.199999999999996</v>
      </c>
      <c r="H32" s="2">
        <f>20+17+2.8</f>
        <v>39.799999999999997</v>
      </c>
      <c r="I32" s="2">
        <f>10+20.8+3.7</f>
        <v>34.5</v>
      </c>
      <c r="J32" s="2">
        <f>69.4+9.2+15.5</f>
        <v>94.100000000000009</v>
      </c>
      <c r="K32" s="2">
        <f>17.4+28.9+8.1</f>
        <v>54.4</v>
      </c>
      <c r="L32" s="2">
        <f>44+1.2+4.8</f>
        <v>50</v>
      </c>
      <c r="M32" s="2">
        <f>20.3+37.3+3.9</f>
        <v>61.499999999999993</v>
      </c>
      <c r="N32" s="2">
        <f>44.9+18.4+30.5</f>
        <v>93.8</v>
      </c>
      <c r="O32" s="2">
        <f>16.5+23.4+1.9</f>
        <v>41.8</v>
      </c>
      <c r="P32" s="2">
        <f>2.5+21+22.4+2.3</f>
        <v>48.199999999999996</v>
      </c>
      <c r="Q32" s="2">
        <f>16.7+23.6+5.4</f>
        <v>45.699999999999996</v>
      </c>
      <c r="R32" s="2">
        <f>60.4+8.5+3.1</f>
        <v>72</v>
      </c>
      <c r="S32" s="2">
        <f>18.7+23+1.9</f>
        <v>43.6</v>
      </c>
      <c r="T32" s="2">
        <f>6.2+70.9+16.6+1.2</f>
        <v>94.90000000000002</v>
      </c>
      <c r="U32" s="2">
        <f>4.9+35.9+6.6+2.5</f>
        <v>49.9</v>
      </c>
      <c r="V32">
        <f>0+22.9+48.4+4.1</f>
        <v>75.399999999999991</v>
      </c>
      <c r="W32">
        <f>2+13.6+21.1+1.8</f>
        <v>38.5</v>
      </c>
    </row>
    <row r="33" spans="1:42" x14ac:dyDescent="0.25">
      <c r="A33" s="4" t="s">
        <v>50</v>
      </c>
      <c r="B33" s="14">
        <f>B32+B30+B28</f>
        <v>91.199999999999989</v>
      </c>
      <c r="C33" s="14">
        <f t="shared" ref="C33:D33" si="0">C32+C30+C28</f>
        <v>71.2</v>
      </c>
      <c r="D33" s="14">
        <f t="shared" si="0"/>
        <v>140.89999999999998</v>
      </c>
      <c r="E33" s="14">
        <f>E32+E30+E28</f>
        <v>88.9</v>
      </c>
      <c r="F33" s="14">
        <f>F32+F30+F28</f>
        <v>66.7</v>
      </c>
      <c r="G33" s="14">
        <f t="shared" ref="G33:W33" si="1">G32+G30+G28</f>
        <v>73.3</v>
      </c>
      <c r="H33" s="14">
        <f t="shared" si="1"/>
        <v>150.6</v>
      </c>
      <c r="I33" s="14">
        <f t="shared" si="1"/>
        <v>70.7</v>
      </c>
      <c r="J33" s="14">
        <f t="shared" si="1"/>
        <v>240.8</v>
      </c>
      <c r="K33" s="14">
        <f t="shared" si="1"/>
        <v>94.7</v>
      </c>
      <c r="L33" s="14">
        <f t="shared" si="1"/>
        <v>169.6</v>
      </c>
      <c r="M33" s="14">
        <f t="shared" si="1"/>
        <v>90.199999999999989</v>
      </c>
      <c r="N33" s="14">
        <f t="shared" si="1"/>
        <v>276.10000000000002</v>
      </c>
      <c r="O33" s="14">
        <f t="shared" si="1"/>
        <v>77.5</v>
      </c>
      <c r="P33" s="14">
        <f t="shared" si="1"/>
        <v>83.8</v>
      </c>
      <c r="Q33" s="14">
        <f t="shared" si="1"/>
        <v>65</v>
      </c>
      <c r="R33" s="14">
        <f t="shared" si="1"/>
        <v>202.9</v>
      </c>
      <c r="S33" s="14">
        <f t="shared" si="1"/>
        <v>82.9</v>
      </c>
      <c r="T33" s="14">
        <f t="shared" si="1"/>
        <v>211.10000000000002</v>
      </c>
      <c r="U33" s="14">
        <f t="shared" si="1"/>
        <v>82.5</v>
      </c>
      <c r="V33" s="14">
        <f t="shared" si="1"/>
        <v>331.8</v>
      </c>
      <c r="W33" s="14">
        <f t="shared" si="1"/>
        <v>80.5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42" ht="8.25" customHeigh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3"/>
    </row>
    <row r="35" spans="1:42" x14ac:dyDescent="0.25">
      <c r="A35" s="4" t="s">
        <v>46</v>
      </c>
      <c r="B35" s="2">
        <f t="shared" ref="B35:D35" si="2">B28/1</f>
        <v>35</v>
      </c>
      <c r="C35" s="2">
        <f t="shared" si="2"/>
        <v>32.200000000000003</v>
      </c>
      <c r="D35" s="2">
        <f t="shared" si="2"/>
        <v>57.3</v>
      </c>
      <c r="E35" s="2">
        <f>E28/1</f>
        <v>22.7</v>
      </c>
      <c r="F35" s="2">
        <f>F28/1</f>
        <v>15.2</v>
      </c>
      <c r="G35" s="2">
        <f>G28/1</f>
        <v>28.4</v>
      </c>
      <c r="H35" s="2">
        <f>H28/1</f>
        <v>101</v>
      </c>
      <c r="I35" s="2">
        <f t="shared" ref="I35:K35" si="3">I28/1</f>
        <v>32.1</v>
      </c>
      <c r="J35" s="2">
        <f>J28/1</f>
        <v>76.400000000000006</v>
      </c>
      <c r="K35" s="2">
        <f t="shared" si="3"/>
        <v>31</v>
      </c>
      <c r="L35" s="2">
        <f>L28/1</f>
        <v>119.6</v>
      </c>
      <c r="M35" s="2">
        <f t="shared" ref="M35" si="4">M28/1</f>
        <v>22.5</v>
      </c>
      <c r="N35" s="2">
        <f>N28/1</f>
        <v>161.9</v>
      </c>
      <c r="O35" s="2">
        <f>O28/1</f>
        <v>24</v>
      </c>
      <c r="P35" s="2">
        <f t="shared" ref="P35:Q35" si="5">P28/1</f>
        <v>27.5</v>
      </c>
      <c r="Q35" s="2">
        <f t="shared" si="5"/>
        <v>12.4</v>
      </c>
      <c r="R35" s="2">
        <f>R28/1</f>
        <v>128.30000000000001</v>
      </c>
      <c r="S35" s="2">
        <f t="shared" ref="S35:W35" si="6">S28/1</f>
        <v>27.6</v>
      </c>
      <c r="T35" s="2">
        <f>T28/1</f>
        <v>116.2</v>
      </c>
      <c r="U35" s="2">
        <f t="shared" si="6"/>
        <v>21.6</v>
      </c>
      <c r="V35" s="2">
        <f t="shared" si="6"/>
        <v>255.9</v>
      </c>
      <c r="W35" s="2">
        <f t="shared" si="6"/>
        <v>32.799999999999997</v>
      </c>
    </row>
    <row r="36" spans="1:42" x14ac:dyDescent="0.25">
      <c r="A36" s="4" t="s">
        <v>47</v>
      </c>
      <c r="B36" s="2">
        <f>B30/1</f>
        <v>5.8</v>
      </c>
      <c r="C36" s="2">
        <f>C30/1</f>
        <v>6.5</v>
      </c>
      <c r="D36" s="2">
        <f>D30/2.58</f>
        <v>12.829457364341085</v>
      </c>
      <c r="E36" s="2">
        <f t="shared" ref="E36:G36" si="7">E30/1</f>
        <v>10.5</v>
      </c>
      <c r="F36" s="2">
        <f t="shared" si="7"/>
        <v>8.3000000000000007</v>
      </c>
      <c r="G36" s="2">
        <f t="shared" si="7"/>
        <v>7.7</v>
      </c>
      <c r="H36" s="2">
        <f>H30/2.58</f>
        <v>3.7984496124031009</v>
      </c>
      <c r="I36" s="2">
        <f t="shared" ref="I36:K36" si="8">I30/1</f>
        <v>4.0999999999999996</v>
      </c>
      <c r="J36" s="2">
        <f>J30/2.58</f>
        <v>27.248062015503873</v>
      </c>
      <c r="K36" s="2">
        <f t="shared" si="8"/>
        <v>9.3000000000000007</v>
      </c>
      <c r="L36" s="2">
        <f>L30/2.58</f>
        <v>0</v>
      </c>
      <c r="M36" s="2">
        <f t="shared" ref="M36" si="9">M30/1</f>
        <v>6.2</v>
      </c>
      <c r="N36" s="2">
        <f>N30/2.58</f>
        <v>7.9069767441860455</v>
      </c>
      <c r="O36" s="2">
        <f>O30/1</f>
        <v>11.7</v>
      </c>
      <c r="P36" s="2">
        <f t="shared" ref="P36" si="10">P30/1</f>
        <v>8.1</v>
      </c>
      <c r="Q36" s="2">
        <f>Q30/2.58</f>
        <v>2.6744186046511627</v>
      </c>
      <c r="R36" s="2">
        <f>R30/2.58</f>
        <v>1.0077519379844961</v>
      </c>
      <c r="S36" s="2">
        <f t="shared" ref="S36:W36" si="11">S30/1</f>
        <v>11.7</v>
      </c>
      <c r="T36" s="2">
        <f>T30/2.58</f>
        <v>0</v>
      </c>
      <c r="U36" s="2">
        <f t="shared" si="11"/>
        <v>11</v>
      </c>
      <c r="V36" s="2">
        <f t="shared" si="11"/>
        <v>0.5</v>
      </c>
      <c r="W36" s="2">
        <f t="shared" si="11"/>
        <v>9.1999999999999993</v>
      </c>
    </row>
    <row r="37" spans="1:42" x14ac:dyDescent="0.25">
      <c r="A37" s="4" t="s">
        <v>22</v>
      </c>
      <c r="B37" s="2">
        <f t="shared" ref="B37:D37" si="12">B32/2.58</f>
        <v>19.534883720930232</v>
      </c>
      <c r="C37" s="2">
        <f t="shared" si="12"/>
        <v>12.596899224806201</v>
      </c>
      <c r="D37" s="2">
        <f t="shared" si="12"/>
        <v>19.573643410852714</v>
      </c>
      <c r="E37" s="2">
        <f t="shared" ref="E37:J37" si="13">E32/2.58</f>
        <v>21.589147286821706</v>
      </c>
      <c r="F37" s="2">
        <f t="shared" si="13"/>
        <v>16.744186046511629</v>
      </c>
      <c r="G37" s="2">
        <f t="shared" si="13"/>
        <v>14.418604651162788</v>
      </c>
      <c r="H37" s="2">
        <f t="shared" si="13"/>
        <v>15.426356589147286</v>
      </c>
      <c r="I37" s="2">
        <f t="shared" si="13"/>
        <v>13.372093023255813</v>
      </c>
      <c r="J37" s="2">
        <f t="shared" si="13"/>
        <v>36.472868217054263</v>
      </c>
      <c r="K37" s="2">
        <f t="shared" ref="K37" si="14">K32/2.58</f>
        <v>21.085271317829456</v>
      </c>
      <c r="L37" s="2">
        <f>L32/2.58</f>
        <v>19.379844961240309</v>
      </c>
      <c r="M37" s="2">
        <f t="shared" ref="M37:Q37" si="15">M32/2.58</f>
        <v>23.837209302325579</v>
      </c>
      <c r="N37" s="2">
        <f>N32/2.58</f>
        <v>36.356589147286819</v>
      </c>
      <c r="O37" s="2">
        <f t="shared" si="15"/>
        <v>16.201550387596896</v>
      </c>
      <c r="P37" s="2">
        <f t="shared" si="15"/>
        <v>18.682170542635657</v>
      </c>
      <c r="Q37" s="2">
        <f t="shared" si="15"/>
        <v>17.713178294573641</v>
      </c>
      <c r="R37" s="2">
        <f>R32/2.58</f>
        <v>27.906976744186046</v>
      </c>
      <c r="S37" s="2">
        <f t="shared" ref="S37:W37" si="16">S32/2.58</f>
        <v>16.899224806201552</v>
      </c>
      <c r="T37" s="2">
        <f>T32/2.58</f>
        <v>36.782945736434115</v>
      </c>
      <c r="U37" s="2">
        <f t="shared" si="16"/>
        <v>19.34108527131783</v>
      </c>
      <c r="V37" s="2">
        <f t="shared" si="16"/>
        <v>29.224806201550383</v>
      </c>
      <c r="W37" s="2">
        <f t="shared" si="16"/>
        <v>14.922480620155039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4" t="s">
        <v>49</v>
      </c>
      <c r="B38" s="14">
        <f>SUM(B35:B37)</f>
        <v>60.334883720930229</v>
      </c>
      <c r="C38" s="14">
        <f t="shared" ref="C38:D38" si="17">SUM(C35:C37)</f>
        <v>51.296899224806204</v>
      </c>
      <c r="D38" s="14">
        <f t="shared" si="17"/>
        <v>89.703100775193789</v>
      </c>
      <c r="E38" s="14">
        <f>SUM(E35:E37)</f>
        <v>54.789147286821709</v>
      </c>
      <c r="F38" s="14">
        <f>SUM(F35:F37)</f>
        <v>40.244186046511629</v>
      </c>
      <c r="G38" s="14">
        <f>SUM(G35:G37)</f>
        <v>50.518604651162789</v>
      </c>
      <c r="H38" s="14">
        <f>SUM(H35:H37)</f>
        <v>120.22480620155039</v>
      </c>
      <c r="I38" s="14">
        <f>SUM(I35:I37)</f>
        <v>49.572093023255817</v>
      </c>
      <c r="J38" s="14">
        <f t="shared" ref="J38:W38" si="18">SUM(J35:J37)</f>
        <v>140.12093023255815</v>
      </c>
      <c r="K38" s="14">
        <f t="shared" si="18"/>
        <v>61.385271317829449</v>
      </c>
      <c r="L38" s="14">
        <f t="shared" si="18"/>
        <v>138.9798449612403</v>
      </c>
      <c r="M38" s="14">
        <f t="shared" si="18"/>
        <v>52.537209302325579</v>
      </c>
      <c r="N38" s="14">
        <f t="shared" si="18"/>
        <v>206.16356589147287</v>
      </c>
      <c r="O38" s="14">
        <f t="shared" si="18"/>
        <v>51.901550387596899</v>
      </c>
      <c r="P38" s="14">
        <f t="shared" si="18"/>
        <v>54.282170542635654</v>
      </c>
      <c r="Q38" s="14">
        <f t="shared" si="18"/>
        <v>32.787596899224802</v>
      </c>
      <c r="R38" s="14">
        <f t="shared" si="18"/>
        <v>157.21472868217054</v>
      </c>
      <c r="S38" s="14">
        <f t="shared" si="18"/>
        <v>56.199224806201549</v>
      </c>
      <c r="T38" s="14">
        <f t="shared" si="18"/>
        <v>152.98294573643412</v>
      </c>
      <c r="U38" s="14">
        <f t="shared" si="18"/>
        <v>51.941085271317831</v>
      </c>
      <c r="V38" s="14">
        <f t="shared" si="18"/>
        <v>285.62480620155037</v>
      </c>
      <c r="W38" s="14">
        <f t="shared" si="18"/>
        <v>56.922480620155042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42" ht="8.25" customHeigh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42" x14ac:dyDescent="0.25">
      <c r="A40" s="4" t="s">
        <v>3</v>
      </c>
      <c r="B40" s="10" t="s">
        <v>24</v>
      </c>
      <c r="C40" s="10" t="s">
        <v>26</v>
      </c>
      <c r="D40" s="10" t="s">
        <v>27</v>
      </c>
      <c r="E40" s="10" t="s">
        <v>27</v>
      </c>
      <c r="F40" s="10" t="s">
        <v>31</v>
      </c>
      <c r="G40" s="10" t="s">
        <v>54</v>
      </c>
      <c r="H40" s="15" t="s">
        <v>54</v>
      </c>
      <c r="I40" s="15" t="s">
        <v>55</v>
      </c>
      <c r="J40" s="15" t="s">
        <v>58</v>
      </c>
      <c r="K40" s="15" t="s">
        <v>58</v>
      </c>
      <c r="L40" t="s">
        <v>61</v>
      </c>
      <c r="M40" t="s">
        <v>61</v>
      </c>
      <c r="N40" s="7" t="s">
        <v>66</v>
      </c>
      <c r="O40" t="s">
        <v>66</v>
      </c>
      <c r="P40" t="s">
        <v>65</v>
      </c>
      <c r="Q40" t="s">
        <v>69</v>
      </c>
      <c r="R40" t="s">
        <v>75</v>
      </c>
      <c r="S40" t="s">
        <v>75</v>
      </c>
      <c r="T40" t="s">
        <v>74</v>
      </c>
      <c r="U40" t="s">
        <v>74</v>
      </c>
      <c r="V40" t="s">
        <v>78</v>
      </c>
      <c r="W40" t="s">
        <v>78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42" x14ac:dyDescent="0.25">
      <c r="P41" s="1"/>
      <c r="Q41" s="1"/>
      <c r="R41" s="1"/>
      <c r="S41" s="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42" x14ac:dyDescent="0.25">
      <c r="B42" t="s">
        <v>41</v>
      </c>
      <c r="C42" t="s">
        <v>42</v>
      </c>
      <c r="D42" t="s">
        <v>43</v>
      </c>
    </row>
    <row r="43" spans="1:42" x14ac:dyDescent="0.25">
      <c r="A43" s="4" t="s">
        <v>37</v>
      </c>
      <c r="B43" s="7" t="s">
        <v>38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7" spans="1:42" x14ac:dyDescent="0.25"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96" spans="3:3" x14ac:dyDescent="0.25">
      <c r="C96" s="7"/>
    </row>
    <row r="97" spans="3:3" x14ac:dyDescent="0.25">
      <c r="C97" s="7"/>
    </row>
  </sheetData>
  <hyperlinks>
    <hyperlink ref="B40" r:id="rId1" xr:uid="{B15E9557-361D-4817-B98B-145BBD88632A}"/>
    <hyperlink ref="B43" r:id="rId2" xr:uid="{3743D1BB-FBA9-4856-BCB2-0AE871DE8601}"/>
    <hyperlink ref="D40" r:id="rId3" xr:uid="{885550EA-91BF-469D-B095-BE1534527CF1}"/>
    <hyperlink ref="C40" r:id="rId4" xr:uid="{D3A732BB-B5B9-492D-BF46-29E0754CB32E}"/>
    <hyperlink ref="F40" r:id="rId5" xr:uid="{CD17E8F4-1449-46D1-97C1-5DC509F10009}"/>
    <hyperlink ref="E40" r:id="rId6" xr:uid="{3F7D806C-08C4-424E-AEB6-788231573258}"/>
    <hyperlink ref="G40" r:id="rId7" xr:uid="{B9AD8135-0885-462C-9EF7-C4A9CA7816D5}"/>
    <hyperlink ref="H40" r:id="rId8" xr:uid="{0E7B7DDD-A5FA-47A3-BC18-C1141111BE41}"/>
    <hyperlink ref="I40" r:id="rId9" xr:uid="{C9B7DC98-9339-4028-90D2-267A9333F192}"/>
    <hyperlink ref="J40" r:id="rId10" xr:uid="{8F08F821-DAB9-4396-B938-1E6FBBD99050}"/>
    <hyperlink ref="K40" r:id="rId11" xr:uid="{41415328-A99F-46A5-AD80-3F3B4010157F}"/>
    <hyperlink ref="N40" r:id="rId12" xr:uid="{2338FE9D-F891-4355-9292-6C6109DC53FE}"/>
  </hyperlinks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FA8A-016B-4C38-867A-F061F6C32952}">
  <dimension ref="D2:I17"/>
  <sheetViews>
    <sheetView workbookViewId="0">
      <selection activeCell="E8" sqref="E8"/>
    </sheetView>
  </sheetViews>
  <sheetFormatPr defaultRowHeight="15" x14ac:dyDescent="0.25"/>
  <cols>
    <col min="2" max="2" width="9.5703125" bestFit="1" customWidth="1"/>
    <col min="4" max="4" width="8.85546875" bestFit="1" customWidth="1"/>
    <col min="5" max="5" width="19.5703125" bestFit="1" customWidth="1"/>
    <col min="6" max="6" width="19.5703125" customWidth="1"/>
    <col min="7" max="7" width="12" bestFit="1" customWidth="1"/>
  </cols>
  <sheetData>
    <row r="2" spans="4:9" x14ac:dyDescent="0.25">
      <c r="E2" s="1" t="s">
        <v>13</v>
      </c>
      <c r="F2" s="1" t="s">
        <v>14</v>
      </c>
      <c r="H2" t="s">
        <v>11</v>
      </c>
      <c r="I2" t="s">
        <v>17</v>
      </c>
    </row>
    <row r="3" spans="4:9" x14ac:dyDescent="0.25">
      <c r="E3" s="1" t="s">
        <v>10</v>
      </c>
      <c r="F3" s="1" t="s">
        <v>15</v>
      </c>
      <c r="H3" t="s">
        <v>12</v>
      </c>
      <c r="I3" t="s">
        <v>16</v>
      </c>
    </row>
    <row r="4" spans="4:9" x14ac:dyDescent="0.25">
      <c r="D4">
        <v>2008</v>
      </c>
      <c r="E4" s="19">
        <v>1829.4999999999998</v>
      </c>
      <c r="F4" s="1">
        <v>2213</v>
      </c>
      <c r="H4" s="8">
        <v>2086</v>
      </c>
      <c r="I4" s="9">
        <v>1796.86520849969</v>
      </c>
    </row>
    <row r="5" spans="4:9" x14ac:dyDescent="0.25">
      <c r="D5">
        <v>2009</v>
      </c>
      <c r="E5" s="19">
        <v>1819.7</v>
      </c>
      <c r="F5" s="1">
        <v>2212</v>
      </c>
      <c r="H5" s="8">
        <v>2325</v>
      </c>
      <c r="I5" s="9">
        <v>2024.7391145535801</v>
      </c>
    </row>
    <row r="6" spans="4:9" x14ac:dyDescent="0.25">
      <c r="D6">
        <v>2010</v>
      </c>
      <c r="E6" s="19">
        <v>2308.9999999999995</v>
      </c>
      <c r="F6" s="1">
        <v>2706</v>
      </c>
      <c r="H6" s="8">
        <v>2310</v>
      </c>
      <c r="I6" s="9">
        <v>2077.8947483637799</v>
      </c>
    </row>
    <row r="7" spans="4:9" x14ac:dyDescent="0.25">
      <c r="D7">
        <v>2011</v>
      </c>
      <c r="E7" s="19">
        <v>1514.5</v>
      </c>
      <c r="F7" s="1">
        <v>1928</v>
      </c>
      <c r="H7" s="8">
        <v>2632</v>
      </c>
      <c r="I7" s="9">
        <v>2408.2710543715698</v>
      </c>
    </row>
    <row r="8" spans="4:9" x14ac:dyDescent="0.25">
      <c r="D8">
        <v>2012</v>
      </c>
      <c r="E8" s="19">
        <v>1914.7000000000003</v>
      </c>
      <c r="F8" s="1">
        <v>2327</v>
      </c>
      <c r="H8" s="8">
        <v>1502</v>
      </c>
      <c r="I8" s="9">
        <v>1680.9802010000001</v>
      </c>
    </row>
    <row r="9" spans="4:9" x14ac:dyDescent="0.25">
      <c r="D9">
        <v>2013</v>
      </c>
      <c r="E9" s="19">
        <v>2137.7000000000003</v>
      </c>
      <c r="F9" s="1">
        <v>2537</v>
      </c>
      <c r="H9" s="8">
        <v>2285</v>
      </c>
      <c r="I9" s="9">
        <v>2022.868667</v>
      </c>
    </row>
    <row r="10" spans="4:9" x14ac:dyDescent="0.25">
      <c r="D10">
        <v>2014</v>
      </c>
      <c r="E10" s="19">
        <v>1424.1</v>
      </c>
      <c r="F10" s="1">
        <v>1828</v>
      </c>
      <c r="H10" s="8">
        <v>2495</v>
      </c>
      <c r="I10" s="9">
        <v>2264.7678489999998</v>
      </c>
    </row>
    <row r="11" spans="4:9" x14ac:dyDescent="0.25">
      <c r="D11">
        <v>2015</v>
      </c>
      <c r="E11" s="19">
        <v>1688.2999999999995</v>
      </c>
      <c r="F11" s="1">
        <v>2112</v>
      </c>
      <c r="H11" s="8">
        <v>1911</v>
      </c>
      <c r="I11" s="9">
        <v>1648.0790374938899</v>
      </c>
    </row>
    <row r="12" spans="4:9" x14ac:dyDescent="0.25">
      <c r="D12">
        <v>2016</v>
      </c>
      <c r="E12" s="19">
        <v>1947.6</v>
      </c>
      <c r="F12" s="1">
        <v>2330</v>
      </c>
      <c r="I12" s="9">
        <v>1789.90303482781</v>
      </c>
    </row>
    <row r="13" spans="4:9" x14ac:dyDescent="0.25">
      <c r="D13">
        <v>2017</v>
      </c>
      <c r="E13" s="19">
        <v>1780.3999999999996</v>
      </c>
      <c r="F13" s="19"/>
      <c r="I13" s="9">
        <v>2079.86</v>
      </c>
    </row>
    <row r="14" spans="4:9" x14ac:dyDescent="0.25">
      <c r="D14">
        <v>2018</v>
      </c>
      <c r="E14" s="19">
        <v>1739.3000000000002</v>
      </c>
      <c r="F14" s="19"/>
      <c r="I14" s="9">
        <v>1884.25</v>
      </c>
    </row>
    <row r="15" spans="4:9" x14ac:dyDescent="0.25">
      <c r="F15" s="1"/>
      <c r="I15" s="9">
        <v>1851.5705959526499</v>
      </c>
    </row>
    <row r="16" spans="4:9" x14ac:dyDescent="0.25">
      <c r="F16" s="1"/>
      <c r="I16" s="9">
        <v>1836.9461969541501</v>
      </c>
    </row>
    <row r="17" spans="4:5" x14ac:dyDescent="0.25">
      <c r="D17" s="20" t="s">
        <v>100</v>
      </c>
      <c r="E17" s="21">
        <f>AVERAGE(E4:E14)</f>
        <v>1827.7090909090909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Benchmark_BXL</vt:lpstr>
      <vt:lpstr>Benchmark_PARIS</vt:lpstr>
      <vt:lpstr>DDU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2020-10-24T17:15:24Z</dcterms:created>
  <dcterms:modified xsi:type="dcterms:W3CDTF">2021-11-26T22:36:02Z</dcterms:modified>
</cp:coreProperties>
</file>