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ouvi\Documents\These\80_Calculations\02_MFA_IGU\RawData\"/>
    </mc:Choice>
  </mc:AlternateContent>
  <xr:revisionPtr revIDLastSave="0" documentId="13_ncr:1_{A312A034-DB01-4280-BF04-5D7C890487A3}" xr6:coauthVersionLast="46" xr6:coauthVersionMax="46" xr10:uidLastSave="{00000000-0000-0000-0000-000000000000}"/>
  <bookViews>
    <workbookView xWindow="1170" yWindow="600" windowWidth="18525" windowHeight="15600" tabRatio="681" activeTab="3" xr2:uid="{123E2ECC-8474-4F38-AC8E-530CCC4039F8}"/>
  </bookViews>
  <sheets>
    <sheet name="References" sheetId="26" r:id="rId1"/>
    <sheet name="prod" sheetId="15" r:id="rId2"/>
    <sheet name="import" sheetId="14" r:id="rId3"/>
    <sheet name="export" sheetId="12" r:id="rId4"/>
    <sheet name="Population" sheetId="23" r:id="rId5"/>
    <sheet name="MatEnergy_WindowGlass" sheetId="25" r:id="rId6"/>
    <sheet name="MatEnergy_PlateGlass" sheetId="24" r:id="rId7"/>
    <sheet name="RawMat_Intensity" sheetId="21" r:id="rId8"/>
    <sheet name="Energy_Intensity" sheetId="22" r:id="rId9"/>
    <sheet name="emission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7" i="15" l="1"/>
  <c r="J17" i="15" s="1"/>
  <c r="B18" i="15"/>
  <c r="J18" i="15" s="1"/>
  <c r="B19" i="15"/>
  <c r="B20" i="15"/>
  <c r="J20" i="15" s="1"/>
  <c r="B21" i="15"/>
  <c r="H21" i="15" s="1"/>
  <c r="B22" i="15"/>
  <c r="B23" i="15"/>
  <c r="F23" i="15" s="1"/>
  <c r="B24" i="15"/>
  <c r="F24" i="15" s="1"/>
  <c r="B25" i="15"/>
  <c r="B26" i="15"/>
  <c r="H26" i="15" s="1"/>
  <c r="B27" i="15"/>
  <c r="B28" i="15"/>
  <c r="J28" i="15" s="1"/>
  <c r="B29" i="15"/>
  <c r="H29" i="15" s="1"/>
  <c r="B30" i="15"/>
  <c r="F30" i="15" s="1"/>
  <c r="B31" i="15"/>
  <c r="F31" i="15" s="1"/>
  <c r="B32" i="15"/>
  <c r="H32" i="15" s="1"/>
  <c r="B33" i="15"/>
  <c r="J33" i="15" s="1"/>
  <c r="B34" i="15"/>
  <c r="F34" i="15" s="1"/>
  <c r="B35" i="15"/>
  <c r="B36" i="15"/>
  <c r="F17" i="15"/>
  <c r="J19" i="15"/>
  <c r="F25" i="15"/>
  <c r="J27" i="15"/>
  <c r="J36" i="15"/>
  <c r="F7" i="15"/>
  <c r="H7" i="15"/>
  <c r="J7" i="15"/>
  <c r="F8" i="15"/>
  <c r="H8" i="15"/>
  <c r="J8" i="15"/>
  <c r="F9" i="15"/>
  <c r="H9" i="15"/>
  <c r="J9" i="15"/>
  <c r="F10" i="15"/>
  <c r="H10" i="15"/>
  <c r="J10" i="15"/>
  <c r="K10" i="15"/>
  <c r="F11" i="15"/>
  <c r="H11" i="15"/>
  <c r="J11" i="15"/>
  <c r="K11" i="15"/>
  <c r="F12" i="15"/>
  <c r="H12" i="15"/>
  <c r="J12" i="15"/>
  <c r="K12" i="15"/>
  <c r="F13" i="15"/>
  <c r="H13" i="15"/>
  <c r="J13" i="15"/>
  <c r="F14" i="15"/>
  <c r="H14" i="15"/>
  <c r="J14" i="15"/>
  <c r="F15" i="15"/>
  <c r="H15" i="15"/>
  <c r="J15" i="15"/>
  <c r="F16" i="15"/>
  <c r="H16" i="15"/>
  <c r="J16" i="15"/>
  <c r="H18" i="15"/>
  <c r="F19" i="15"/>
  <c r="H19" i="15"/>
  <c r="F22" i="15"/>
  <c r="H22" i="15"/>
  <c r="J22" i="15"/>
  <c r="J25" i="15"/>
  <c r="F26" i="15"/>
  <c r="F27" i="15"/>
  <c r="H27" i="15"/>
  <c r="J29" i="15"/>
  <c r="H31" i="15"/>
  <c r="J31" i="15"/>
  <c r="F32" i="15"/>
  <c r="H34" i="15"/>
  <c r="J35" i="15"/>
  <c r="J37" i="15"/>
  <c r="J38" i="15"/>
  <c r="J39" i="15"/>
  <c r="E50" i="15"/>
  <c r="G50" i="15"/>
  <c r="I50" i="15"/>
  <c r="D67" i="22"/>
  <c r="C67" i="22"/>
  <c r="B67" i="22"/>
  <c r="C76" i="22"/>
  <c r="B76" i="22"/>
  <c r="J30" i="15" l="1"/>
  <c r="J24" i="15"/>
  <c r="H30" i="15"/>
  <c r="J23" i="15"/>
  <c r="J32" i="15"/>
  <c r="H23" i="15"/>
  <c r="F29" i="15"/>
  <c r="H24" i="15"/>
  <c r="J21" i="15"/>
  <c r="F18" i="15"/>
  <c r="F21" i="15"/>
  <c r="J34" i="15"/>
  <c r="J26" i="15"/>
  <c r="F33" i="15"/>
  <c r="F28" i="15"/>
  <c r="F20" i="15"/>
  <c r="H33" i="15"/>
  <c r="H25" i="15"/>
  <c r="H17" i="15"/>
  <c r="H28" i="15"/>
  <c r="H20" i="15"/>
  <c r="D76" i="22"/>
  <c r="I50" i="24" l="1"/>
  <c r="I50" i="21" s="1"/>
  <c r="H50" i="24"/>
  <c r="H50" i="21" s="1"/>
  <c r="G50" i="24"/>
  <c r="G50" i="21" s="1"/>
  <c r="F50" i="24"/>
  <c r="F50" i="21" s="1"/>
  <c r="E50" i="24"/>
  <c r="E50" i="21" s="1"/>
  <c r="D50" i="24"/>
  <c r="D50" i="21" s="1"/>
  <c r="C50" i="24"/>
  <c r="C50" i="21" s="1"/>
  <c r="I49" i="24"/>
  <c r="H49" i="24"/>
  <c r="G49" i="24"/>
  <c r="F49" i="24"/>
  <c r="E49" i="24"/>
  <c r="D49" i="24"/>
  <c r="C49" i="24"/>
  <c r="B49" i="24" s="1"/>
  <c r="I48" i="24"/>
  <c r="H48" i="24"/>
  <c r="G48" i="24"/>
  <c r="F48" i="24"/>
  <c r="E48" i="24"/>
  <c r="D48" i="24"/>
  <c r="C48" i="24"/>
  <c r="B48" i="24" s="1"/>
  <c r="M32" i="24"/>
  <c r="N32" i="24" s="1"/>
  <c r="K32" i="24"/>
  <c r="L32" i="24" s="1"/>
  <c r="M27" i="24"/>
  <c r="N27" i="24" s="1"/>
  <c r="K27" i="24"/>
  <c r="L27" i="24" s="1"/>
  <c r="M17" i="24"/>
  <c r="N17" i="24" s="1"/>
  <c r="K17" i="24"/>
  <c r="L17" i="24" s="1"/>
  <c r="M7" i="24"/>
  <c r="N7" i="24" s="1"/>
  <c r="K7" i="24"/>
  <c r="L7" i="24" s="1"/>
  <c r="M4" i="24"/>
  <c r="N4" i="24" s="1"/>
  <c r="K4" i="24"/>
  <c r="L4" i="24" s="1"/>
  <c r="M32" i="25"/>
  <c r="N32" i="25" s="1"/>
  <c r="K32" i="25"/>
  <c r="L32" i="25" s="1"/>
  <c r="M27" i="25"/>
  <c r="N27" i="25" s="1"/>
  <c r="K27" i="25"/>
  <c r="L27" i="25" s="1"/>
  <c r="M17" i="25"/>
  <c r="N17" i="25" s="1"/>
  <c r="K17" i="25"/>
  <c r="L17" i="25" s="1"/>
  <c r="M7" i="25"/>
  <c r="N7" i="25" s="1"/>
  <c r="K7" i="25"/>
  <c r="L7" i="25" s="1"/>
  <c r="M4" i="25"/>
  <c r="N4" i="25" s="1"/>
  <c r="K4" i="25"/>
  <c r="L4" i="25" s="1"/>
  <c r="B7" i="22" l="1"/>
  <c r="C7" i="22"/>
  <c r="D7" i="22"/>
  <c r="B50" i="24"/>
  <c r="B50" i="21" s="1"/>
  <c r="I28" i="25"/>
  <c r="H28" i="25"/>
  <c r="G28" i="25"/>
  <c r="F28" i="25"/>
  <c r="E28" i="25"/>
  <c r="D28" i="25"/>
  <c r="C28" i="25"/>
  <c r="I27" i="25"/>
  <c r="H27" i="25"/>
  <c r="G27" i="25"/>
  <c r="F27" i="25"/>
  <c r="E27" i="25"/>
  <c r="D27" i="25"/>
  <c r="C27" i="25"/>
  <c r="I26" i="25"/>
  <c r="H26" i="25"/>
  <c r="G26" i="25"/>
  <c r="F26" i="25"/>
  <c r="E26" i="25"/>
  <c r="D26" i="25"/>
  <c r="C26" i="25"/>
  <c r="I25" i="25"/>
  <c r="H25" i="25"/>
  <c r="G25" i="25"/>
  <c r="F25" i="25"/>
  <c r="E25" i="25"/>
  <c r="D25" i="25"/>
  <c r="C25" i="25"/>
  <c r="I24" i="25"/>
  <c r="H24" i="25"/>
  <c r="G24" i="25"/>
  <c r="F24" i="25"/>
  <c r="E24" i="25"/>
  <c r="D24" i="25"/>
  <c r="C24" i="25"/>
  <c r="I23" i="25"/>
  <c r="H23" i="25"/>
  <c r="G23" i="25"/>
  <c r="F23" i="25"/>
  <c r="E23" i="25"/>
  <c r="D23" i="25"/>
  <c r="C23" i="25"/>
  <c r="I22" i="25"/>
  <c r="H22" i="25"/>
  <c r="G22" i="25"/>
  <c r="F22" i="25"/>
  <c r="E22" i="25"/>
  <c r="D22" i="25"/>
  <c r="C22" i="25"/>
  <c r="I21" i="25"/>
  <c r="H21" i="25"/>
  <c r="G21" i="25"/>
  <c r="F21" i="25"/>
  <c r="E21" i="25"/>
  <c r="D21" i="25"/>
  <c r="C21" i="25"/>
  <c r="I20" i="25"/>
  <c r="H20" i="25"/>
  <c r="G20" i="25"/>
  <c r="F20" i="25"/>
  <c r="E20" i="25"/>
  <c r="D20" i="25"/>
  <c r="C20" i="25"/>
  <c r="I19" i="25"/>
  <c r="H19" i="25"/>
  <c r="G19" i="25"/>
  <c r="F19" i="25"/>
  <c r="E19" i="25"/>
  <c r="D19" i="25"/>
  <c r="C19" i="25"/>
  <c r="I18" i="25"/>
  <c r="H18" i="25"/>
  <c r="G18" i="25"/>
  <c r="F18" i="25"/>
  <c r="E18" i="25"/>
  <c r="D18" i="25"/>
  <c r="C18" i="25"/>
  <c r="I17" i="25"/>
  <c r="H17" i="25"/>
  <c r="G17" i="25"/>
  <c r="F17" i="25"/>
  <c r="E17" i="25"/>
  <c r="D17" i="25"/>
  <c r="C17" i="25"/>
  <c r="I16" i="25"/>
  <c r="H16" i="25"/>
  <c r="G16" i="25"/>
  <c r="F16" i="25"/>
  <c r="E16" i="25"/>
  <c r="D16" i="25"/>
  <c r="C16" i="25"/>
  <c r="I15" i="25"/>
  <c r="H15" i="25"/>
  <c r="G15" i="25"/>
  <c r="F15" i="25"/>
  <c r="E15" i="25"/>
  <c r="D15" i="25"/>
  <c r="C15" i="25"/>
  <c r="I13" i="25"/>
  <c r="H13" i="25"/>
  <c r="G13" i="25"/>
  <c r="F13" i="25"/>
  <c r="E13" i="25"/>
  <c r="D13" i="25"/>
  <c r="C13" i="25"/>
  <c r="I12" i="25"/>
  <c r="H12" i="25"/>
  <c r="G12" i="25"/>
  <c r="F12" i="25"/>
  <c r="E12" i="25"/>
  <c r="D12" i="25"/>
  <c r="C12" i="25"/>
  <c r="B11" i="25"/>
  <c r="I10" i="25"/>
  <c r="H10" i="25"/>
  <c r="G10" i="25"/>
  <c r="F10" i="25"/>
  <c r="E10" i="25"/>
  <c r="D10" i="25"/>
  <c r="C10" i="25"/>
  <c r="I9" i="25"/>
  <c r="H9" i="25"/>
  <c r="G9" i="25"/>
  <c r="F9" i="25"/>
  <c r="E9" i="25"/>
  <c r="D9" i="25"/>
  <c r="C9" i="25"/>
  <c r="I8" i="25"/>
  <c r="H8" i="25"/>
  <c r="G8" i="25"/>
  <c r="F8" i="25"/>
  <c r="E8" i="25"/>
  <c r="D8" i="25"/>
  <c r="C8" i="25"/>
  <c r="I7" i="25"/>
  <c r="H7" i="25"/>
  <c r="G7" i="25"/>
  <c r="F7" i="25"/>
  <c r="E7" i="25"/>
  <c r="D7" i="25"/>
  <c r="C7" i="25"/>
  <c r="I6" i="25"/>
  <c r="H6" i="25"/>
  <c r="G6" i="25"/>
  <c r="F6" i="25"/>
  <c r="E6" i="25"/>
  <c r="D6" i="25"/>
  <c r="C6" i="25"/>
  <c r="B6" i="25" s="1"/>
  <c r="I5" i="25"/>
  <c r="H5" i="25"/>
  <c r="G5" i="25"/>
  <c r="F5" i="25"/>
  <c r="E5" i="25"/>
  <c r="D5" i="25"/>
  <c r="C5" i="25"/>
  <c r="B5" i="25" s="1"/>
  <c r="I4" i="25"/>
  <c r="H4" i="25"/>
  <c r="G4" i="25"/>
  <c r="F4" i="25"/>
  <c r="E4" i="25"/>
  <c r="D4" i="25"/>
  <c r="C4" i="25"/>
  <c r="B4" i="25" s="1"/>
  <c r="I3" i="25"/>
  <c r="H3" i="25"/>
  <c r="G3" i="25"/>
  <c r="F3" i="25"/>
  <c r="E3" i="25"/>
  <c r="D3" i="25"/>
  <c r="C3" i="25"/>
  <c r="B3" i="25" s="1"/>
  <c r="I2" i="25"/>
  <c r="H2" i="25"/>
  <c r="G2" i="25"/>
  <c r="F2" i="25"/>
  <c r="E2" i="25"/>
  <c r="D2" i="25"/>
  <c r="C2" i="25"/>
  <c r="B2" i="25" s="1"/>
  <c r="I47" i="24"/>
  <c r="H47" i="24"/>
  <c r="G47" i="24"/>
  <c r="F47" i="24"/>
  <c r="E47" i="24"/>
  <c r="D47" i="24"/>
  <c r="C47" i="24"/>
  <c r="B47" i="24" s="1"/>
  <c r="I46" i="24"/>
  <c r="H46" i="24"/>
  <c r="G46" i="24"/>
  <c r="F46" i="24"/>
  <c r="E46" i="24"/>
  <c r="D46" i="24"/>
  <c r="C46" i="24"/>
  <c r="B46" i="24" s="1"/>
  <c r="I45" i="24"/>
  <c r="H45" i="24"/>
  <c r="G45" i="24"/>
  <c r="F45" i="24"/>
  <c r="E45" i="24"/>
  <c r="D45" i="24"/>
  <c r="C45" i="24"/>
  <c r="B45" i="24" s="1"/>
  <c r="I44" i="24"/>
  <c r="H44" i="24"/>
  <c r="G44" i="24"/>
  <c r="F44" i="24"/>
  <c r="E44" i="24"/>
  <c r="D44" i="24"/>
  <c r="C44" i="24"/>
  <c r="B44" i="24" s="1"/>
  <c r="I43" i="24"/>
  <c r="H43" i="24"/>
  <c r="G43" i="24"/>
  <c r="F43" i="24"/>
  <c r="E43" i="24"/>
  <c r="D43" i="24"/>
  <c r="C43" i="24"/>
  <c r="B43" i="24" s="1"/>
  <c r="I42" i="24"/>
  <c r="H42" i="24"/>
  <c r="G42" i="24"/>
  <c r="F42" i="24"/>
  <c r="E42" i="24"/>
  <c r="D42" i="24"/>
  <c r="C42" i="24"/>
  <c r="B42" i="24" s="1"/>
  <c r="I41" i="24"/>
  <c r="H41" i="24"/>
  <c r="G41" i="24"/>
  <c r="F41" i="24"/>
  <c r="E41" i="24"/>
  <c r="D41" i="24"/>
  <c r="C41" i="24"/>
  <c r="B41" i="24" s="1"/>
  <c r="I40" i="24"/>
  <c r="H40" i="24"/>
  <c r="G40" i="24"/>
  <c r="F40" i="24"/>
  <c r="E40" i="24"/>
  <c r="D40" i="24"/>
  <c r="C40" i="24"/>
  <c r="B40" i="24" s="1"/>
  <c r="I39" i="24"/>
  <c r="H39" i="24"/>
  <c r="G39" i="24"/>
  <c r="F39" i="24"/>
  <c r="E39" i="24"/>
  <c r="D39" i="24"/>
  <c r="C39" i="24"/>
  <c r="I38" i="24"/>
  <c r="H38" i="24"/>
  <c r="G38" i="24"/>
  <c r="F38" i="24"/>
  <c r="E38" i="24"/>
  <c r="D38" i="24"/>
  <c r="C38" i="24"/>
  <c r="I37" i="24"/>
  <c r="H37" i="24"/>
  <c r="G37" i="24"/>
  <c r="F37" i="24"/>
  <c r="E37" i="24"/>
  <c r="D37" i="24"/>
  <c r="C37" i="24"/>
  <c r="I36" i="24"/>
  <c r="H36" i="24"/>
  <c r="G36" i="24"/>
  <c r="F36" i="24"/>
  <c r="E36" i="24"/>
  <c r="D36" i="24"/>
  <c r="C36" i="24"/>
  <c r="I35" i="24"/>
  <c r="H35" i="24"/>
  <c r="G35" i="24"/>
  <c r="F35" i="24"/>
  <c r="E35" i="24"/>
  <c r="D35" i="24"/>
  <c r="C35" i="24"/>
  <c r="I34" i="24"/>
  <c r="H34" i="24"/>
  <c r="G34" i="24"/>
  <c r="F34" i="24"/>
  <c r="E34" i="24"/>
  <c r="D34" i="24"/>
  <c r="C34" i="24"/>
  <c r="I33" i="24"/>
  <c r="H33" i="24"/>
  <c r="G33" i="24"/>
  <c r="F33" i="24"/>
  <c r="E33" i="24"/>
  <c r="D33" i="24"/>
  <c r="C33" i="24"/>
  <c r="I32" i="24"/>
  <c r="H32" i="24"/>
  <c r="G32" i="24"/>
  <c r="F32" i="24"/>
  <c r="E32" i="24"/>
  <c r="D32" i="24"/>
  <c r="C32" i="24"/>
  <c r="I31" i="24"/>
  <c r="H31" i="24"/>
  <c r="G31" i="24"/>
  <c r="F31" i="24"/>
  <c r="E31" i="24"/>
  <c r="D31" i="24"/>
  <c r="C31" i="24"/>
  <c r="I30" i="24"/>
  <c r="H30" i="24"/>
  <c r="G30" i="24"/>
  <c r="F30" i="24"/>
  <c r="E30" i="24"/>
  <c r="D30" i="24"/>
  <c r="C30" i="24"/>
  <c r="I29" i="24"/>
  <c r="H29" i="24"/>
  <c r="G29" i="24"/>
  <c r="F29" i="24"/>
  <c r="E29" i="24"/>
  <c r="D29" i="24"/>
  <c r="C29" i="24"/>
  <c r="I28" i="24"/>
  <c r="H28" i="24"/>
  <c r="G28" i="24"/>
  <c r="F28" i="24"/>
  <c r="E28" i="24"/>
  <c r="D28" i="24"/>
  <c r="C28" i="24"/>
  <c r="B28" i="24" s="1"/>
  <c r="I27" i="24"/>
  <c r="H27" i="24"/>
  <c r="G27" i="24"/>
  <c r="F27" i="24"/>
  <c r="E27" i="24"/>
  <c r="D27" i="24"/>
  <c r="C27" i="24"/>
  <c r="B27" i="24" s="1"/>
  <c r="I26" i="24"/>
  <c r="H26" i="24"/>
  <c r="G26" i="24"/>
  <c r="F26" i="24"/>
  <c r="E26" i="24"/>
  <c r="D26" i="24"/>
  <c r="C26" i="24"/>
  <c r="B26" i="24" s="1"/>
  <c r="I25" i="24"/>
  <c r="H25" i="24"/>
  <c r="G25" i="24"/>
  <c r="F25" i="24"/>
  <c r="E25" i="24"/>
  <c r="D25" i="24"/>
  <c r="C25" i="24"/>
  <c r="B25" i="24" s="1"/>
  <c r="I24" i="24"/>
  <c r="H24" i="24"/>
  <c r="G24" i="24"/>
  <c r="F24" i="24"/>
  <c r="E24" i="24"/>
  <c r="D24" i="24"/>
  <c r="C24" i="24"/>
  <c r="B24" i="24" s="1"/>
  <c r="I23" i="24"/>
  <c r="H23" i="24"/>
  <c r="G23" i="24"/>
  <c r="F23" i="24"/>
  <c r="E23" i="24"/>
  <c r="D23" i="24"/>
  <c r="C23" i="24"/>
  <c r="B23" i="24" s="1"/>
  <c r="I22" i="24"/>
  <c r="H22" i="24"/>
  <c r="G22" i="24"/>
  <c r="F22" i="24"/>
  <c r="E22" i="24"/>
  <c r="D22" i="24"/>
  <c r="C22" i="24"/>
  <c r="B22" i="24" s="1"/>
  <c r="I21" i="24"/>
  <c r="H21" i="24"/>
  <c r="G21" i="24"/>
  <c r="F21" i="24"/>
  <c r="E21" i="24"/>
  <c r="D21" i="24"/>
  <c r="C21" i="24"/>
  <c r="B21" i="24" s="1"/>
  <c r="I20" i="24"/>
  <c r="H20" i="24"/>
  <c r="G20" i="24"/>
  <c r="F20" i="24"/>
  <c r="E20" i="24"/>
  <c r="D20" i="24"/>
  <c r="C20" i="24"/>
  <c r="B20" i="24" s="1"/>
  <c r="I19" i="24"/>
  <c r="H19" i="24"/>
  <c r="G19" i="24"/>
  <c r="F19" i="24"/>
  <c r="E19" i="24"/>
  <c r="D19" i="24"/>
  <c r="C19" i="24"/>
  <c r="B19" i="24" s="1"/>
  <c r="I18" i="24"/>
  <c r="H18" i="24"/>
  <c r="G18" i="24"/>
  <c r="F18" i="24"/>
  <c r="E18" i="24"/>
  <c r="D18" i="24"/>
  <c r="C18" i="24"/>
  <c r="B18" i="24" s="1"/>
  <c r="I17" i="24"/>
  <c r="H17" i="24"/>
  <c r="G17" i="24"/>
  <c r="F17" i="24"/>
  <c r="E17" i="24"/>
  <c r="D17" i="24"/>
  <c r="C17" i="24"/>
  <c r="B17" i="24" s="1"/>
  <c r="I16" i="24"/>
  <c r="H16" i="24"/>
  <c r="G16" i="24"/>
  <c r="F16" i="24"/>
  <c r="E16" i="24"/>
  <c r="D16" i="24"/>
  <c r="C16" i="24"/>
  <c r="B16" i="24" s="1"/>
  <c r="I15" i="24"/>
  <c r="H15" i="24"/>
  <c r="G15" i="24"/>
  <c r="F15" i="24"/>
  <c r="E15" i="24"/>
  <c r="D15" i="24"/>
  <c r="C15" i="24"/>
  <c r="B15" i="24" s="1"/>
  <c r="I14" i="24"/>
  <c r="I14" i="21" s="1"/>
  <c r="H14" i="24"/>
  <c r="H14" i="21" s="1"/>
  <c r="G14" i="24"/>
  <c r="G14" i="21" s="1"/>
  <c r="F14" i="24"/>
  <c r="F14" i="21" s="1"/>
  <c r="E14" i="24"/>
  <c r="E14" i="21" s="1"/>
  <c r="D14" i="24"/>
  <c r="D14" i="21" s="1"/>
  <c r="C14" i="24"/>
  <c r="I13" i="24"/>
  <c r="H13" i="24"/>
  <c r="G13" i="24"/>
  <c r="F13" i="24"/>
  <c r="E13" i="24"/>
  <c r="D13" i="24"/>
  <c r="C13" i="24"/>
  <c r="B13" i="24" s="1"/>
  <c r="I12" i="24"/>
  <c r="H12" i="24"/>
  <c r="G12" i="24"/>
  <c r="F12" i="24"/>
  <c r="E12" i="24"/>
  <c r="D12" i="24"/>
  <c r="C12" i="24"/>
  <c r="B12" i="24" s="1"/>
  <c r="I11" i="24"/>
  <c r="I11" i="21" s="1"/>
  <c r="H11" i="24"/>
  <c r="H11" i="21" s="1"/>
  <c r="G11" i="24"/>
  <c r="G11" i="21" s="1"/>
  <c r="F11" i="24"/>
  <c r="F11" i="21" s="1"/>
  <c r="E11" i="24"/>
  <c r="E11" i="21" s="1"/>
  <c r="D11" i="24"/>
  <c r="D11" i="21" s="1"/>
  <c r="C11" i="24"/>
  <c r="I10" i="24"/>
  <c r="H10" i="24"/>
  <c r="G10" i="24"/>
  <c r="F10" i="24"/>
  <c r="E10" i="24"/>
  <c r="D10" i="24"/>
  <c r="C10" i="24"/>
  <c r="B10" i="24" s="1"/>
  <c r="I9" i="24"/>
  <c r="H9" i="24"/>
  <c r="G9" i="24"/>
  <c r="F9" i="24"/>
  <c r="E9" i="24"/>
  <c r="D9" i="24"/>
  <c r="C9" i="24"/>
  <c r="B9" i="24" s="1"/>
  <c r="I8" i="24"/>
  <c r="H8" i="24"/>
  <c r="G8" i="24"/>
  <c r="F8" i="24"/>
  <c r="E8" i="24"/>
  <c r="D8" i="24"/>
  <c r="C8" i="24"/>
  <c r="B8" i="24" s="1"/>
  <c r="I7" i="24"/>
  <c r="H7" i="24"/>
  <c r="G7" i="24"/>
  <c r="F7" i="24"/>
  <c r="E7" i="24"/>
  <c r="D7" i="24"/>
  <c r="C7" i="24"/>
  <c r="B7" i="24" s="1"/>
  <c r="I6" i="24"/>
  <c r="H6" i="24"/>
  <c r="G6" i="24"/>
  <c r="F6" i="24"/>
  <c r="E6" i="24"/>
  <c r="D6" i="24"/>
  <c r="C6" i="24"/>
  <c r="B6" i="24" s="1"/>
  <c r="I5" i="24"/>
  <c r="H5" i="24"/>
  <c r="G5" i="24"/>
  <c r="F5" i="24"/>
  <c r="E5" i="24"/>
  <c r="D5" i="24"/>
  <c r="C5" i="24"/>
  <c r="B5" i="24" s="1"/>
  <c r="I4" i="24"/>
  <c r="H4" i="24"/>
  <c r="G4" i="24"/>
  <c r="F4" i="24"/>
  <c r="E4" i="24"/>
  <c r="D4" i="24"/>
  <c r="C4" i="24"/>
  <c r="B4" i="24" s="1"/>
  <c r="I3" i="24"/>
  <c r="H3" i="24"/>
  <c r="G3" i="24"/>
  <c r="F3" i="24"/>
  <c r="E3" i="24"/>
  <c r="D3" i="24"/>
  <c r="C3" i="24"/>
  <c r="B3" i="24" s="1"/>
  <c r="I2" i="24"/>
  <c r="H2" i="24"/>
  <c r="G2" i="24"/>
  <c r="F2" i="24"/>
  <c r="E2" i="24"/>
  <c r="D2" i="24"/>
  <c r="C2" i="24"/>
  <c r="B2" i="24" s="1"/>
  <c r="C8" i="21" l="1"/>
  <c r="C9" i="21"/>
  <c r="D10" i="21"/>
  <c r="D12" i="21"/>
  <c r="F15" i="21"/>
  <c r="G16" i="21"/>
  <c r="D9" i="21"/>
  <c r="E10" i="21"/>
  <c r="E13" i="21"/>
  <c r="E12" i="21"/>
  <c r="F13" i="21"/>
  <c r="G15" i="21"/>
  <c r="H16" i="21"/>
  <c r="B31" i="24"/>
  <c r="B32" i="24"/>
  <c r="I8" i="21"/>
  <c r="D13" i="21"/>
  <c r="E15" i="21"/>
  <c r="F16" i="21"/>
  <c r="B29" i="24"/>
  <c r="B37" i="24"/>
  <c r="D8" i="21"/>
  <c r="E9" i="21"/>
  <c r="F10" i="21"/>
  <c r="F12" i="21"/>
  <c r="G13" i="21"/>
  <c r="H15" i="21"/>
  <c r="I16" i="21"/>
  <c r="B36" i="24"/>
  <c r="E8" i="21"/>
  <c r="F9" i="21"/>
  <c r="G10" i="21"/>
  <c r="G12" i="21"/>
  <c r="H13" i="21"/>
  <c r="I15" i="21"/>
  <c r="B39" i="24"/>
  <c r="B14" i="24"/>
  <c r="C14" i="21"/>
  <c r="B38" i="24"/>
  <c r="B11" i="24"/>
  <c r="C11" i="21"/>
  <c r="B35" i="24"/>
  <c r="F8" i="21"/>
  <c r="G9" i="21"/>
  <c r="H10" i="21"/>
  <c r="H12" i="21"/>
  <c r="I13" i="21"/>
  <c r="B30" i="24"/>
  <c r="B34" i="24"/>
  <c r="G8" i="21"/>
  <c r="H9" i="21"/>
  <c r="I10" i="21"/>
  <c r="I12" i="21"/>
  <c r="D16" i="21"/>
  <c r="B33" i="24"/>
  <c r="H8" i="21"/>
  <c r="I9" i="21"/>
  <c r="D15" i="21"/>
  <c r="E16" i="21"/>
  <c r="B7" i="25"/>
  <c r="B8" i="25"/>
  <c r="B8" i="21" s="1"/>
  <c r="B9" i="25"/>
  <c r="B9" i="21" s="1"/>
  <c r="D7" i="21"/>
  <c r="B19" i="25"/>
  <c r="B27" i="25"/>
  <c r="B21" i="25"/>
  <c r="B18" i="25"/>
  <c r="B26" i="25"/>
  <c r="B10" i="25"/>
  <c r="B10" i="21" s="1"/>
  <c r="C10" i="21"/>
  <c r="C7" i="21"/>
  <c r="F7" i="21"/>
  <c r="B17" i="25"/>
  <c r="B25" i="25"/>
  <c r="B12" i="25"/>
  <c r="B12" i="21" s="1"/>
  <c r="C12" i="21"/>
  <c r="B28" i="25"/>
  <c r="G7" i="21"/>
  <c r="B16" i="25"/>
  <c r="B16" i="21" s="1"/>
  <c r="C16" i="21"/>
  <c r="B24" i="25"/>
  <c r="H7" i="21"/>
  <c r="B15" i="25"/>
  <c r="B15" i="21" s="1"/>
  <c r="C15" i="21"/>
  <c r="B23" i="25"/>
  <c r="B20" i="25"/>
  <c r="E7" i="21"/>
  <c r="I7" i="21"/>
  <c r="B13" i="25"/>
  <c r="B13" i="21" s="1"/>
  <c r="C13" i="21"/>
  <c r="B22" i="25"/>
  <c r="C12" i="15"/>
  <c r="B14" i="21" l="1"/>
  <c r="B11" i="21"/>
  <c r="B7" i="21"/>
  <c r="D12" i="15"/>
  <c r="C52" i="12" l="1"/>
  <c r="C76" i="12"/>
  <c r="C75" i="12"/>
  <c r="C74" i="12"/>
  <c r="C73" i="12"/>
  <c r="C72" i="12"/>
  <c r="C71" i="12"/>
  <c r="C70" i="12"/>
  <c r="C69" i="12"/>
  <c r="C68" i="12"/>
  <c r="C67" i="12"/>
  <c r="C66" i="12"/>
  <c r="C65" i="12"/>
  <c r="C64" i="12"/>
  <c r="C63" i="12"/>
  <c r="C62" i="12"/>
  <c r="C61" i="12"/>
  <c r="C60" i="12"/>
  <c r="C59" i="12"/>
  <c r="C58" i="12"/>
  <c r="C57" i="12"/>
  <c r="C56" i="12"/>
  <c r="C55" i="12"/>
  <c r="C54" i="12"/>
  <c r="C53" i="12"/>
  <c r="C76" i="14"/>
  <c r="C75" i="14"/>
  <c r="C74" i="14"/>
  <c r="C73" i="14"/>
  <c r="C72" i="14"/>
  <c r="C71" i="14"/>
  <c r="C70" i="14"/>
  <c r="C69" i="14"/>
  <c r="C68" i="14"/>
  <c r="C67" i="14"/>
  <c r="C66" i="14"/>
  <c r="C65" i="14"/>
  <c r="C64" i="14"/>
  <c r="C63" i="14"/>
  <c r="C62" i="14"/>
  <c r="C61" i="14"/>
  <c r="C60" i="14"/>
  <c r="C59" i="14"/>
  <c r="C58" i="14"/>
  <c r="C57" i="14"/>
  <c r="C56" i="14"/>
  <c r="C55" i="14"/>
  <c r="C54" i="14"/>
  <c r="D76" i="15"/>
  <c r="D75" i="15"/>
  <c r="D74" i="15"/>
  <c r="D73" i="15"/>
  <c r="D72" i="15"/>
  <c r="D71" i="15"/>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5" i="15"/>
  <c r="D34" i="15"/>
  <c r="D33" i="15"/>
  <c r="D32" i="15"/>
  <c r="D31" i="15"/>
  <c r="D30" i="15"/>
  <c r="D29" i="15"/>
  <c r="D28" i="15"/>
  <c r="D3" i="15"/>
  <c r="D27" i="15"/>
  <c r="C50" i="12" l="1"/>
  <c r="C49" i="12"/>
  <c r="C48" i="12"/>
  <c r="C47" i="12"/>
  <c r="C46" i="12"/>
  <c r="E26" i="21" l="1"/>
  <c r="C26" i="21"/>
  <c r="I26" i="21"/>
  <c r="F26" i="21"/>
  <c r="G26" i="21"/>
  <c r="D26" i="21"/>
  <c r="H26" i="21"/>
  <c r="B26" i="21"/>
  <c r="D24" i="21"/>
  <c r="E24" i="21"/>
  <c r="I24" i="21"/>
  <c r="H24" i="21"/>
  <c r="F24" i="21"/>
  <c r="G24" i="21"/>
  <c r="C24" i="21"/>
  <c r="B24" i="21"/>
  <c r="F22" i="21"/>
  <c r="D22" i="21"/>
  <c r="E22" i="21"/>
  <c r="C22" i="21"/>
  <c r="H22" i="21"/>
  <c r="G22" i="21"/>
  <c r="I22" i="21"/>
  <c r="B22" i="21"/>
  <c r="F30" i="21"/>
  <c r="H30" i="21"/>
  <c r="G30" i="21"/>
  <c r="I30" i="21"/>
  <c r="D30" i="21"/>
  <c r="E30" i="21"/>
  <c r="C30" i="21"/>
  <c r="B30" i="21"/>
  <c r="D34" i="21"/>
  <c r="E34" i="21"/>
  <c r="F34" i="21"/>
  <c r="G34" i="21"/>
  <c r="H34" i="21"/>
  <c r="C34" i="21"/>
  <c r="I34" i="21"/>
  <c r="B34" i="21"/>
  <c r="D29" i="21"/>
  <c r="E29" i="21"/>
  <c r="F29" i="21"/>
  <c r="G29" i="21"/>
  <c r="H29" i="21"/>
  <c r="I29" i="21"/>
  <c r="C29" i="21"/>
  <c r="B29" i="21"/>
  <c r="F31" i="21"/>
  <c r="D31" i="21"/>
  <c r="E31" i="21"/>
  <c r="G31" i="21"/>
  <c r="H31" i="21"/>
  <c r="C31" i="21"/>
  <c r="I31" i="21"/>
  <c r="B31" i="21"/>
  <c r="D17" i="22"/>
  <c r="B17" i="22"/>
  <c r="C17" i="22"/>
  <c r="H17" i="21"/>
  <c r="D17" i="21"/>
  <c r="C17" i="21"/>
  <c r="I17" i="21"/>
  <c r="G17" i="21"/>
  <c r="E17" i="21"/>
  <c r="F17" i="21"/>
  <c r="B17" i="21"/>
  <c r="B32" i="22"/>
  <c r="C32" i="22"/>
  <c r="I32" i="21"/>
  <c r="C32" i="21"/>
  <c r="H32" i="21"/>
  <c r="D32" i="21"/>
  <c r="E32" i="21"/>
  <c r="G32" i="21"/>
  <c r="F32" i="21"/>
  <c r="B32" i="21"/>
  <c r="B27" i="22"/>
  <c r="D27" i="22"/>
  <c r="C27" i="22"/>
  <c r="E27" i="21"/>
  <c r="F27" i="21"/>
  <c r="I27" i="21"/>
  <c r="C27" i="21"/>
  <c r="D27" i="21"/>
  <c r="G27" i="21"/>
  <c r="H27" i="21"/>
  <c r="B27" i="21"/>
  <c r="D20" i="21"/>
  <c r="E20" i="21"/>
  <c r="F20" i="21"/>
  <c r="C20" i="21"/>
  <c r="G20" i="21"/>
  <c r="H20" i="21"/>
  <c r="I20" i="21"/>
  <c r="B20" i="21"/>
  <c r="E25" i="21"/>
  <c r="F25" i="21"/>
  <c r="I25" i="21"/>
  <c r="G25" i="21"/>
  <c r="C25" i="21"/>
  <c r="D25" i="21"/>
  <c r="H25" i="21"/>
  <c r="B25" i="21"/>
  <c r="D23" i="21"/>
  <c r="G23" i="21"/>
  <c r="E23" i="21"/>
  <c r="C23" i="21"/>
  <c r="F23" i="21"/>
  <c r="H23" i="21"/>
  <c r="I23" i="21"/>
  <c r="B23" i="21"/>
  <c r="E18" i="21"/>
  <c r="H18" i="21"/>
  <c r="D18" i="21"/>
  <c r="C18" i="21"/>
  <c r="F18" i="21"/>
  <c r="G18" i="21"/>
  <c r="I18" i="21"/>
  <c r="B18" i="21"/>
  <c r="D19" i="21"/>
  <c r="E19" i="21"/>
  <c r="F19" i="21"/>
  <c r="C19" i="21"/>
  <c r="G19" i="21"/>
  <c r="H19" i="21"/>
  <c r="I19" i="21"/>
  <c r="B19" i="21"/>
  <c r="D21" i="21"/>
  <c r="I21" i="21"/>
  <c r="H21" i="21"/>
  <c r="F21" i="21"/>
  <c r="E21" i="21"/>
  <c r="G21" i="21"/>
  <c r="C21" i="21"/>
  <c r="B21" i="21"/>
  <c r="I33" i="21"/>
  <c r="H33" i="21"/>
  <c r="G33" i="21"/>
  <c r="D33" i="21"/>
  <c r="C33" i="21"/>
  <c r="E33" i="21"/>
  <c r="F33" i="21"/>
  <c r="B33" i="21"/>
  <c r="E28" i="21"/>
  <c r="F28" i="21"/>
  <c r="H28" i="21"/>
  <c r="I28" i="21"/>
  <c r="G28" i="21"/>
  <c r="C28" i="21"/>
  <c r="D28" i="21"/>
  <c r="B28"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75E8BD04-760E-454F-AD99-760686DA96F2}">
      <text>
        <r>
          <rPr>
            <sz val="9"/>
            <color indexed="81"/>
            <rFont val="Tahoma"/>
            <family val="2"/>
          </rPr>
          <t xml:space="preserve">Annuaire statistique de la France, Institut National de la Statistique et des Études Économiques, Paris
&gt; From 1983 onwards, glass statistics are carried out by the ministère du redéploiement industriel et du commerce extérieur (SESSI) and no longer by INSEE. </t>
        </r>
      </text>
    </comment>
    <comment ref="C1" authorId="0" shapeId="0" xr:uid="{8EA8309A-41BA-426D-8E4B-34EA2148747F}">
      <text>
        <r>
          <rPr>
            <sz val="9"/>
            <color indexed="81"/>
            <rFont val="Tahoma"/>
            <family val="2"/>
          </rPr>
          <t>Unless otherwise indicated in a note attached to the cell, all data collected in this column comes from:
Production industrielle: industrie du verre, Service des études et des statistiques industrielles, 1989-2004</t>
        </r>
      </text>
    </comment>
    <comment ref="D1" authorId="0" shapeId="0" xr:uid="{12DBEB68-99CB-4F75-A0C7-5CB621205367}">
      <text>
        <r>
          <rPr>
            <sz val="9"/>
            <color indexed="81"/>
            <rFont val="Tahoma"/>
            <family val="2"/>
          </rPr>
          <t>Unless otherwise indicated in a note attached to the cell, all data collected in this column comes from:
Production industrielle: industrie du verre, Service des études et des statistiques industrielles, 1989-2004</t>
        </r>
      </text>
    </comment>
    <comment ref="E1" authorId="0" shapeId="0" xr:uid="{0D598D5A-BA5A-4653-A7B1-F6C08B95DCD7}">
      <text>
        <r>
          <rPr>
            <sz val="9"/>
            <color indexed="81"/>
            <rFont val="Tahoma"/>
            <family val="2"/>
          </rPr>
          <t>Unless otherwise indicated in a note attached to the cell, all data collected in this column comes from : 
Annuaire statistique de la France, Ministère des finances et des affaires économiques, Institut national de la statistique et des études économiques, Paris</t>
        </r>
      </text>
    </comment>
    <comment ref="F1" authorId="0" shapeId="0" xr:uid="{F3DBE669-8768-410F-94D2-6DFDC982FCA7}">
      <text>
        <r>
          <rPr>
            <sz val="9"/>
            <color indexed="81"/>
            <rFont val="Tahoma"/>
            <family val="2"/>
          </rPr>
          <t>Unless otherwise indicated in a note attached to the cell, all data collected in this column comes from : 
Annuaire statistique de la France, Ministère des finances et des affaires économiques, Institut national de la statistique et des études économiques, Paris</t>
        </r>
      </text>
    </comment>
    <comment ref="G1" authorId="0" shapeId="0" xr:uid="{D2CCEDE9-3A26-441F-9D94-339DCE354FEA}">
      <text>
        <r>
          <rPr>
            <sz val="9"/>
            <color indexed="81"/>
            <rFont val="Tahoma"/>
            <family val="2"/>
          </rPr>
          <t>Unless otherwise indicated in a note attached to the cell, all data collected in this column comes from : 
Annuaire statistique de la France, Ministère des finances et des affaires économiques, Institut national de la statistique et des études économiques, Paris</t>
        </r>
      </text>
    </comment>
    <comment ref="H1" authorId="0" shapeId="0" xr:uid="{1B104F82-12B6-4582-A918-5B5A7D0EB6C0}">
      <text>
        <r>
          <rPr>
            <sz val="9"/>
            <color indexed="81"/>
            <rFont val="Tahoma"/>
            <family val="2"/>
          </rPr>
          <t>Unless otherwise indicated in a note attached to the cell, all data collected in this column comes from : 
Annuaire statistique de la France, Ministère des finances et des affaires économiques, Institut national de la statistique et des études économiques, Paris</t>
        </r>
      </text>
    </comment>
    <comment ref="I1" authorId="0" shapeId="0" xr:uid="{2736D11C-921C-4ABB-8892-8F365EEE040A}">
      <text>
        <r>
          <rPr>
            <sz val="9"/>
            <color indexed="81"/>
            <rFont val="Tahoma"/>
            <family val="2"/>
          </rPr>
          <t>Unless otherwise indicated in a note attached to the cell, all data collected in this column comes from : 
Annuaire statistique de la France, Ministère des finances et des affaires économiques, Institut national de la statistique et des études économiques, Paris</t>
        </r>
      </text>
    </comment>
    <comment ref="J1" authorId="0" shapeId="0" xr:uid="{36ADFC80-462A-4A5D-AE14-9584435A3B3D}">
      <text>
        <r>
          <rPr>
            <sz val="9"/>
            <color indexed="81"/>
            <rFont val="Tahoma"/>
            <family val="2"/>
          </rPr>
          <t>Unless otherwise indicated in a note attached to the cell, all data collected in this column comes from : 
Annuaire statistique de la France, Ministère des finances et des affaires économiques, Institut national de la statistique et des études économiques, Paris</t>
        </r>
      </text>
    </comment>
    <comment ref="K1" authorId="0" shapeId="0" xr:uid="{84F65559-3FBF-408A-921B-4DCC6E88FB8B}">
      <text>
        <r>
          <rPr>
            <sz val="9"/>
            <color indexed="81"/>
            <rFont val="Tahoma"/>
            <family val="2"/>
          </rPr>
          <t>Unless otherwise indicated in a note attached to the cell, all data collected in this column comes from : 
Boaglio, p. 144-5</t>
        </r>
      </text>
    </comment>
    <comment ref="L1" authorId="0" shapeId="0" xr:uid="{EAEC846C-4FAD-4676-AA10-41294F348C43}">
      <text>
        <r>
          <rPr>
            <sz val="9"/>
            <color indexed="81"/>
            <rFont val="Tahoma"/>
            <family val="2"/>
          </rPr>
          <t>Unless otherwise indicated in a note attached to the cell, all data collected in this column comes from : 
Boaglio, p. 166</t>
        </r>
      </text>
    </comment>
    <comment ref="B2" authorId="0" shapeId="0" xr:uid="{0293606E-63EC-430D-B837-DEA79A998F2C}">
      <text>
        <r>
          <rPr>
            <sz val="9"/>
            <color indexed="81"/>
            <rFont val="Tahoma"/>
            <family val="2"/>
          </rPr>
          <t>Annuaire statistique de la France, 1961, Institut National de la Statistique et des Études Économiques, Paris, 1962, vol66, no8, p. 145</t>
        </r>
      </text>
    </comment>
    <comment ref="B3" authorId="0" shapeId="0" xr:uid="{CFF53947-859E-4D1D-A40F-DAC5F83467FC}">
      <text>
        <r>
          <rPr>
            <sz val="9"/>
            <color indexed="81"/>
            <rFont val="Tahoma"/>
            <family val="2"/>
          </rPr>
          <t>Annuaire statistique de la France, 1961, Institut National de la Statistique et des Études Économiques, Paris, 1962, vol66, no8, p. 145</t>
        </r>
      </text>
    </comment>
    <comment ref="C3" authorId="0" shapeId="0" xr:uid="{B5E4E444-EE96-4E94-ADDD-B7C40FCFAB07}">
      <text>
        <r>
          <rPr>
            <sz val="9"/>
            <color indexed="81"/>
            <rFont val="Tahoma"/>
            <family val="2"/>
          </rPr>
          <t xml:space="preserve">Production of the first insulated glazing
</t>
        </r>
      </text>
    </comment>
    <comment ref="B4" authorId="0" shapeId="0" xr:uid="{848C10C8-353A-46AC-9D2A-EBE1DC38168B}">
      <text>
        <r>
          <rPr>
            <sz val="9"/>
            <color indexed="81"/>
            <rFont val="Tahoma"/>
            <family val="2"/>
          </rPr>
          <t>Annuaire statistique de la France, 1961, Institut National de la Statistique et des Études Économiques, Paris, 1962, vol66, no8, p. 145</t>
        </r>
      </text>
    </comment>
    <comment ref="B5" authorId="0" shapeId="0" xr:uid="{29B804DD-1BCF-48BE-83E2-E21EB35E03F8}">
      <text>
        <r>
          <rPr>
            <sz val="9"/>
            <color indexed="81"/>
            <rFont val="Tahoma"/>
            <family val="2"/>
          </rPr>
          <t>Annuaire statistique de la France, 1961, Institut National de la Statistique et des Études Économiques, Paris, 1962, vol66, no8, p. 145</t>
        </r>
      </text>
    </comment>
    <comment ref="B6" authorId="0" shapeId="0" xr:uid="{B75D1CE4-787F-445E-9B66-93A1A421D96E}">
      <text>
        <r>
          <rPr>
            <sz val="9"/>
            <color indexed="81"/>
            <rFont val="Tahoma"/>
            <family val="2"/>
          </rPr>
          <t>Annuaire statistique de la France, 1961, Institut National de la Statistique et des Études Économiques, Paris, 1962, vol66, no8, p. 145</t>
        </r>
      </text>
    </comment>
    <comment ref="B7" authorId="0" shapeId="0" xr:uid="{E6ADE2F2-68BD-482F-A8E1-ACA6EE01C524}">
      <text>
        <r>
          <rPr>
            <sz val="9"/>
            <color indexed="81"/>
            <rFont val="Tahoma"/>
            <family val="2"/>
          </rPr>
          <t>Annuaire statistique de la France, 1961, Institut National de la Statistique et des Études Économiques, Paris, 1962, vol66, no8, p. 145</t>
        </r>
      </text>
    </comment>
    <comment ref="E7" authorId="0" shapeId="0" xr:uid="{7E997057-D121-4152-8A33-3F7E928F2AFF}">
      <text>
        <r>
          <rPr>
            <sz val="9"/>
            <color indexed="81"/>
            <rFont val="Tahoma"/>
            <family val="2"/>
          </rPr>
          <t>L'industrie du verre, Fédération des chambres syndicales de l'industrie du verre, 1954, p.39</t>
        </r>
      </text>
    </comment>
    <comment ref="G7" authorId="0" shapeId="0" xr:uid="{AFD212C6-563A-4D98-B6DD-879A9EC3EB8C}">
      <text>
        <r>
          <rPr>
            <sz val="9"/>
            <color indexed="81"/>
            <rFont val="Tahoma"/>
            <family val="2"/>
          </rPr>
          <t>L'industrie du verre, Fédération des chambres syndicales de l'industrie du verre, 1954, p.39</t>
        </r>
      </text>
    </comment>
    <comment ref="I7" authorId="0" shapeId="0" xr:uid="{BF09010B-6EF9-4391-8944-274B839D64BD}">
      <text>
        <r>
          <rPr>
            <sz val="9"/>
            <color indexed="81"/>
            <rFont val="Tahoma"/>
            <family val="2"/>
          </rPr>
          <t>L'industrie du verre, Fédération des chambres syndicales de l'industrie du verre, 1954, p.39</t>
        </r>
      </text>
    </comment>
    <comment ref="B8" authorId="0" shapeId="0" xr:uid="{01BCA292-7A89-4620-B5D8-8BAA059D9302}">
      <text>
        <r>
          <rPr>
            <sz val="9"/>
            <color indexed="81"/>
            <rFont val="Tahoma"/>
            <family val="2"/>
          </rPr>
          <t>Annuaire statistique de la France, 1961, Institut National de la Statistique et des Études Économiques, Paris, 1962, vol66, no8, p. 145</t>
        </r>
      </text>
    </comment>
    <comment ref="E8" authorId="0" shapeId="0" xr:uid="{9A966A45-318B-4373-A578-2CCEECC5725B}">
      <text>
        <r>
          <rPr>
            <sz val="9"/>
            <color indexed="81"/>
            <rFont val="Tahoma"/>
            <family val="2"/>
          </rPr>
          <t>L'industrie du verre, Fédération des chambres syndicales de l'industrie du verre, 1954, p.39</t>
        </r>
      </text>
    </comment>
    <comment ref="G8" authorId="0" shapeId="0" xr:uid="{C92F7886-57AC-4FAE-90C6-D46030201D5F}">
      <text>
        <r>
          <rPr>
            <sz val="9"/>
            <color indexed="81"/>
            <rFont val="Tahoma"/>
            <family val="2"/>
          </rPr>
          <t>L'industrie du verre, Fédération des chambres syndicales de l'industrie du verre, 1954, p.39</t>
        </r>
      </text>
    </comment>
    <comment ref="I8" authorId="0" shapeId="0" xr:uid="{A0D9D7B3-AD61-4EDC-ADF9-CD7D7BE82538}">
      <text>
        <r>
          <rPr>
            <sz val="9"/>
            <color indexed="81"/>
            <rFont val="Tahoma"/>
            <family val="2"/>
          </rPr>
          <t>L'industrie du verre, Fédération des chambres syndicales de l'industrie du verre, 1954, p.39</t>
        </r>
      </text>
    </comment>
    <comment ref="B9" authorId="0" shapeId="0" xr:uid="{2D1B8900-3282-4172-86B2-B956B7EF221D}">
      <text>
        <r>
          <rPr>
            <sz val="9"/>
            <color indexed="81"/>
            <rFont val="Tahoma"/>
            <family val="2"/>
          </rPr>
          <t>Annuaire statistique de la France, 1961, Institut National de la Statistique et des Études Économiques, Paris, 1962, vol66, no8, p. 145</t>
        </r>
      </text>
    </comment>
    <comment ref="E9" authorId="0" shapeId="0" xr:uid="{EF5D5772-6230-4561-B6C5-71CD80A25010}">
      <text>
        <r>
          <rPr>
            <sz val="9"/>
            <color indexed="81"/>
            <rFont val="Tahoma"/>
            <family val="2"/>
          </rPr>
          <t>Annuaire statistique de la France, 1953, Institut National de la Statistique et des Études Économiques, Paris, 1954. p. 156-9</t>
        </r>
      </text>
    </comment>
    <comment ref="G9" authorId="0" shapeId="0" xr:uid="{0A7972E7-E47B-43DF-96FC-D8DF546B80B2}">
      <text>
        <r>
          <rPr>
            <sz val="9"/>
            <color indexed="81"/>
            <rFont val="Tahoma"/>
            <family val="2"/>
          </rPr>
          <t>Annuaire statistique de la France, 1953, Institut National de la Statistique et des Études Économiques, Paris, 1954. p. 156-9</t>
        </r>
      </text>
    </comment>
    <comment ref="I9" authorId="0" shapeId="0" xr:uid="{1E8672AE-9087-4DA6-AA19-35F0393AC967}">
      <text>
        <r>
          <rPr>
            <sz val="9"/>
            <color indexed="81"/>
            <rFont val="Tahoma"/>
            <family val="2"/>
          </rPr>
          <t>Annuaire statistique de la France, 1953, Institut National de la Statistique et des Études Économiques, Paris, 1954. p. 156-9</t>
        </r>
      </text>
    </comment>
    <comment ref="K9" authorId="0" shapeId="0" xr:uid="{4D368F62-462A-42DB-B54B-2B18AC8A1668}">
      <text>
        <r>
          <rPr>
            <sz val="9"/>
            <color indexed="81"/>
            <rFont val="Tahoma"/>
            <family val="2"/>
          </rPr>
          <t>Annuaire statistique de la France, 1953, Institut National de la Statistique et des Études Économiques, Paris, 1954. p. 156-9</t>
        </r>
      </text>
    </comment>
    <comment ref="B10" authorId="0" shapeId="0" xr:uid="{4F594CE4-F201-4C54-885B-04705B497FC9}">
      <text>
        <r>
          <rPr>
            <sz val="9"/>
            <color indexed="81"/>
            <rFont val="Tahoma"/>
            <family val="2"/>
          </rPr>
          <t>Annuaire statistique de la France, 1961, Institut National de la Statistique et des Études Économiques, Paris, 1962, vol66, no8, p. 145</t>
        </r>
      </text>
    </comment>
    <comment ref="E10" authorId="0" shapeId="0" xr:uid="{42002089-E4DF-4182-A31B-8FCE1C94E530}">
      <text>
        <r>
          <rPr>
            <sz val="9"/>
            <color indexed="81"/>
            <rFont val="Tahoma"/>
            <family val="2"/>
          </rPr>
          <t>Annuaire statistique de la France, 1953, Institut National de la Statistique et des Études Économiques, Paris, 1954. p. 156-9</t>
        </r>
      </text>
    </comment>
    <comment ref="G10" authorId="0" shapeId="0" xr:uid="{3821DC5F-F599-44C6-ACAF-3E27FA00B82D}">
      <text>
        <r>
          <rPr>
            <sz val="9"/>
            <color indexed="81"/>
            <rFont val="Tahoma"/>
            <family val="2"/>
          </rPr>
          <t>Annuaire statistique de la France, 1953, Institut National de la Statistique et des Études Économiques, Paris, 1954. p. 156-9</t>
        </r>
      </text>
    </comment>
    <comment ref="I10" authorId="0" shapeId="0" xr:uid="{DC529555-A6E3-4E51-AB2D-832533269304}">
      <text>
        <r>
          <rPr>
            <sz val="9"/>
            <color indexed="81"/>
            <rFont val="Tahoma"/>
            <family val="2"/>
          </rPr>
          <t>Annuaire statistique de la France, 1953, Institut National de la Statistique et des Études Économiques, Paris, 1954. p. 156-9</t>
        </r>
      </text>
    </comment>
    <comment ref="K10" authorId="0" shapeId="0" xr:uid="{6473094A-E0C4-454A-900C-8E3E8B3F5250}">
      <text>
        <r>
          <rPr>
            <sz val="9"/>
            <color indexed="81"/>
            <rFont val="Tahoma"/>
            <family val="2"/>
          </rPr>
          <t>Annuaire statistique de la France, 1953, Institut National de la Statistique et des Études Économiques, Paris, 1954. p. 156-9</t>
        </r>
      </text>
    </comment>
    <comment ref="B11" authorId="0" shapeId="0" xr:uid="{AAFBCA23-B7FB-46AB-AB53-08190AC1EB99}">
      <text>
        <r>
          <rPr>
            <sz val="9"/>
            <color indexed="81"/>
            <rFont val="Tahoma"/>
            <family val="2"/>
          </rPr>
          <t>Annuaire statistique de la France, 1961, Institut National de la Statistique et des Études Économiques, Paris, 1962, vol66, no8, p. 145</t>
        </r>
      </text>
    </comment>
    <comment ref="E11" authorId="0" shapeId="0" xr:uid="{C9BE838C-59F6-4F32-B2A1-695EEC70C15D}">
      <text>
        <r>
          <rPr>
            <sz val="9"/>
            <color indexed="81"/>
            <rFont val="Tahoma"/>
            <family val="2"/>
          </rPr>
          <t>Annuaire statistique de la France, 1954, Institut National de la Statistique et des Études Économiques, Paris, 1955. p. 132-3</t>
        </r>
      </text>
    </comment>
    <comment ref="G11" authorId="0" shapeId="0" xr:uid="{2B678E5F-6FF9-4D5B-A93F-151421382499}">
      <text>
        <r>
          <rPr>
            <sz val="9"/>
            <color indexed="81"/>
            <rFont val="Tahoma"/>
            <family val="2"/>
          </rPr>
          <t>Annuaire statistique de la France, 1954, Institut National de la Statistique et des Études Économiques, Paris, 1955. p. 132-3</t>
        </r>
      </text>
    </comment>
    <comment ref="I11" authorId="0" shapeId="0" xr:uid="{D7D7E024-6D33-4EC1-8CE5-B4D9A13F8DCD}">
      <text>
        <r>
          <rPr>
            <sz val="9"/>
            <color indexed="81"/>
            <rFont val="Tahoma"/>
            <family val="2"/>
          </rPr>
          <t>Annuaire statistique de la France, 1954, Institut National de la Statistique et des Études Économiques, Paris, 1955. p. 132-3</t>
        </r>
      </text>
    </comment>
    <comment ref="K11" authorId="0" shapeId="0" xr:uid="{CC3C20DE-5FD1-4255-A1AA-08D6277F5589}">
      <text>
        <r>
          <rPr>
            <sz val="9"/>
            <color indexed="81"/>
            <rFont val="Tahoma"/>
            <family val="2"/>
          </rPr>
          <t>Annuaire statistique de la France, 1954, Institut National de la Statistique et des Études Économiques, Paris, 1955. p. 132-3</t>
        </r>
      </text>
    </comment>
    <comment ref="B12" authorId="0" shapeId="0" xr:uid="{149C08F9-62CF-41B8-9C7A-C903C4CBD37F}">
      <text>
        <r>
          <rPr>
            <sz val="9"/>
            <color indexed="81"/>
            <rFont val="Tahoma"/>
            <family val="2"/>
          </rPr>
          <t>Annuaire statistique de la France, 1961, Institut National de la Statistique et des Études Économiques, Paris, 1962, vol66, no8, p. 145</t>
        </r>
      </text>
    </comment>
    <comment ref="C12" authorId="0" shapeId="0" xr:uid="{3690CE9E-D22A-4B79-B40F-3BFD4594DE57}">
      <text>
        <r>
          <rPr>
            <sz val="9"/>
            <color indexed="81"/>
            <rFont val="Tahoma"/>
            <family val="2"/>
          </rPr>
          <t>100.000 insulating glass units intalled in Europe in the year 1955. We suppose an average window area of 1.5x1.5m². It represents 2% of the annual production of the year 1970. We generalise this ratio to France and Belgium.</t>
        </r>
      </text>
    </comment>
    <comment ref="E12" authorId="0" shapeId="0" xr:uid="{7D97A9DE-79FC-4646-B96D-33AA13627AAF}">
      <text>
        <r>
          <rPr>
            <sz val="9"/>
            <color indexed="81"/>
            <rFont val="Tahoma"/>
            <family val="2"/>
          </rPr>
          <t>Annuaire statistique de la France, 1956, Institut National de la Statistique et des Études Économiques, Paris, 1957. p. 165-6</t>
        </r>
      </text>
    </comment>
    <comment ref="G12" authorId="0" shapeId="0" xr:uid="{91EB56A3-3E12-42C2-B2B8-23ADB58A3ED5}">
      <text>
        <r>
          <rPr>
            <sz val="9"/>
            <color indexed="81"/>
            <rFont val="Tahoma"/>
            <family val="2"/>
          </rPr>
          <t>Annuaire statistique de la France, 1956, Institut National de la Statistique et des Études Économiques, Paris, 1957. p. 165-6</t>
        </r>
      </text>
    </comment>
    <comment ref="I12" authorId="0" shapeId="0" xr:uid="{33E103DD-2E29-41C2-8ACC-FF00F48BBBB5}">
      <text>
        <r>
          <rPr>
            <sz val="9"/>
            <color indexed="81"/>
            <rFont val="Tahoma"/>
            <family val="2"/>
          </rPr>
          <t>Annuaire statistique de la France, 1956, Institut National de la Statistique et des Études Économiques, Paris, 1957. p. 165-6</t>
        </r>
      </text>
    </comment>
    <comment ref="K12" authorId="0" shapeId="0" xr:uid="{A92CCBFC-3B6B-4927-90AD-A50D1D9EA615}">
      <text>
        <r>
          <rPr>
            <sz val="9"/>
            <color indexed="81"/>
            <rFont val="Tahoma"/>
            <family val="2"/>
          </rPr>
          <t>Annuaire statistique de la France, 1956, Institut National de la Statistique et des Études Économiques, Paris, 1957. p. 165-6</t>
        </r>
      </text>
    </comment>
    <comment ref="B13" authorId="0" shapeId="0" xr:uid="{284D7D64-DF4D-4630-A493-1651D5E9709F}">
      <text>
        <r>
          <rPr>
            <sz val="9"/>
            <color indexed="81"/>
            <rFont val="Tahoma"/>
            <family val="2"/>
          </rPr>
          <t>Annuaire statistique de la France, 1961, Institut National de la Statistique et des Études Économiques, Paris, 1962, vol66, no8, p. 145</t>
        </r>
      </text>
    </comment>
    <comment ref="E13" authorId="0" shapeId="0" xr:uid="{039058EC-1960-41BA-B084-5F13D4C75D0A}">
      <text>
        <r>
          <rPr>
            <sz val="9"/>
            <color indexed="81"/>
            <rFont val="Tahoma"/>
            <family val="2"/>
          </rPr>
          <t>Annuaire statistique de la France, 1957, Institut National de la Statistique et des Études Économiques, Paris, 1958. p. 147-8</t>
        </r>
      </text>
    </comment>
    <comment ref="G13" authorId="0" shapeId="0" xr:uid="{65F0593A-2435-46DC-8172-A008A5687B9E}">
      <text>
        <r>
          <rPr>
            <sz val="9"/>
            <color indexed="81"/>
            <rFont val="Tahoma"/>
            <family val="2"/>
          </rPr>
          <t>Annuaire statistique de la France, 1957, Institut National de la Statistique et des Études Économiques, Paris, 1958. p. 147-8</t>
        </r>
      </text>
    </comment>
    <comment ref="I13" authorId="0" shapeId="0" xr:uid="{959AA8D3-9143-47D8-9024-FEE9557597BB}">
      <text>
        <r>
          <rPr>
            <sz val="9"/>
            <color indexed="81"/>
            <rFont val="Tahoma"/>
            <family val="2"/>
          </rPr>
          <t>Annuaire statistique de la France, 1957, Institut National de la Statistique et des Études Économiques, Paris, 1958. p. 147-8</t>
        </r>
      </text>
    </comment>
    <comment ref="K13" authorId="0" shapeId="0" xr:uid="{B7481281-933E-40DA-9CB4-4BB7F68FCF6D}">
      <text>
        <r>
          <rPr>
            <sz val="9"/>
            <color indexed="81"/>
            <rFont val="Tahoma"/>
            <family val="2"/>
          </rPr>
          <t>Annuaire statistique de la France, 1957, Institut National de la Statistique et des Études Économiques, Paris, 1958. p. 147-8</t>
        </r>
      </text>
    </comment>
    <comment ref="B14" authorId="0" shapeId="0" xr:uid="{6F5388DB-648B-433D-AB70-5982CFD270C8}">
      <text>
        <r>
          <rPr>
            <sz val="9"/>
            <color indexed="81"/>
            <rFont val="Tahoma"/>
            <family val="2"/>
          </rPr>
          <t>Annuaire statistique de la France, 1961, Institut National de la Statistique et des Études Économiques, Paris, 1962, vol66, no8, p. 145</t>
        </r>
      </text>
    </comment>
    <comment ref="E14" authorId="0" shapeId="0" xr:uid="{F841408C-54D3-40D9-8985-4F84A4A077FF}">
      <text>
        <r>
          <rPr>
            <sz val="9"/>
            <color indexed="81"/>
            <rFont val="Tahoma"/>
            <family val="2"/>
          </rPr>
          <t>Annuaire statistique de la France, 1958, Institut National de la Statistique et des Études Économiques, Paris, 1959. p. 158-9</t>
        </r>
      </text>
    </comment>
    <comment ref="G14" authorId="0" shapeId="0" xr:uid="{70B88FAD-309C-4783-98F3-323BCD0719AE}">
      <text>
        <r>
          <rPr>
            <sz val="9"/>
            <color indexed="81"/>
            <rFont val="Tahoma"/>
            <family val="2"/>
          </rPr>
          <t>Annuaire statistique de la France, 1958, Institut National de la Statistique et des Études Économiques, Paris, 1959. p. 158-9</t>
        </r>
      </text>
    </comment>
    <comment ref="I14" authorId="0" shapeId="0" xr:uid="{717B3FCA-B8F3-4B60-A304-52AE9ABD8961}">
      <text>
        <r>
          <rPr>
            <sz val="9"/>
            <color indexed="81"/>
            <rFont val="Tahoma"/>
            <family val="2"/>
          </rPr>
          <t>Annuaire statistique de la France, 1958, Institut National de la Statistique et des Études Économiques, Paris, 1959. p. 158-9</t>
        </r>
      </text>
    </comment>
    <comment ref="K14" authorId="0" shapeId="0" xr:uid="{A37F426E-94D2-467F-A7FF-C44313A2347D}">
      <text>
        <r>
          <rPr>
            <sz val="9"/>
            <color indexed="81"/>
            <rFont val="Tahoma"/>
            <family val="2"/>
          </rPr>
          <t>Annuaire statistique de la France, 1958, Institut National de la Statistique et des Études Économiques, Paris, 1959. p. 158-9</t>
        </r>
      </text>
    </comment>
    <comment ref="B15" authorId="0" shapeId="0" xr:uid="{D554A3CD-4A07-45B9-AB21-753AE08DD90C}">
      <text>
        <r>
          <rPr>
            <sz val="9"/>
            <color indexed="81"/>
            <rFont val="Tahoma"/>
            <family val="2"/>
          </rPr>
          <t>Annuaire statistique de la France, 1961, Institut National de la Statistique et des Études Économiques, Paris, 1962, vol66, no8, p. 145</t>
        </r>
      </text>
    </comment>
    <comment ref="E15" authorId="0" shapeId="0" xr:uid="{C4B0AE22-2062-4292-B61B-EB4AD727B91C}">
      <text>
        <r>
          <rPr>
            <sz val="9"/>
            <color indexed="81"/>
            <rFont val="Tahoma"/>
            <family val="2"/>
          </rPr>
          <t>Annuaire statistique de la France, 1959, Institut National de la Statistique et des Études Économiques, Paris, 1960. p. 158-9</t>
        </r>
      </text>
    </comment>
    <comment ref="G15" authorId="0" shapeId="0" xr:uid="{03CB2E39-FAA6-4208-A6F4-520D6D1FB5BC}">
      <text>
        <r>
          <rPr>
            <sz val="9"/>
            <color indexed="81"/>
            <rFont val="Tahoma"/>
            <family val="2"/>
          </rPr>
          <t>Annuaire statistique de la France, 1959, Institut National de la Statistique et des Études Économiques, Paris, 1960. p. 158-9</t>
        </r>
      </text>
    </comment>
    <comment ref="I15" authorId="0" shapeId="0" xr:uid="{A3E3ACE3-4BCC-4920-8DD3-C6119FB80D2D}">
      <text>
        <r>
          <rPr>
            <sz val="9"/>
            <color indexed="81"/>
            <rFont val="Tahoma"/>
            <family val="2"/>
          </rPr>
          <t>Annuaire statistique de la France, 1959, Institut National de la Statistique et des Études Économiques, Paris, 1960. p. 158-9</t>
        </r>
      </text>
    </comment>
    <comment ref="K15" authorId="0" shapeId="0" xr:uid="{989DA287-84C8-4B60-A76C-9771BF50D6BF}">
      <text>
        <r>
          <rPr>
            <sz val="9"/>
            <color indexed="81"/>
            <rFont val="Tahoma"/>
            <family val="2"/>
          </rPr>
          <t>Annuaire statistique de la France, 1959, Institut National de la Statistique et des Études Économiques, Paris, 1960. p. 158-9</t>
        </r>
      </text>
    </comment>
    <comment ref="B16" authorId="0" shapeId="0" xr:uid="{9BF5E17D-8D4E-47E7-AED6-7024225CA169}">
      <text>
        <r>
          <rPr>
            <sz val="9"/>
            <color indexed="81"/>
            <rFont val="Tahoma"/>
            <family val="2"/>
          </rPr>
          <t>Annuaire statistique de la France, 1961, Institut National de la Statistique et des Études Économiques, Paris, 1962, vol66, no8, p. 145</t>
        </r>
      </text>
    </comment>
    <comment ref="E16" authorId="0" shapeId="0" xr:uid="{85BE53E1-6D44-4ECF-8056-949897DC5DCA}">
      <text>
        <r>
          <rPr>
            <sz val="9"/>
            <color indexed="81"/>
            <rFont val="Tahoma"/>
            <family val="2"/>
          </rPr>
          <t>Annuaire statistique de la France, 1961, Institut National de la Statistique et des Études Économiques, Paris, 1962. p. 213-4</t>
        </r>
      </text>
    </comment>
    <comment ref="G16" authorId="0" shapeId="0" xr:uid="{F051B246-00D2-42B1-9C4B-9AB86A549094}">
      <text>
        <r>
          <rPr>
            <sz val="9"/>
            <color indexed="81"/>
            <rFont val="Tahoma"/>
            <family val="2"/>
          </rPr>
          <t>Annuaire statistique de la France, 1961, Institut National de la Statistique et des Études Économiques, Paris, 1962. p. 213-4</t>
        </r>
      </text>
    </comment>
    <comment ref="I16" authorId="0" shapeId="0" xr:uid="{0E919600-C7CC-414E-911C-476D431DD660}">
      <text>
        <r>
          <rPr>
            <sz val="9"/>
            <color indexed="81"/>
            <rFont val="Tahoma"/>
            <family val="2"/>
          </rPr>
          <t>Annuaire statistique de la France, 1961, Institut National de la Statistique et des Études Économiques, Paris, 1962. p. 213-4</t>
        </r>
      </text>
    </comment>
    <comment ref="K16" authorId="0" shapeId="0" xr:uid="{ABA9F58C-2EC0-4CB9-9E82-3689B43817B2}">
      <text>
        <r>
          <rPr>
            <sz val="9"/>
            <color indexed="81"/>
            <rFont val="Tahoma"/>
            <family val="2"/>
          </rPr>
          <t>Annuaire statistique de la France, 1961, Institut National de la Statistique et des Études Économiques, Paris, 1962. p. 213-4</t>
        </r>
      </text>
    </comment>
    <comment ref="B17" authorId="0" shapeId="0" xr:uid="{8300B13F-3F3D-41CA-A3DA-D35AE736B21F}">
      <text>
        <r>
          <rPr>
            <sz val="9"/>
            <color indexed="81"/>
            <rFont val="Tahoma"/>
            <family val="2"/>
          </rPr>
          <t>Annuaire statistique de la France, 1961, Institut National de la Statistique et des Études Économiques, Paris, 1962. p. 213-4</t>
        </r>
      </text>
    </comment>
    <comment ref="E17" authorId="0" shapeId="0" xr:uid="{60D59861-51B6-487A-9D5E-449360F96A7F}">
      <text>
        <r>
          <rPr>
            <sz val="9"/>
            <color indexed="81"/>
            <rFont val="Tahoma"/>
            <family val="2"/>
          </rPr>
          <t>Annuaire statistique de la France, 1961, Institut National de la Statistique et des Études Économiques, Paris, 1962. p. 213-4</t>
        </r>
      </text>
    </comment>
    <comment ref="G17" authorId="0" shapeId="0" xr:uid="{595E3C06-74D0-458A-A63C-E84E1A936733}">
      <text>
        <r>
          <rPr>
            <sz val="9"/>
            <color indexed="81"/>
            <rFont val="Tahoma"/>
            <family val="2"/>
          </rPr>
          <t>Annuaire statistique de la France, 1961, Institut National de la Statistique et des Études Économiques, Paris, 1962. p. 213-4</t>
        </r>
      </text>
    </comment>
    <comment ref="I17" authorId="0" shapeId="0" xr:uid="{C11D6904-1381-4941-BBEF-34AC261B27AA}">
      <text>
        <r>
          <rPr>
            <sz val="9"/>
            <color indexed="81"/>
            <rFont val="Tahoma"/>
            <family val="2"/>
          </rPr>
          <t>Annuaire statistique de la France, 1961, Institut National de la Statistique et des Études Économiques, Paris, 1962. p. 213-4</t>
        </r>
      </text>
    </comment>
    <comment ref="B18" authorId="0" shapeId="0" xr:uid="{0AE51CF8-7BE6-4F9F-8938-A4A3BEACAC01}">
      <text>
        <r>
          <rPr>
            <sz val="9"/>
            <color indexed="81"/>
            <rFont val="Tahoma"/>
            <family val="2"/>
          </rPr>
          <t>Annuaire statistique de la France, 1962, Institut National de la Statistique et des Études Économiques, Paris, 1963. p. 176-7</t>
        </r>
      </text>
    </comment>
    <comment ref="E18" authorId="0" shapeId="0" xr:uid="{81618106-3EEE-4D05-905A-1B2C1A182D26}">
      <text>
        <r>
          <rPr>
            <sz val="9"/>
            <color indexed="81"/>
            <rFont val="Tahoma"/>
            <family val="2"/>
          </rPr>
          <t>Annuaire statistique de la France, 1962, Institut National de la Statistique et des Études Économiques, Paris, 1963. p. 176-7</t>
        </r>
      </text>
    </comment>
    <comment ref="G18" authorId="0" shapeId="0" xr:uid="{310991AD-7006-4B62-8C4F-719B88A8F91F}">
      <text>
        <r>
          <rPr>
            <sz val="9"/>
            <color indexed="81"/>
            <rFont val="Tahoma"/>
            <family val="2"/>
          </rPr>
          <t>Annuaire statistique de la France, 1962, Institut National de la Statistique et des Études Économiques, Paris, 1963. p. 176-7</t>
        </r>
      </text>
    </comment>
    <comment ref="I18" authorId="0" shapeId="0" xr:uid="{39109713-6E0D-4B6A-9E4C-6F41F964C55F}">
      <text>
        <r>
          <rPr>
            <sz val="9"/>
            <color indexed="81"/>
            <rFont val="Tahoma"/>
            <family val="2"/>
          </rPr>
          <t>Annuaire statistique de la France, 1962, Institut National de la Statistique et des Études Économiques, Paris, 1963. p. 176-7</t>
        </r>
      </text>
    </comment>
    <comment ref="K18" authorId="0" shapeId="0" xr:uid="{3A40F4FD-1F08-49FC-BA10-D1FB119BD41A}">
      <text>
        <r>
          <rPr>
            <sz val="9"/>
            <color indexed="81"/>
            <rFont val="Tahoma"/>
            <family val="2"/>
          </rPr>
          <t>Annuaire statistique de la France, 1962, Institut National de la Statistique et des Études Économiques, Paris, 1963. p. 176-7</t>
        </r>
      </text>
    </comment>
    <comment ref="B19" authorId="0" shapeId="0" xr:uid="{7F310D06-73D3-45A2-BCF4-EB5BC35DCF43}">
      <text>
        <r>
          <rPr>
            <sz val="9"/>
            <color indexed="81"/>
            <rFont val="Tahoma"/>
            <family val="2"/>
          </rPr>
          <t>Annuaire statistique de la France, 1965, Institut National de la Statistique et des Études Économiques, Paris, 1966. p. 266</t>
        </r>
      </text>
    </comment>
    <comment ref="E19" authorId="0" shapeId="0" xr:uid="{5F75AABD-2233-467B-AF56-264EA10CB883}">
      <text>
        <r>
          <rPr>
            <sz val="9"/>
            <color indexed="81"/>
            <rFont val="Tahoma"/>
            <family val="2"/>
          </rPr>
          <t>Annuaire statistique de la France, 1963, Institut National de la Statistique et des Études Économiques, Paris, 1964. p. 185-6</t>
        </r>
      </text>
    </comment>
    <comment ref="G19" authorId="0" shapeId="0" xr:uid="{B05D689D-ACFC-40B3-AAF5-58877BB6FE9E}">
      <text>
        <r>
          <rPr>
            <sz val="9"/>
            <color indexed="81"/>
            <rFont val="Tahoma"/>
            <family val="2"/>
          </rPr>
          <t>Annuaire statistique de la France, 1963, Institut National de la Statistique et des Études Économiques, Paris, 1964. p. 185-6</t>
        </r>
      </text>
    </comment>
    <comment ref="I19" authorId="0" shapeId="0" xr:uid="{5A029BD5-12BE-4A9A-AC53-CEC411C08E14}">
      <text>
        <r>
          <rPr>
            <sz val="9"/>
            <color indexed="81"/>
            <rFont val="Tahoma"/>
            <family val="2"/>
          </rPr>
          <t>Annuaire statistique de la France, 1963, Institut National de la Statistique et des Études Économiques, Paris, 1964. p. 185-6</t>
        </r>
      </text>
    </comment>
    <comment ref="K19" authorId="0" shapeId="0" xr:uid="{110BF336-C056-411F-A80E-82CF01ECE991}">
      <text>
        <r>
          <rPr>
            <sz val="9"/>
            <color indexed="81"/>
            <rFont val="Tahoma"/>
            <family val="2"/>
          </rPr>
          <t>Annuaire statistique de la France, 1963, Institut National de la Statistique et des Études Économiques, Paris, 1964. p. 185-6</t>
        </r>
      </text>
    </comment>
    <comment ref="B20" authorId="0" shapeId="0" xr:uid="{5602B503-78D9-4CD1-AFD3-893738E3A60D}">
      <text>
        <r>
          <rPr>
            <sz val="9"/>
            <color indexed="81"/>
            <rFont val="Tahoma"/>
            <family val="2"/>
          </rPr>
          <t>Annuaire statistique de la France, 1965, Institut National de la Statistique et des Études Économiques, Paris, 1966. p. 266</t>
        </r>
      </text>
    </comment>
    <comment ref="E20" authorId="0" shapeId="0" xr:uid="{4FC7B21E-3B51-4488-87F2-08BB02A7D0F3}">
      <text>
        <r>
          <rPr>
            <sz val="9"/>
            <color indexed="81"/>
            <rFont val="Tahoma"/>
            <family val="2"/>
          </rPr>
          <t>Annuaire statistique de la France, 1964, Institut National de la Statistique et des Études Économiques, Paris, 1965. p. 230</t>
        </r>
      </text>
    </comment>
    <comment ref="G20" authorId="0" shapeId="0" xr:uid="{7A20AF52-8C2C-4503-BC69-206607AE4FF5}">
      <text>
        <r>
          <rPr>
            <sz val="9"/>
            <color indexed="81"/>
            <rFont val="Tahoma"/>
            <family val="2"/>
          </rPr>
          <t>Annuaire statistique de la France, 1964, Institut National de la Statistique et des Études Économiques, Paris, 1965. p. 230</t>
        </r>
      </text>
    </comment>
    <comment ref="I20" authorId="0" shapeId="0" xr:uid="{2DCDBC71-9100-40D3-BD29-347BE31C6386}">
      <text>
        <r>
          <rPr>
            <sz val="9"/>
            <color indexed="81"/>
            <rFont val="Tahoma"/>
            <family val="2"/>
          </rPr>
          <t>Annuaire statistique de la France, 1964, Institut National de la Statistique et des Études Économiques, Paris, 1965. p. 230</t>
        </r>
      </text>
    </comment>
    <comment ref="K20" authorId="0" shapeId="0" xr:uid="{3CD5385B-1DF1-44F4-A94E-F3608AC8F14E}">
      <text>
        <r>
          <rPr>
            <sz val="9"/>
            <color indexed="81"/>
            <rFont val="Tahoma"/>
            <family val="2"/>
          </rPr>
          <t>Annuaire statistique de la France, 1964, Institut National de la Statistique et des Études Économiques, Paris, 1965. p. 230</t>
        </r>
      </text>
    </comment>
    <comment ref="B21" authorId="0" shapeId="0" xr:uid="{2FF7E9F5-5763-4402-8F95-432667FECFAB}">
      <text>
        <r>
          <rPr>
            <sz val="9"/>
            <color indexed="81"/>
            <rFont val="Tahoma"/>
            <family val="2"/>
          </rPr>
          <t>Annuaire statistique de la France, 1967, Institut National de la Statistique et des Études Économiques, Paris, 1968. p. 372</t>
        </r>
      </text>
    </comment>
    <comment ref="E21" authorId="0" shapeId="0" xr:uid="{978B9C7D-C7AE-46BA-B521-7A0BED1DF790}">
      <text>
        <r>
          <rPr>
            <sz val="9"/>
            <color indexed="81"/>
            <rFont val="Tahoma"/>
            <family val="2"/>
          </rPr>
          <t>Annuaire statistique de la France, 1965, Institut National de la Statistique et des Études Économiques, Paris, 1966. p. 266</t>
        </r>
      </text>
    </comment>
    <comment ref="G21" authorId="0" shapeId="0" xr:uid="{7BD7BB3B-948A-4A9B-A71F-5A7F2E9842CB}">
      <text>
        <r>
          <rPr>
            <sz val="9"/>
            <color indexed="81"/>
            <rFont val="Tahoma"/>
            <family val="2"/>
          </rPr>
          <t>Annuaire statistique de la France, 1965, Institut National de la Statistique et des Études Économiques, Paris, 1966. p. 266</t>
        </r>
      </text>
    </comment>
    <comment ref="I21" authorId="0" shapeId="0" xr:uid="{FEA3F18C-74BA-4DD7-A776-8964DB0BD0AC}">
      <text>
        <r>
          <rPr>
            <sz val="9"/>
            <color indexed="81"/>
            <rFont val="Tahoma"/>
            <family val="2"/>
          </rPr>
          <t>Annuaire statistique de la France, 1965, Institut National de la Statistique et des Études Économiques, Paris, 1966. p. 266</t>
        </r>
      </text>
    </comment>
    <comment ref="K21" authorId="0" shapeId="0" xr:uid="{FD6BCD97-FB85-4C1D-9AE7-B9AAC9C8167D}">
      <text>
        <r>
          <rPr>
            <sz val="9"/>
            <color indexed="81"/>
            <rFont val="Tahoma"/>
            <family val="2"/>
          </rPr>
          <t>Annuaire statistique de la France, 1965, Institut National de la Statistique et des Études Économiques, Paris, 1966. p. 266</t>
        </r>
      </text>
    </comment>
    <comment ref="B22" authorId="0" shapeId="0" xr:uid="{65EE3820-33EB-4BDC-9D49-B6D9ABA707FC}">
      <text>
        <r>
          <rPr>
            <sz val="9"/>
            <color indexed="81"/>
            <rFont val="Tahoma"/>
            <family val="2"/>
          </rPr>
          <t>Annuaire statistique de la France, 1967, Institut National de la Statistique et des Études Économiques, Paris, 1968. p. 372</t>
        </r>
      </text>
    </comment>
    <comment ref="E22" authorId="0" shapeId="0" xr:uid="{354C2C77-4C76-42C4-A137-C7707A158764}">
      <text>
        <r>
          <rPr>
            <sz val="9"/>
            <color indexed="81"/>
            <rFont val="Tahoma"/>
            <family val="2"/>
          </rPr>
          <t>Annuaire statistique de la France, 1967, Institut National de la Statistique et des Études Économiques, Paris, 1968. p. 372</t>
        </r>
      </text>
    </comment>
    <comment ref="G22" authorId="0" shapeId="0" xr:uid="{758E1BAC-D16C-4914-9AC0-EECFA79C5E3F}">
      <text>
        <r>
          <rPr>
            <sz val="9"/>
            <color indexed="81"/>
            <rFont val="Tahoma"/>
            <family val="2"/>
          </rPr>
          <t>Annuaire statistique de la France, 1967, Institut National de la Statistique et des Études Économiques, Paris, 1968. p. 372</t>
        </r>
      </text>
    </comment>
    <comment ref="I22" authorId="0" shapeId="0" xr:uid="{FC06EA09-BCE5-4DE1-9C7F-F61BF8437E65}">
      <text>
        <r>
          <rPr>
            <sz val="9"/>
            <color indexed="81"/>
            <rFont val="Tahoma"/>
            <family val="2"/>
          </rPr>
          <t>Annuaire statistique de la France, 1967, Institut National de la Statistique et des Études Économiques, Paris, 1968. p. 372</t>
        </r>
      </text>
    </comment>
    <comment ref="B23" authorId="0" shapeId="0" xr:uid="{C1A7DCDA-8D77-47B1-B3F4-6C4C6BD3DBF7}">
      <text>
        <r>
          <rPr>
            <sz val="9"/>
            <color indexed="81"/>
            <rFont val="Tahoma"/>
            <family val="2"/>
          </rPr>
          <t>Annuaire statistique de la France, 1967, Institut National de la Statistique et des Études Économiques, Paris, 1968. p. 372</t>
        </r>
      </text>
    </comment>
    <comment ref="E23" authorId="0" shapeId="0" xr:uid="{097219E9-0EF2-4F78-A86E-E048CE14D245}">
      <text>
        <r>
          <rPr>
            <sz val="9"/>
            <color indexed="81"/>
            <rFont val="Tahoma"/>
            <family val="2"/>
          </rPr>
          <t>Annuaire statistique de la France, 1967, Institut National de la Statistique et des Études Économiques, Paris, 1968. p. 372</t>
        </r>
      </text>
    </comment>
    <comment ref="G23" authorId="0" shapeId="0" xr:uid="{F64E64C7-C3FA-4413-B42E-D26E0D53C11E}">
      <text>
        <r>
          <rPr>
            <sz val="9"/>
            <color indexed="81"/>
            <rFont val="Tahoma"/>
            <family val="2"/>
          </rPr>
          <t>Annuaire statistique de la France, 1967, Institut National de la Statistique et des Études Économiques, Paris, 1968. p. 372</t>
        </r>
      </text>
    </comment>
    <comment ref="I23" authorId="0" shapeId="0" xr:uid="{089D4F32-C542-49D8-8936-D9DB8002633D}">
      <text>
        <r>
          <rPr>
            <sz val="9"/>
            <color indexed="81"/>
            <rFont val="Tahoma"/>
            <family val="2"/>
          </rPr>
          <t>Annuaire statistique de la France, 1967, Institut National de la Statistique et des Études Économiques, Paris, 1968. p. 372</t>
        </r>
      </text>
    </comment>
    <comment ref="K23" authorId="0" shapeId="0" xr:uid="{7629A7E5-361B-40FB-8180-66089255898F}">
      <text>
        <r>
          <rPr>
            <sz val="9"/>
            <color indexed="81"/>
            <rFont val="Tahoma"/>
            <family val="2"/>
          </rPr>
          <t>Annuaire statistique de la France, 1967, Institut National de la Statistique et des Études Économiques, Paris, 1968. p. 372</t>
        </r>
      </text>
    </comment>
    <comment ref="B24" authorId="0" shapeId="0" xr:uid="{F749F91A-41CA-4D3D-BCD3-C9EA880BB669}">
      <text>
        <r>
          <rPr>
            <sz val="9"/>
            <color indexed="81"/>
            <rFont val="Tahoma"/>
            <family val="2"/>
          </rPr>
          <t>Annuaire statistique de la France, 1978, Institut National de la Statistique et des Études Économiques, Paris, 1979. p. 311-3</t>
        </r>
      </text>
    </comment>
    <comment ref="E24" authorId="0" shapeId="0" xr:uid="{B3A3FAEF-AF50-492C-943A-BEDF142EE565}">
      <text>
        <r>
          <rPr>
            <sz val="9"/>
            <color indexed="81"/>
            <rFont val="Tahoma"/>
            <family val="2"/>
          </rPr>
          <t>Annuaire statistique de la France, 1978, Institut National de la Statistique et des Études Économiques, Paris, 1979. p. 311-3</t>
        </r>
      </text>
    </comment>
    <comment ref="G24" authorId="0" shapeId="0" xr:uid="{7C35FE72-FDFB-4984-A1F1-29453A365552}">
      <text>
        <r>
          <rPr>
            <sz val="9"/>
            <color indexed="81"/>
            <rFont val="Tahoma"/>
            <family val="2"/>
          </rPr>
          <t>Annuaire statistique de la France, 1978, Institut National de la Statistique et des Études Économiques, Paris, 1979. p. 311-3</t>
        </r>
      </text>
    </comment>
    <comment ref="I24" authorId="0" shapeId="0" xr:uid="{26EC1405-2FA9-4562-9F80-BEE0CBBDDA49}">
      <text>
        <r>
          <rPr>
            <sz val="9"/>
            <color indexed="81"/>
            <rFont val="Tahoma"/>
            <family val="2"/>
          </rPr>
          <t>Annuaire statistique de la France, 1978, Institut National de la Statistique et des Études Économiques, Paris, 1979. p. 311-3</t>
        </r>
      </text>
    </comment>
    <comment ref="B25" authorId="0" shapeId="0" xr:uid="{F4953A3F-DE85-45F2-B994-51431B093BF9}">
      <text>
        <r>
          <rPr>
            <sz val="9"/>
            <color indexed="81"/>
            <rFont val="Tahoma"/>
            <family val="2"/>
          </rPr>
          <t>Annuaire statistique de la France, 1978, Institut National de la Statistique et des Études Économiques, Paris, 1979. p. 311-3</t>
        </r>
      </text>
    </comment>
    <comment ref="E25" authorId="0" shapeId="0" xr:uid="{F4E98670-5772-4A7F-97DF-04325ED81A96}">
      <text>
        <r>
          <rPr>
            <sz val="9"/>
            <color indexed="81"/>
            <rFont val="Tahoma"/>
            <family val="2"/>
          </rPr>
          <t>Annuaire statistique de la France, 1978, Institut National de la Statistique et des Études Économiques, Paris, 1979. p. 311-3</t>
        </r>
      </text>
    </comment>
    <comment ref="G25" authorId="0" shapeId="0" xr:uid="{42F87CEB-6077-426B-ACBE-A95ECA7427EE}">
      <text>
        <r>
          <rPr>
            <sz val="9"/>
            <color indexed="81"/>
            <rFont val="Tahoma"/>
            <family val="2"/>
          </rPr>
          <t>Annuaire statistique de la France, 1978, Institut National de la Statistique et des Études Économiques, Paris, 1979. p. 311-3</t>
        </r>
      </text>
    </comment>
    <comment ref="I25" authorId="0" shapeId="0" xr:uid="{A8F1B119-7D28-4CD0-BEAF-FAC721E56AAA}">
      <text>
        <r>
          <rPr>
            <sz val="9"/>
            <color indexed="81"/>
            <rFont val="Tahoma"/>
            <family val="2"/>
          </rPr>
          <t>Annuaire statistique de la France, 1978, Institut National de la Statistique et des Études Économiques, Paris, 1979. p. 311-3</t>
        </r>
      </text>
    </comment>
    <comment ref="B26" authorId="0" shapeId="0" xr:uid="{42747A8B-A5E1-49F7-99E3-DA9B6638831E}">
      <text>
        <r>
          <rPr>
            <sz val="9"/>
            <color indexed="81"/>
            <rFont val="Tahoma"/>
            <family val="2"/>
          </rPr>
          <t>Annuaire statistique de la France, 1978, Institut National de la Statistique et des Études Économiques, Paris, 1979. p. 311-3</t>
        </r>
      </text>
    </comment>
    <comment ref="E26" authorId="0" shapeId="0" xr:uid="{1871E4CC-6BF0-434B-BCB9-216F2346A76B}">
      <text>
        <r>
          <rPr>
            <sz val="9"/>
            <color indexed="81"/>
            <rFont val="Tahoma"/>
            <family val="2"/>
          </rPr>
          <t>Annuaire statistique de la France, 1978, Institut National de la Statistique et des Études Économiques, Paris, 1979. p. 311-3</t>
        </r>
      </text>
    </comment>
    <comment ref="G26" authorId="0" shapeId="0" xr:uid="{C26D21D7-E07A-475D-98C9-28C9946D0032}">
      <text>
        <r>
          <rPr>
            <sz val="9"/>
            <color indexed="81"/>
            <rFont val="Tahoma"/>
            <family val="2"/>
          </rPr>
          <t>Annuaire statistique de la France, 1978, Institut National de la Statistique et des Études Économiques, Paris, 1979. p. 311-3</t>
        </r>
      </text>
    </comment>
    <comment ref="I26" authorId="0" shapeId="0" xr:uid="{1519DAA5-9B34-40DD-9EE2-CFDE4F699EB1}">
      <text>
        <r>
          <rPr>
            <sz val="9"/>
            <color indexed="81"/>
            <rFont val="Tahoma"/>
            <family val="2"/>
          </rPr>
          <t>Annuaire statistique de la France, 1978, Institut National de la Statistique et des Études Économiques, Paris, 1979. p. 311-3</t>
        </r>
      </text>
    </comment>
    <comment ref="B27" authorId="0" shapeId="0" xr:uid="{C8FFF30C-D91A-42DA-8F5D-F4373AE5593D}">
      <text>
        <r>
          <rPr>
            <sz val="9"/>
            <color indexed="81"/>
            <rFont val="Tahoma"/>
            <family val="2"/>
          </rPr>
          <t>Annuaire statistique de la France, 1978, Institut National de la Statistique et des Études Économiques, Paris, 1979. p. 311-3</t>
        </r>
      </text>
    </comment>
    <comment ref="E27" authorId="0" shapeId="0" xr:uid="{14C7333E-6A08-4E9C-9C06-AB0EE3A79ECD}">
      <text>
        <r>
          <rPr>
            <sz val="9"/>
            <color indexed="81"/>
            <rFont val="Tahoma"/>
            <family val="2"/>
          </rPr>
          <t>Annuaire statistique de la France, 1978, Institut National de la Statistique et des Études Économiques, Paris, 1979. p. 311-3</t>
        </r>
      </text>
    </comment>
    <comment ref="G27" authorId="0" shapeId="0" xr:uid="{E9FE23A5-8B97-4ED6-9E78-9868811D3D0C}">
      <text>
        <r>
          <rPr>
            <sz val="9"/>
            <color indexed="81"/>
            <rFont val="Tahoma"/>
            <family val="2"/>
          </rPr>
          <t>Annuaire statistique de la France, 1978, Institut National de la Statistique et des Études Économiques, Paris, 1979. p. 311-3</t>
        </r>
      </text>
    </comment>
    <comment ref="I27" authorId="0" shapeId="0" xr:uid="{D824496F-3453-4220-B355-7AF5F6B407E6}">
      <text>
        <r>
          <rPr>
            <sz val="9"/>
            <color indexed="81"/>
            <rFont val="Tahoma"/>
            <family val="2"/>
          </rPr>
          <t>Annuaire statistique de la France, 1978, Institut National de la Statistique et des Études Économiques, Paris, 1979. p. 311-3</t>
        </r>
      </text>
    </comment>
    <comment ref="B28" authorId="0" shapeId="0" xr:uid="{CE146CE1-CBFC-4CF6-B16B-7BAB54CE6EA3}">
      <text>
        <r>
          <rPr>
            <sz val="9"/>
            <color indexed="81"/>
            <rFont val="Tahoma"/>
            <family val="2"/>
          </rPr>
          <t>Annuaire statistique de la France, 1978, Institut National de la Statistique et des Études Économiques, Paris, 1979. p. 311-3</t>
        </r>
      </text>
    </comment>
    <comment ref="E28" authorId="0" shapeId="0" xr:uid="{84E12A52-4F3E-4A86-A917-C3FA5BD871BA}">
      <text>
        <r>
          <rPr>
            <sz val="9"/>
            <color indexed="81"/>
            <rFont val="Tahoma"/>
            <family val="2"/>
          </rPr>
          <t>Annuaire statistique de la France, 1978, Institut National de la Statistique et des Études Économiques, Paris, 1979. p. 311-3</t>
        </r>
      </text>
    </comment>
    <comment ref="G28" authorId="0" shapeId="0" xr:uid="{29FABEB5-433C-4302-B45D-250142EFE549}">
      <text>
        <r>
          <rPr>
            <sz val="9"/>
            <color indexed="81"/>
            <rFont val="Tahoma"/>
            <family val="2"/>
          </rPr>
          <t>Annuaire statistique de la France, 1978, Institut National de la Statistique et des Études Économiques, Paris, 1979. p. 311-3</t>
        </r>
      </text>
    </comment>
    <comment ref="I28" authorId="0" shapeId="0" xr:uid="{9D201F89-359B-4ECB-9687-3E61932E06F6}">
      <text>
        <r>
          <rPr>
            <sz val="9"/>
            <color indexed="81"/>
            <rFont val="Tahoma"/>
            <family val="2"/>
          </rPr>
          <t>Annuaire statistique de la France, 1978, Institut National de la Statistique et des Études Économiques, Paris, 1979. p. 311-3</t>
        </r>
      </text>
    </comment>
    <comment ref="B29" authorId="0" shapeId="0" xr:uid="{F5F2CDD0-4806-4D9B-85FF-E09F842C606D}">
      <text>
        <r>
          <rPr>
            <sz val="9"/>
            <color indexed="81"/>
            <rFont val="Tahoma"/>
            <family val="2"/>
          </rPr>
          <t>Annuaire statistique de la France, 1978, Institut National de la Statistique et des Études Économiques, Paris, 1979. p. 311-3</t>
        </r>
      </text>
    </comment>
    <comment ref="E29" authorId="0" shapeId="0" xr:uid="{B028F262-5C16-43A9-9644-252626353205}">
      <text>
        <r>
          <rPr>
            <sz val="9"/>
            <color indexed="81"/>
            <rFont val="Tahoma"/>
            <family val="2"/>
          </rPr>
          <t>Annuaire statistique de la France, 1978, Institut National de la Statistique et des Études Économiques, Paris, 1979. p. 311-3</t>
        </r>
      </text>
    </comment>
    <comment ref="G29" authorId="0" shapeId="0" xr:uid="{03804745-AE62-48E8-8768-BE35FB39C10B}">
      <text>
        <r>
          <rPr>
            <sz val="9"/>
            <color indexed="81"/>
            <rFont val="Tahoma"/>
            <family val="2"/>
          </rPr>
          <t>Annuaire statistique de la France, 1978, Institut National de la Statistique et des Études Économiques, Paris, 1979. p. 311-3</t>
        </r>
      </text>
    </comment>
    <comment ref="I29" authorId="0" shapeId="0" xr:uid="{9B8AA2BA-CCCD-4AD9-B537-2B2C3F968068}">
      <text>
        <r>
          <rPr>
            <sz val="9"/>
            <color indexed="81"/>
            <rFont val="Tahoma"/>
            <family val="2"/>
          </rPr>
          <t>Annuaire statistique de la France, 1978, Institut National de la Statistique et des Études Économiques, Paris, 1979. p. 311-3</t>
        </r>
      </text>
    </comment>
    <comment ref="B30" authorId="0" shapeId="0" xr:uid="{72927B4C-DA20-408B-816A-A13AE0516803}">
      <text>
        <r>
          <rPr>
            <sz val="9"/>
            <color indexed="81"/>
            <rFont val="Tahoma"/>
            <family val="2"/>
          </rPr>
          <t>Annuaire statistique de la France, 1978, Institut National de la Statistique et des Études Économiques, Paris, 1979. p. 311-3</t>
        </r>
      </text>
    </comment>
    <comment ref="E30" authorId="0" shapeId="0" xr:uid="{3C751121-2C20-4E7A-AB1D-7BB8EFC391D5}">
      <text>
        <r>
          <rPr>
            <sz val="9"/>
            <color indexed="81"/>
            <rFont val="Tahoma"/>
            <family val="2"/>
          </rPr>
          <t>Annuaire statistique de la France, 1978, Institut National de la Statistique et des Études Économiques, Paris, 1979. p. 311-3</t>
        </r>
      </text>
    </comment>
    <comment ref="G30" authorId="0" shapeId="0" xr:uid="{FB77A041-2969-4579-8A37-49BB10FB6106}">
      <text>
        <r>
          <rPr>
            <sz val="9"/>
            <color indexed="81"/>
            <rFont val="Tahoma"/>
            <family val="2"/>
          </rPr>
          <t>Annuaire statistique de la France, 1978, Institut National de la Statistique et des Études Économiques, Paris, 1979. p. 311-3</t>
        </r>
      </text>
    </comment>
    <comment ref="I30" authorId="0" shapeId="0" xr:uid="{BFE0429D-34C7-4552-B51A-CB1CCAD32672}">
      <text>
        <r>
          <rPr>
            <sz val="9"/>
            <color indexed="81"/>
            <rFont val="Tahoma"/>
            <family val="2"/>
          </rPr>
          <t>Annuaire statistique de la France, 1978, Institut National de la Statistique et des Études Économiques, Paris, 1979. p. 311-3</t>
        </r>
      </text>
    </comment>
    <comment ref="B31" authorId="0" shapeId="0" xr:uid="{E03D0B22-7E13-4718-BA71-1131ABF1BA5B}">
      <text>
        <r>
          <rPr>
            <sz val="9"/>
            <color indexed="81"/>
            <rFont val="Tahoma"/>
            <family val="2"/>
          </rPr>
          <t>Annuaire statistique de la France, 1978, Institut National de la Statistique et des Études Économiques, Paris, 1979. p. 311-3</t>
        </r>
      </text>
    </comment>
    <comment ref="E31" authorId="0" shapeId="0" xr:uid="{44C5D01F-FEE4-4FC8-B65D-C3201F905D10}">
      <text>
        <r>
          <rPr>
            <sz val="9"/>
            <color indexed="81"/>
            <rFont val="Tahoma"/>
            <family val="2"/>
          </rPr>
          <t>Annuaire statistique de la France, 1978, Institut National de la Statistique et des Études Économiques, Paris, 1979. p. 311-3</t>
        </r>
      </text>
    </comment>
    <comment ref="G31" authorId="0" shapeId="0" xr:uid="{6C29E4A4-C79C-4963-B5B2-B3229B38F655}">
      <text>
        <r>
          <rPr>
            <sz val="9"/>
            <color indexed="81"/>
            <rFont val="Tahoma"/>
            <family val="2"/>
          </rPr>
          <t>Annuaire statistique de la France, 1978, Institut National de la Statistique et des Études Économiques, Paris, 1979. p. 311-3</t>
        </r>
      </text>
    </comment>
    <comment ref="I31" authorId="0" shapeId="0" xr:uid="{AAEBB776-F22E-439D-B2CA-4028BC40808D}">
      <text>
        <r>
          <rPr>
            <sz val="9"/>
            <color indexed="81"/>
            <rFont val="Tahoma"/>
            <family val="2"/>
          </rPr>
          <t>Annuaire statistique de la France, 1978, Institut National de la Statistique et des Études Économiques, Paris, 1979. p. 311-3</t>
        </r>
      </text>
    </comment>
    <comment ref="B32" authorId="0" shapeId="0" xr:uid="{542D3B38-DCB2-4CED-ACF2-733DA2424DF4}">
      <text>
        <r>
          <rPr>
            <sz val="9"/>
            <color indexed="81"/>
            <rFont val="Tahoma"/>
            <family val="2"/>
          </rPr>
          <t>Annuaire statistique de la France, 1978, Institut National de la Statistique et des Études Économiques, Paris, 1979. p. 311-3</t>
        </r>
      </text>
    </comment>
    <comment ref="E32" authorId="0" shapeId="0" xr:uid="{64154DD0-2C23-4955-B5A1-0D9AAEDD0DFF}">
      <text>
        <r>
          <rPr>
            <sz val="9"/>
            <color indexed="81"/>
            <rFont val="Tahoma"/>
            <family val="2"/>
          </rPr>
          <t>Annuaire statistique de la France, 1978, Institut National de la Statistique et des Études Économiques, Paris, 1979. p. 311-3</t>
        </r>
      </text>
    </comment>
    <comment ref="G32" authorId="0" shapeId="0" xr:uid="{3344969B-F5AF-4842-BEF5-78A32E5E59B8}">
      <text>
        <r>
          <rPr>
            <sz val="9"/>
            <color indexed="81"/>
            <rFont val="Tahoma"/>
            <family val="2"/>
          </rPr>
          <t>Annuaire statistique de la France, 1978, Institut National de la Statistique et des Études Économiques, Paris, 1979. p. 311-3</t>
        </r>
      </text>
    </comment>
    <comment ref="I32" authorId="0" shapeId="0" xr:uid="{2460209E-AC8A-4DDF-B0E0-FB91B8E13DEC}">
      <text>
        <r>
          <rPr>
            <sz val="9"/>
            <color indexed="81"/>
            <rFont val="Tahoma"/>
            <family val="2"/>
          </rPr>
          <t>Annuaire statistique de la France, 1978, Institut National de la Statistique et des Études Économiques, Paris, 1979. p. 311-3</t>
        </r>
      </text>
    </comment>
    <comment ref="B33" authorId="0" shapeId="0" xr:uid="{582B3E7A-8B80-47E1-B2B0-A704D19644EB}">
      <text>
        <r>
          <rPr>
            <sz val="9"/>
            <color indexed="81"/>
            <rFont val="Tahoma"/>
            <family val="2"/>
          </rPr>
          <t>Annuaire statistique de la France, 1978, Institut National de la Statistique et des Études Économiques, Paris, 1979. p. 311-3</t>
        </r>
      </text>
    </comment>
    <comment ref="E33" authorId="0" shapeId="0" xr:uid="{23EC5074-6004-49A7-9BB5-D5B90879F4E4}">
      <text>
        <r>
          <rPr>
            <sz val="9"/>
            <color indexed="81"/>
            <rFont val="Tahoma"/>
            <family val="2"/>
          </rPr>
          <t>Annuaire statistique de la France, 1978, Institut National de la Statistique et des Études Économiques, Paris, 1979. p. 311-3</t>
        </r>
      </text>
    </comment>
    <comment ref="G33" authorId="0" shapeId="0" xr:uid="{2386695A-5A41-4AC2-A779-155DDEEC3E5D}">
      <text>
        <r>
          <rPr>
            <sz val="9"/>
            <color indexed="81"/>
            <rFont val="Tahoma"/>
            <family val="2"/>
          </rPr>
          <t>Annuaire statistique de la France, 1978, Institut National de la Statistique et des Études Économiques, Paris, 1979. p. 311-3</t>
        </r>
      </text>
    </comment>
    <comment ref="I33" authorId="0" shapeId="0" xr:uid="{5DB0C258-B97B-44A1-A469-71B1B06C2087}">
      <text>
        <r>
          <rPr>
            <sz val="9"/>
            <color indexed="81"/>
            <rFont val="Tahoma"/>
            <family val="2"/>
          </rPr>
          <t>Annuaire statistique de la France, 1978, Institut National de la Statistique et des Études Économiques, Paris, 1979. p. 311-3</t>
        </r>
      </text>
    </comment>
    <comment ref="B34" authorId="0" shapeId="0" xr:uid="{7FC08080-D361-4A5C-B2F7-D1E53C42F235}">
      <text>
        <r>
          <rPr>
            <sz val="9"/>
            <color indexed="81"/>
            <rFont val="Tahoma"/>
            <family val="2"/>
          </rPr>
          <t>Annuaire statistique de la France, 1985, Institut National de la Statistique et des Études Économiques, Paris, 1986. p. 553</t>
        </r>
      </text>
    </comment>
    <comment ref="E34" authorId="0" shapeId="0" xr:uid="{D3EBCC58-12CF-47BF-8978-700306CA4F5A}">
      <text>
        <r>
          <rPr>
            <sz val="9"/>
            <color indexed="81"/>
            <rFont val="Tahoma"/>
            <family val="2"/>
          </rPr>
          <t>Annuaire statistique de la France, 1978, Institut National de la Statistique et des Études Économiques, Paris, 1979. p. 311-3</t>
        </r>
      </text>
    </comment>
    <comment ref="G34" authorId="0" shapeId="0" xr:uid="{4A34F515-290C-477A-A0E4-93EA8D5BCDF0}">
      <text>
        <r>
          <rPr>
            <sz val="9"/>
            <color indexed="81"/>
            <rFont val="Tahoma"/>
            <family val="2"/>
          </rPr>
          <t>Annuaire statistique de la France, 1978, Institut National de la Statistique et des Études Économiques, Paris, 1979. p. 311-3</t>
        </r>
      </text>
    </comment>
    <comment ref="I34" authorId="0" shapeId="0" xr:uid="{EEBB081A-9F42-4235-AD58-93F2BB2B96FA}">
      <text>
        <r>
          <rPr>
            <sz val="9"/>
            <color indexed="81"/>
            <rFont val="Tahoma"/>
            <family val="2"/>
          </rPr>
          <t>Annuaire statistique de la France, 1978, Institut National de la Statistique et des Études Économiques, Paris, 1979. p. 311-3</t>
        </r>
      </text>
    </comment>
    <comment ref="B35" authorId="0" shapeId="0" xr:uid="{54ACB3A1-30A5-48A5-97E6-6D4545F70556}">
      <text>
        <r>
          <rPr>
            <sz val="9"/>
            <color indexed="81"/>
            <rFont val="Tahoma"/>
            <family val="2"/>
          </rPr>
          <t>Annuaire statistique de la France, 1985, Institut National de la Statistique et des Études Économiques, Paris, 1986. p. 553</t>
        </r>
      </text>
    </comment>
    <comment ref="C35" authorId="0" shapeId="0" xr:uid="{904A0A8E-6743-4BB3-A97A-870D44A630FE}">
      <text>
        <r>
          <rPr>
            <sz val="9"/>
            <color indexed="81"/>
            <rFont val="Tahoma"/>
            <family val="2"/>
          </rPr>
          <t xml:space="preserve">The glass industry in the European Economic Community, Commission of the European Communities, 1984, (p. 122) </t>
        </r>
      </text>
    </comment>
    <comment ref="I35" authorId="0" shapeId="0" xr:uid="{8DBF029A-800C-41A3-9DA7-CB2593B5244F}">
      <text>
        <r>
          <rPr>
            <sz val="9"/>
            <color indexed="81"/>
            <rFont val="Tahoma"/>
            <family val="2"/>
          </rPr>
          <t>Annuaire statistique de la France, 1979, Institut National de la Statistique et des Études Économiques, Paris, 1980. p. 311-3</t>
        </r>
      </text>
    </comment>
    <comment ref="B36" authorId="0" shapeId="0" xr:uid="{03209BF8-7AA4-4DE3-8711-34D7206C15A9}">
      <text>
        <r>
          <rPr>
            <sz val="9"/>
            <color indexed="81"/>
            <rFont val="Tahoma"/>
            <family val="2"/>
          </rPr>
          <t>Annuaire statistique de la France, 1985, Institut National de la Statistique et des Études Économiques, Paris, 1986. p. 553</t>
        </r>
      </text>
    </comment>
    <comment ref="I36" authorId="0" shapeId="0" xr:uid="{F589666E-4568-4417-9734-98AF91EA5E7F}">
      <text>
        <r>
          <rPr>
            <sz val="9"/>
            <color indexed="81"/>
            <rFont val="Tahoma"/>
            <family val="2"/>
          </rPr>
          <t>Annuaire statistique de la France, 1981, Institut National de la Statistique et des Études Économiques, Paris, 1982. p. 421</t>
        </r>
      </text>
    </comment>
    <comment ref="B37" authorId="0" shapeId="0" xr:uid="{11011547-CF97-4D28-B1F3-871CCCCB8E10}">
      <text>
        <r>
          <rPr>
            <sz val="9"/>
            <color indexed="81"/>
            <rFont val="Tahoma"/>
            <family val="2"/>
          </rPr>
          <t>Annuaire statistique de la France, 1985, Institut National de la Statistique et des Études Économiques, Paris, 1986. p. 553</t>
        </r>
      </text>
    </comment>
    <comment ref="I37" authorId="0" shapeId="0" xr:uid="{8ED819D9-1F3B-4C30-8CF9-D9B036E04A27}">
      <text>
        <r>
          <rPr>
            <sz val="9"/>
            <color indexed="81"/>
            <rFont val="Tahoma"/>
            <family val="2"/>
          </rPr>
          <t>Annuaire statistique de la France, 1981, Institut National de la Statistique et des Études Économiques, Paris, 1982. p. 421</t>
        </r>
      </text>
    </comment>
    <comment ref="B38" authorId="0" shapeId="0" xr:uid="{ED22E35A-4108-4380-81A7-1CC4B5DADAB0}">
      <text>
        <r>
          <rPr>
            <sz val="9"/>
            <color indexed="81"/>
            <rFont val="Tahoma"/>
            <family val="2"/>
          </rPr>
          <t>Annuaire statistique de la France, 1985, Institut National de la Statistique et des Études Économiques, Paris, 1986. p. 553</t>
        </r>
      </text>
    </comment>
    <comment ref="I38" authorId="0" shapeId="0" xr:uid="{96FC7EA7-8015-47BF-9AB2-5263C328801B}">
      <text>
        <r>
          <rPr>
            <sz val="9"/>
            <color indexed="81"/>
            <rFont val="Tahoma"/>
            <family val="2"/>
          </rPr>
          <t>Annuaire statistique de la France, 1982, Institut National de la Statistique et des Études Économiques, Paris, 1983. p. 497</t>
        </r>
      </text>
    </comment>
    <comment ref="B39" authorId="0" shapeId="0" xr:uid="{A5D48374-0D33-4BF9-B374-4F27B17F2183}">
      <text>
        <r>
          <rPr>
            <sz val="9"/>
            <color indexed="81"/>
            <rFont val="Tahoma"/>
            <family val="2"/>
          </rPr>
          <t>Annuaire statistique de la France, 1985, Institut National de la Statistique et des Études Économiques, Paris, 1986. p. 553</t>
        </r>
      </text>
    </comment>
    <comment ref="C39" authorId="0" shapeId="0" xr:uid="{8E029744-6B6C-46AE-A174-D28D9212EB30}">
      <text>
        <r>
          <rPr>
            <sz val="9"/>
            <color indexed="81"/>
            <rFont val="Tahoma"/>
            <family val="2"/>
          </rPr>
          <t>Annuaire statistique de la France, 1987, Institut National de la Statistique et des Études Économiques, Paris, 1988. p. 591</t>
        </r>
      </text>
    </comment>
    <comment ref="I39" authorId="0" shapeId="0" xr:uid="{F1F6C9DB-6BB0-491F-ADBC-DE27DDFA7417}">
      <text>
        <r>
          <rPr>
            <sz val="9"/>
            <color indexed="81"/>
            <rFont val="Tahoma"/>
            <family val="2"/>
          </rPr>
          <t>Annuaire statistique de la France, 1983, Institut National de la Statistique et des Études Économiques, Paris, 1984. p. 419</t>
        </r>
      </text>
    </comment>
    <comment ref="B40" authorId="0" shapeId="0" xr:uid="{C27B908D-5784-4AF9-A9EF-9015E2450687}">
      <text>
        <r>
          <rPr>
            <sz val="9"/>
            <color indexed="81"/>
            <rFont val="Tahoma"/>
            <family val="2"/>
          </rPr>
          <t>Annuaire statistique de la France, 1985, Institut National de la Statistique et des Études Économiques, Paris, 1986. p. 553</t>
        </r>
      </text>
    </comment>
    <comment ref="C40" authorId="0" shapeId="0" xr:uid="{932E61AE-DA44-4586-A410-6B7A5731BAB0}">
      <text>
        <r>
          <rPr>
            <sz val="9"/>
            <color indexed="81"/>
            <rFont val="Tahoma"/>
            <family val="2"/>
          </rPr>
          <t>Annuaire statistique de la France, 1987, Institut National de la Statistique et des Études Économiques, Paris, 1988. p. 591</t>
        </r>
      </text>
    </comment>
    <comment ref="B41" authorId="0" shapeId="0" xr:uid="{73807AE7-2482-4D39-8477-100A62653B69}">
      <text>
        <r>
          <rPr>
            <sz val="9"/>
            <color indexed="81"/>
            <rFont val="Tahoma"/>
            <family val="2"/>
          </rPr>
          <t>Annuaire statistique de la France, 1985, Institut National de la Statistique et des Études Économiques, Paris, 1986. p. 553</t>
        </r>
      </text>
    </comment>
    <comment ref="C41" authorId="0" shapeId="0" xr:uid="{FF4B41DA-2449-48DF-8C30-4EB4D6DD2516}">
      <text>
        <r>
          <rPr>
            <sz val="9"/>
            <color indexed="81"/>
            <rFont val="Tahoma"/>
            <family val="2"/>
          </rPr>
          <t>Annuaire statistique de la France, 1989, Institut National de la Statistique et des Études Économiques, Paris, 1990. p. 573</t>
        </r>
      </text>
    </comment>
    <comment ref="B42" authorId="0" shapeId="0" xr:uid="{4805F26C-BBDC-4A2A-9502-7B23024B91ED}">
      <text>
        <r>
          <rPr>
            <sz val="9"/>
            <color indexed="81"/>
            <rFont val="Tahoma"/>
            <family val="2"/>
          </rPr>
          <t>"L'industrie du verre en France", Verre, vol 1, no. 4, July-August 1995, p. 34-35</t>
        </r>
      </text>
    </comment>
    <comment ref="C42" authorId="0" shapeId="0" xr:uid="{A1E7234B-6C12-48A5-BC57-E489980F9F2A}">
      <text>
        <r>
          <rPr>
            <sz val="9"/>
            <color indexed="81"/>
            <rFont val="Tahoma"/>
            <family val="2"/>
          </rPr>
          <t>Annuaire statistique de la France, 1989, Institut National de la Statistique et des Études Économiques, Paris, 1990. p. 573</t>
        </r>
      </text>
    </comment>
    <comment ref="B43" authorId="0" shapeId="0" xr:uid="{3297D85D-62C0-4DF8-86F6-37A9D46632D5}">
      <text>
        <r>
          <rPr>
            <sz val="9"/>
            <color indexed="81"/>
            <rFont val="Tahoma"/>
            <family val="2"/>
          </rPr>
          <t>"L'industrie du verre en France", Verre, vol 1, no. 4, July-August 1995, p. 34-35</t>
        </r>
      </text>
    </comment>
    <comment ref="C43" authorId="0" shapeId="0" xr:uid="{0CDA5522-30BD-481E-91EE-9F67288676DC}">
      <text>
        <r>
          <rPr>
            <sz val="9"/>
            <color indexed="81"/>
            <rFont val="Tahoma"/>
            <family val="2"/>
          </rPr>
          <t>Annuaire statistique de la France, 1991-92, Institut National de la Statistique et des Études Économiques, Paris, 1993. p. 551</t>
        </r>
      </text>
    </comment>
    <comment ref="B44" authorId="0" shapeId="0" xr:uid="{6CC7F956-4D64-45CC-8689-07F85755E9C8}">
      <text>
        <r>
          <rPr>
            <sz val="9"/>
            <color indexed="81"/>
            <rFont val="Tahoma"/>
            <family val="2"/>
          </rPr>
          <t>"L'industrie du verre en France", Verre, vol 1, no. 4, July-August 1995, p. 34-35</t>
        </r>
      </text>
    </comment>
    <comment ref="C44" authorId="0" shapeId="0" xr:uid="{517D0C5E-AC3E-4397-86EE-7BB104372444}">
      <text>
        <r>
          <rPr>
            <sz val="9"/>
            <color indexed="81"/>
            <rFont val="Tahoma"/>
            <family val="2"/>
          </rPr>
          <t>Annuaire statistique de la France, 1991-92, Institut National de la Statistique et des Études Économiques, Paris, 1993. p. 551</t>
        </r>
      </text>
    </comment>
    <comment ref="B45" authorId="0" shapeId="0" xr:uid="{2BA8AE0B-4227-4C1B-9F0C-ADF074AD9641}">
      <text>
        <r>
          <rPr>
            <sz val="9"/>
            <color indexed="81"/>
            <rFont val="Tahoma"/>
            <family val="2"/>
          </rPr>
          <t>"L'industrie du verre en France", Verre, vol 1, no. 4, July-August 1995, p. 34-35</t>
        </r>
      </text>
    </comment>
    <comment ref="C45" authorId="0" shapeId="0" xr:uid="{02F77506-D543-4198-A601-DAB15B93D8BE}">
      <text>
        <r>
          <rPr>
            <sz val="9"/>
            <color indexed="81"/>
            <rFont val="Tahoma"/>
            <family val="2"/>
          </rPr>
          <t>Annuaire statistique de la France, 1991-92, Institut National de la Statistique et des Études Économiques, Paris, 1993. p. 551</t>
        </r>
      </text>
    </comment>
    <comment ref="B46" authorId="0" shapeId="0" xr:uid="{59AB9BC8-F330-4069-8893-C7A33920532A}">
      <text>
        <r>
          <rPr>
            <sz val="9"/>
            <color indexed="81"/>
            <rFont val="Tahoma"/>
            <family val="2"/>
          </rPr>
          <t>"L'industrie du verre en France", Verre, vol 1, no. 4, July-August 1995, p. 34-35</t>
        </r>
      </text>
    </comment>
    <comment ref="C46" authorId="0" shapeId="0" xr:uid="{9FEEF4FE-8655-4664-8F18-1D5A93F1FB42}">
      <text>
        <r>
          <rPr>
            <sz val="9"/>
            <color indexed="81"/>
            <rFont val="Tahoma"/>
            <family val="2"/>
          </rPr>
          <t>Annuaire statistique de la France, 1991-92, Institut National de la Statistique et des Études Économiques, Paris, 1993. p. 551</t>
        </r>
      </text>
    </comment>
    <comment ref="B47" authorId="0" shapeId="0" xr:uid="{B5404496-9EAD-42D6-919D-87DC457ABF3A}">
      <text>
        <r>
          <rPr>
            <sz val="9"/>
            <color indexed="81"/>
            <rFont val="Tahoma"/>
            <family val="2"/>
          </rPr>
          <t>"L'industrie du verre en France", Verre, vol 1, no. 4, July-August 1995, p. 34-35</t>
        </r>
      </text>
    </comment>
    <comment ref="C47" authorId="0" shapeId="0" xr:uid="{F4175C34-5B56-48FE-8EEB-12E08997EE57}">
      <text>
        <r>
          <rPr>
            <sz val="9"/>
            <color indexed="81"/>
            <rFont val="Tahoma"/>
            <family val="2"/>
          </rPr>
          <t>Annuaire statistique de la France, 1991-92, Institut National de la Statistique et des Études Économiques, Paris, 1993. p. 551</t>
        </r>
      </text>
    </comment>
    <comment ref="B48" authorId="0" shapeId="0" xr:uid="{F399DEAC-776D-4290-8F05-4879B0C6DC68}">
      <text>
        <r>
          <rPr>
            <sz val="9"/>
            <color indexed="81"/>
            <rFont val="Tahoma"/>
            <family val="2"/>
          </rPr>
          <t>"L'industrie du verre en France", Verre, vol 1, no. 4, July-August 1995, p. 34-35</t>
        </r>
      </text>
    </comment>
    <comment ref="C48" authorId="0" shapeId="0" xr:uid="{825D18E8-6F12-428A-A94D-8EB62024A992}">
      <text>
        <r>
          <rPr>
            <sz val="9"/>
            <color indexed="81"/>
            <rFont val="Tahoma"/>
            <family val="2"/>
          </rPr>
          <t>Annuaire statistique de la France, 1993, Institut National de la Statistique et des Études Économiques, Paris, 1994. p. 551</t>
        </r>
      </text>
    </comment>
    <comment ref="B49" authorId="0" shapeId="0" xr:uid="{6BB6E72D-ED3C-41CA-B02B-69A4A4E3ABD6}">
      <text>
        <r>
          <rPr>
            <sz val="9"/>
            <color indexed="81"/>
            <rFont val="Tahoma"/>
            <family val="2"/>
          </rPr>
          <t xml:space="preserve">"Statistiques de l'industrie du verre", </t>
        </r>
        <r>
          <rPr>
            <i/>
            <sz val="9"/>
            <color indexed="81"/>
            <rFont val="Tahoma"/>
            <family val="2"/>
          </rPr>
          <t>Verre</t>
        </r>
        <r>
          <rPr>
            <sz val="9"/>
            <color indexed="81"/>
            <rFont val="Tahoma"/>
            <family val="2"/>
          </rPr>
          <t>, vol. 8, n°2, March-April 1994, p. 109</t>
        </r>
      </text>
    </comment>
    <comment ref="C49" authorId="0" shapeId="0" xr:uid="{5F2511C6-4C72-400A-A0CE-0B88410C9848}">
      <text>
        <r>
          <rPr>
            <sz val="9"/>
            <color indexed="81"/>
            <rFont val="Tahoma"/>
            <family val="2"/>
          </rPr>
          <t>Annuaire statistique de la France, 1994, Institut National de la Statistique et des Études Économiques, Paris, 1995. p. 593</t>
        </r>
      </text>
    </comment>
    <comment ref="B50" authorId="0" shapeId="0" xr:uid="{C2C62BD6-DB80-41CC-B3B0-1DFD4A17F472}">
      <text>
        <r>
          <rPr>
            <sz val="9"/>
            <color indexed="81"/>
            <rFont val="Tahoma"/>
            <family val="2"/>
          </rPr>
          <t>"Statistiques de l'industrie du verre", Verre, vol. 8, n°2, March-April 1994, p. 109</t>
        </r>
      </text>
    </comment>
    <comment ref="C50" authorId="0" shapeId="0" xr:uid="{BE4E09DC-B2B7-4B34-BC91-355BAFB1A703}">
      <text>
        <r>
          <rPr>
            <sz val="9"/>
            <color indexed="81"/>
            <rFont val="Tahoma"/>
            <family val="2"/>
          </rPr>
          <t>Annuaire statistique de la France, 1994, Institut National de la Statistique et des Études Économiques, Paris, 1995. p. 593</t>
        </r>
      </text>
    </comment>
    <comment ref="F50" authorId="0" shapeId="0" xr:uid="{F6699223-E52A-4608-B5BB-9F82E9C85A42}">
      <text>
        <r>
          <rPr>
            <sz val="9"/>
            <color indexed="81"/>
            <rFont val="Tahoma"/>
            <family val="2"/>
          </rPr>
          <t>(SESSI, 1995)</t>
        </r>
      </text>
    </comment>
    <comment ref="H50" authorId="0" shapeId="0" xr:uid="{862581AF-79FF-42C7-92EE-45CEB1BD23FB}">
      <text>
        <r>
          <rPr>
            <sz val="9"/>
            <color indexed="81"/>
            <rFont val="Tahoma"/>
            <family val="2"/>
          </rPr>
          <t>(SESSI, 1995)</t>
        </r>
      </text>
    </comment>
    <comment ref="J50" authorId="0" shapeId="0" xr:uid="{83AA359E-099C-4582-B521-873ACBBA0603}">
      <text>
        <r>
          <rPr>
            <sz val="9"/>
            <color indexed="81"/>
            <rFont val="Tahoma"/>
            <family val="2"/>
          </rPr>
          <t>(SESSI, 1995)</t>
        </r>
      </text>
    </comment>
    <comment ref="B51" authorId="0" shapeId="0" xr:uid="{CA88BFE8-50A6-427D-85B8-F2EF00C134FE}">
      <text>
        <r>
          <rPr>
            <sz val="9"/>
            <color indexed="81"/>
            <rFont val="Tahoma"/>
            <family val="2"/>
          </rPr>
          <t>"Statistiques de l'industrie verrière française en 1994", Verre, vol. 1, n°2, March-April 1995, p. 26-7</t>
        </r>
      </text>
    </comment>
    <comment ref="C51" authorId="0" shapeId="0" xr:uid="{DDD23B62-A7AE-4E9E-9392-0FDE9FECD422}">
      <text>
        <r>
          <rPr>
            <sz val="9"/>
            <color indexed="81"/>
            <rFont val="Tahoma"/>
            <family val="2"/>
          </rPr>
          <t>Annuaire statistique de la France, 1997, Institut National de la Statistique et des Études Économiques, Paris, 1998. p. 691</t>
        </r>
      </text>
    </comment>
    <comment ref="B52" authorId="0" shapeId="0" xr:uid="{9A6DE3C5-F443-4B87-9F08-89230F7F7482}">
      <text>
        <r>
          <rPr>
            <sz val="9"/>
            <color indexed="81"/>
            <rFont val="Tahoma"/>
            <family val="2"/>
          </rPr>
          <t>"Le verre plat européen: stragies et réalités", Verre, vol. 2, n° 5, septembre-octobre 1996, p. 40-6</t>
        </r>
      </text>
    </comment>
    <comment ref="C52" authorId="0" shapeId="0" xr:uid="{54DD236D-EBB8-4BB5-81E3-9ACECD7FB205}">
      <text>
        <r>
          <rPr>
            <sz val="9"/>
            <color indexed="81"/>
            <rFont val="Tahoma"/>
            <family val="2"/>
          </rPr>
          <t>Annuaire statistique de la France, 1997, Institut National de la Statistique et des Études Économiques, Paris, 1998. p. 691</t>
        </r>
      </text>
    </comment>
    <comment ref="B53" authorId="0" shapeId="0" xr:uid="{FD30F92E-BC62-4C5B-A354-7429E72190D5}">
      <text>
        <r>
          <rPr>
            <sz val="9"/>
            <color indexed="81"/>
            <rFont val="Tahoma"/>
            <family val="2"/>
          </rPr>
          <t>"Statistiques de l'industrie verrière fançaise en 1996", Verre, vol. 3, n° 2, mars-avril 1997, p. 32-33</t>
        </r>
      </text>
    </comment>
    <comment ref="C53" authorId="0" shapeId="0" xr:uid="{5CFA633E-C255-42C4-BEB1-6E3CBEC44F47}">
      <text>
        <r>
          <rPr>
            <sz val="9"/>
            <color indexed="81"/>
            <rFont val="Tahoma"/>
            <family val="2"/>
          </rPr>
          <t>Annuaire statistique de la France, 1997, Institut National de la Statistique et des Études Économiques, Paris, 1998. p. 691</t>
        </r>
      </text>
    </comment>
    <comment ref="B54" authorId="0" shapeId="0" xr:uid="{22E0FCEF-B881-49C0-B7D2-E6845E5A7101}">
      <text>
        <r>
          <rPr>
            <sz val="9"/>
            <color indexed="81"/>
            <rFont val="Tahoma"/>
            <family val="2"/>
          </rPr>
          <t>"Statistiques de l'industrie verrière en 1997", Verre, vol. 4, n°2, March-April 1998, p. 58-9</t>
        </r>
      </text>
    </comment>
    <comment ref="B55" authorId="0" shapeId="0" xr:uid="{4811262D-538F-46E6-BC99-539216137CB2}">
      <text>
        <r>
          <rPr>
            <sz val="9"/>
            <color indexed="81"/>
            <rFont val="Tahoma"/>
            <family val="2"/>
          </rPr>
          <t>"L'industrie verrière française en 2003", Verre, vol. 10, n° 5, October 2004, p. 52-6</t>
        </r>
      </text>
    </comment>
    <comment ref="C55" authorId="0" shapeId="0" xr:uid="{BD693CD3-0DB4-4B0D-974A-1ACF4B7D23E5}">
      <text>
        <r>
          <rPr>
            <sz val="9"/>
            <color indexed="81"/>
            <rFont val="Tahoma"/>
            <family val="2"/>
          </rPr>
          <t xml:space="preserve">PRODCOM, Eurostat, 2020
Code: 23121330
Label: Multiple-walled insulating units of glass </t>
        </r>
      </text>
    </comment>
    <comment ref="B56" authorId="0" shapeId="0" xr:uid="{F46C0D4B-E8F3-4810-8718-913BC43B8B4A}">
      <text>
        <r>
          <rPr>
            <sz val="9"/>
            <color indexed="81"/>
            <rFont val="Tahoma"/>
            <family val="2"/>
          </rPr>
          <t>"L'industrie verrière française en 2003", Verre, vol. 10 n°5 octobre 2004, 52-56</t>
        </r>
      </text>
    </comment>
    <comment ref="C56" authorId="0" shapeId="0" xr:uid="{BAB244C9-B46F-4C1C-B39E-8A9EDD00A709}">
      <text>
        <r>
          <rPr>
            <sz val="9"/>
            <color indexed="81"/>
            <rFont val="Tahoma"/>
            <family val="2"/>
          </rPr>
          <t xml:space="preserve">PRODCOM, Eurostat, 2020
Code: 23121330
Label: Multiple-walled insulating units of glass </t>
        </r>
      </text>
    </comment>
    <comment ref="B57" authorId="0" shapeId="0" xr:uid="{4D33A3D7-BB36-419D-8223-01AA51ECAF99}">
      <text>
        <r>
          <rPr>
            <sz val="9"/>
            <color indexed="81"/>
            <rFont val="Tahoma"/>
            <family val="2"/>
          </rPr>
          <t>"L'industrie verrière française en 2003", Verre, vol. 10 n°5 octobre 2004, 52-56</t>
        </r>
      </text>
    </comment>
    <comment ref="C57" authorId="0" shapeId="0" xr:uid="{199C7D39-0E25-4898-A6C2-0AACBA614FA9}">
      <text>
        <r>
          <rPr>
            <sz val="9"/>
            <color indexed="81"/>
            <rFont val="Tahoma"/>
            <family val="2"/>
          </rPr>
          <t xml:space="preserve">PRODCOM, Eurostat, 2020
Code: 23121330
Label: Multiple-walled insulating units of glass </t>
        </r>
      </text>
    </comment>
    <comment ref="B58" authorId="0" shapeId="0" xr:uid="{CD6420F0-E628-44E1-BEA5-B933D098E632}">
      <text>
        <r>
          <rPr>
            <sz val="9"/>
            <color indexed="81"/>
            <rFont val="Tahoma"/>
            <family val="2"/>
          </rPr>
          <t>"L'industrie verrière française en 2003", Verre, vol. 10 n°5 octobre 2004, 52-56</t>
        </r>
      </text>
    </comment>
    <comment ref="C58" authorId="0" shapeId="0" xr:uid="{28A45039-8DBE-4519-AB99-D04EC8A396B3}">
      <text>
        <r>
          <rPr>
            <sz val="9"/>
            <color indexed="81"/>
            <rFont val="Tahoma"/>
            <family val="2"/>
          </rPr>
          <t xml:space="preserve">PRODCOM, Eurostat, 2020
Code: 23121330
Label: Multiple-walled insulating units of glass </t>
        </r>
      </text>
    </comment>
    <comment ref="B59" authorId="0" shapeId="0" xr:uid="{C9FA6131-4EC5-4C17-A4F9-30FE42F9B5CD}">
      <text>
        <r>
          <rPr>
            <sz val="9"/>
            <color indexed="81"/>
            <rFont val="Tahoma"/>
            <family val="2"/>
          </rPr>
          <t>"L'industrie française du verre", Verre, vol. 11 n°3 Juin 2005, 68_72</t>
        </r>
      </text>
    </comment>
    <comment ref="B60" authorId="0" shapeId="0" xr:uid="{17D9D6D3-AACE-4F44-AF33-6D0E9D6470B8}">
      <text>
        <r>
          <rPr>
            <sz val="9"/>
            <color indexed="81"/>
            <rFont val="Tahoma"/>
            <family val="2"/>
          </rPr>
          <t>"L'industrie française du verre en 2003", Verre, vol. 10 n°5, October 2004, 52-6</t>
        </r>
      </text>
    </comment>
    <comment ref="C60" authorId="0" shapeId="0" xr:uid="{3B4D5377-BE45-4AF0-B42F-E5573453EC1B}">
      <text>
        <r>
          <rPr>
            <sz val="9"/>
            <color indexed="81"/>
            <rFont val="Tahoma"/>
            <family val="2"/>
          </rPr>
          <t xml:space="preserve">PRODCOM, Eurostat, 2020
Code: 23121330
Label: Multiple-walled insulating units of glass </t>
        </r>
      </text>
    </comment>
    <comment ref="B61" authorId="0" shapeId="0" xr:uid="{5FAC6FFF-C7AB-4273-9D89-4B05758AC22A}">
      <text>
        <r>
          <rPr>
            <sz val="9"/>
            <color indexed="81"/>
            <rFont val="Tahoma"/>
            <family val="2"/>
          </rPr>
          <t>"L'industrie française du verre", Verre, vol. 11 n°3 Juin 2005, p. 68-72</t>
        </r>
      </text>
    </comment>
    <comment ref="C61" authorId="0" shapeId="0" xr:uid="{145076F5-E385-4A79-B0D2-2BF31DE0EB5F}">
      <text>
        <r>
          <rPr>
            <sz val="9"/>
            <color indexed="81"/>
            <rFont val="Tahoma"/>
            <family val="2"/>
          </rPr>
          <t xml:space="preserve">PRODCOM, Eurostat, 2020
Code: 23121330
Label: Multiple-walled insulating units of glass </t>
        </r>
      </text>
    </comment>
    <comment ref="B62" authorId="0" shapeId="0" xr:uid="{6DB0907B-B883-4E55-9ED1-7F713128AF7A}">
      <text>
        <r>
          <rPr>
            <sz val="9"/>
            <color indexed="81"/>
            <rFont val="Tahoma"/>
            <family val="2"/>
          </rPr>
          <t>"L'industrie française du verre", Verre, vol. 11 n°3 Juin 2005, 68_72</t>
        </r>
      </text>
    </comment>
    <comment ref="C62" authorId="0" shapeId="0" xr:uid="{C7E96746-251F-48F9-8851-7AD9938CDFCB}">
      <text>
        <r>
          <rPr>
            <sz val="9"/>
            <color indexed="81"/>
            <rFont val="Tahoma"/>
            <family val="2"/>
          </rPr>
          <t xml:space="preserve">PRODCOM, Eurostat, 2020
Code: 23121330
Label: Multiple-walled insulating units of glass </t>
        </r>
      </text>
    </comment>
    <comment ref="B63" authorId="0" shapeId="0" xr:uid="{05C99B5A-7242-4DF3-B576-A575ADDACFD1}">
      <text>
        <r>
          <rPr>
            <sz val="9"/>
            <color indexed="81"/>
            <rFont val="Tahoma"/>
            <family val="2"/>
          </rPr>
          <t>"Lindustrie verrière française en 2006", Verre, vol.13, no. 6, dec 2007, 66-9</t>
        </r>
      </text>
    </comment>
    <comment ref="C63" authorId="0" shapeId="0" xr:uid="{7DC4F8D9-2090-480C-8299-BF7429CBF7C5}">
      <text>
        <r>
          <rPr>
            <sz val="9"/>
            <color indexed="81"/>
            <rFont val="Tahoma"/>
            <family val="2"/>
          </rPr>
          <t xml:space="preserve">PRODCOM, Eurostat, 2020
Code: 23121330
Label: Multiple-walled insulating units of glass </t>
        </r>
      </text>
    </comment>
    <comment ref="B64" authorId="0" shapeId="0" xr:uid="{EA201989-7BD6-4CB6-9108-A9DD8FF988D9}">
      <text>
        <r>
          <rPr>
            <sz val="9"/>
            <color indexed="81"/>
            <rFont val="Tahoma"/>
            <family val="2"/>
          </rPr>
          <t>"L'industrie verrière française en 2007", Verre, vol. 14, n°4, august 2008, p. 10-3</t>
        </r>
      </text>
    </comment>
    <comment ref="C64" authorId="0" shapeId="0" xr:uid="{ADA85C24-1557-485C-AF31-A94B48DB06FF}">
      <text>
        <r>
          <rPr>
            <sz val="9"/>
            <color indexed="81"/>
            <rFont val="Tahoma"/>
            <family val="2"/>
          </rPr>
          <t xml:space="preserve">PRODCOM, Eurostat, 2020
Code: 23121330
Label: Multiple-walled insulating units of glass </t>
        </r>
      </text>
    </comment>
    <comment ref="B65" authorId="0" shapeId="0" xr:uid="{A4DA013E-AC30-415E-A5C3-7028F2850EE1}">
      <text>
        <r>
          <rPr>
            <sz val="9"/>
            <color indexed="81"/>
            <rFont val="Tahoma"/>
            <family val="2"/>
          </rPr>
          <t>"L'évolution générale de l'industrie du verre en 2008", Verre, vol. 15, n°5, nov. 2009, p. 37-9</t>
        </r>
      </text>
    </comment>
    <comment ref="C65" authorId="0" shapeId="0" xr:uid="{0DF39D50-D738-4EF9-815C-50194703B939}">
      <text>
        <r>
          <rPr>
            <sz val="9"/>
            <color indexed="81"/>
            <rFont val="Tahoma"/>
            <family val="2"/>
          </rPr>
          <t xml:space="preserve">PRODCOM, Eurostat, 2020
Code: 23121330
Label: Multiple-walled insulating units of glass </t>
        </r>
      </text>
    </comment>
    <comment ref="B66" authorId="0" shapeId="0" xr:uid="{B9167F23-4557-441E-B2F1-E6FC9117206F}">
      <text>
        <r>
          <rPr>
            <sz val="9"/>
            <color indexed="81"/>
            <rFont val="Tahoma"/>
            <family val="2"/>
          </rPr>
          <t>Rapport d'activité 2013, Fédération des industries du verre.
http://www.verre-avenir.fr/Espace-Communication/Espace-Presse/Communiques-de-presse</t>
        </r>
      </text>
    </comment>
    <comment ref="C66" authorId="0" shapeId="0" xr:uid="{FE55B507-78BF-4278-A0C5-45284538797D}">
      <text>
        <r>
          <rPr>
            <sz val="9"/>
            <color indexed="81"/>
            <rFont val="Tahoma"/>
            <family val="2"/>
          </rPr>
          <t xml:space="preserve">PRODCOM, Eurostat, 2020
Code: 23121330
Label: Multiple-walled insulating units of glass </t>
        </r>
      </text>
    </comment>
    <comment ref="B67" authorId="0" shapeId="0" xr:uid="{608A7745-0C78-45B1-833C-6C0D36CA011B}">
      <text>
        <r>
          <rPr>
            <sz val="9"/>
            <color indexed="81"/>
            <rFont val="Tahoma"/>
            <family val="2"/>
          </rPr>
          <t>Rapport d'activité 2013, Fédération des industries du verre.
http://www.verre-avenir.fr/Espace-Communication/Espace-Presse/Communiques-de-presse</t>
        </r>
      </text>
    </comment>
    <comment ref="C67" authorId="0" shapeId="0" xr:uid="{93229A4D-7E79-406E-BD03-5C92323E8069}">
      <text>
        <r>
          <rPr>
            <sz val="9"/>
            <color indexed="81"/>
            <rFont val="Tahoma"/>
            <family val="2"/>
          </rPr>
          <t xml:space="preserve">PRODCOM, Eurostat, 2020
Code: 23121330
Label: Multiple-walled insulating units of glass </t>
        </r>
      </text>
    </comment>
    <comment ref="B68" authorId="0" shapeId="0" xr:uid="{FC3C3D2F-67B1-4D19-A39D-9BD6077DD7CE}">
      <text>
        <r>
          <rPr>
            <sz val="9"/>
            <color indexed="81"/>
            <rFont val="Tahoma"/>
            <family val="2"/>
          </rPr>
          <t>Rapport d'activité 2013, Fédération des industries du verre.
http://www.verre-avenir.fr/Espace-Communication/Espace-Presse/Communiques-de-presse</t>
        </r>
      </text>
    </comment>
    <comment ref="C68" authorId="0" shapeId="0" xr:uid="{FF852DF5-7BB7-4F3C-9408-6262DAE93E18}">
      <text>
        <r>
          <rPr>
            <sz val="9"/>
            <color indexed="81"/>
            <rFont val="Tahoma"/>
            <family val="2"/>
          </rPr>
          <t xml:space="preserve">PRODCOM, Eurostat, 2020
Code: 23121330
Label: Multiple-walled insulating units of glass </t>
        </r>
      </text>
    </comment>
    <comment ref="B69" authorId="0" shapeId="0" xr:uid="{E3811405-77BA-4DD8-AC23-4AA09F95ABB0}">
      <text>
        <r>
          <rPr>
            <sz val="9"/>
            <color indexed="81"/>
            <rFont val="Tahoma"/>
            <family val="2"/>
          </rPr>
          <t>Rapport d'activité 2013, Fédération des industries du verre.
http://www.verre-avenir.fr/Espace-Communication/Espace-Presse/Communiques-de-presse</t>
        </r>
      </text>
    </comment>
    <comment ref="C69" authorId="0" shapeId="0" xr:uid="{2FC7E9B1-B0F6-489E-94A3-FE212771E569}">
      <text>
        <r>
          <rPr>
            <sz val="9"/>
            <color indexed="81"/>
            <rFont val="Tahoma"/>
            <family val="2"/>
          </rPr>
          <t xml:space="preserve">PRODCOM, Eurostat, 2020
Code: 23121330
Label: Multiple-walled insulating units of glass </t>
        </r>
      </text>
    </comment>
    <comment ref="B70" authorId="0" shapeId="0" xr:uid="{19A382A2-03F2-4AB8-9018-C64E8C1DBD0F}">
      <text>
        <r>
          <rPr>
            <sz val="9"/>
            <color indexed="81"/>
            <rFont val="Tahoma"/>
            <family val="2"/>
          </rPr>
          <t>Rapport d'activité 2013, Fédération des industries du verre.
http://www.verre-avenir.fr/Espace-Communication/Espace-Presse/Communiques-de-presse</t>
        </r>
      </text>
    </comment>
    <comment ref="C70" authorId="0" shapeId="0" xr:uid="{63806239-DE57-4805-B1E0-0612E861110E}">
      <text>
        <r>
          <rPr>
            <sz val="9"/>
            <color indexed="81"/>
            <rFont val="Tahoma"/>
            <family val="2"/>
          </rPr>
          <t xml:space="preserve">PRODCOM, Eurostat, 2020
Code: 23121330
Label: Multiple-walled insulating units of glass </t>
        </r>
      </text>
    </comment>
    <comment ref="C71" authorId="0" shapeId="0" xr:uid="{7C5CE02C-012B-46BE-B10B-D789EC129E05}">
      <text>
        <r>
          <rPr>
            <sz val="9"/>
            <color indexed="81"/>
            <rFont val="Tahoma"/>
            <family val="2"/>
          </rPr>
          <t xml:space="preserve">PRODCOM, Eurostat, 2020
Code: 23121330
Label: Multiple-walled insulating units of glass </t>
        </r>
      </text>
    </comment>
    <comment ref="C72" authorId="0" shapeId="0" xr:uid="{FDCBA571-0FF9-43C8-A200-5E01F00DFE98}">
      <text>
        <r>
          <rPr>
            <sz val="9"/>
            <color indexed="81"/>
            <rFont val="Tahoma"/>
            <family val="2"/>
          </rPr>
          <t xml:space="preserve">PRODCOM, Eurostat, 2020
Code: 23121330
Label: Multiple-walled insulating units of glass </t>
        </r>
      </text>
    </comment>
    <comment ref="C73" authorId="0" shapeId="0" xr:uid="{4EEC977C-F516-4E7F-A7FB-AB2603609DBA}">
      <text>
        <r>
          <rPr>
            <sz val="9"/>
            <color indexed="81"/>
            <rFont val="Tahoma"/>
            <family val="2"/>
          </rPr>
          <t xml:space="preserve">PRODCOM, Eurostat, 2020
Code: 23121330
Label: Multiple-walled insulating units of glass </t>
        </r>
      </text>
    </comment>
    <comment ref="C74" authorId="0" shapeId="0" xr:uid="{2261C341-93AA-4BE1-BF53-48B958980633}">
      <text>
        <r>
          <rPr>
            <sz val="9"/>
            <color indexed="81"/>
            <rFont val="Tahoma"/>
            <family val="2"/>
          </rPr>
          <t xml:space="preserve">PRODCOM, Eurostat, 2020
Code: 23121330
Label: Multiple-walled insulating units of glass </t>
        </r>
      </text>
    </comment>
    <comment ref="C75" authorId="0" shapeId="0" xr:uid="{B049187A-49B0-48AD-8E4D-55539A4B3CBA}">
      <text>
        <r>
          <rPr>
            <sz val="9"/>
            <color indexed="81"/>
            <rFont val="Tahoma"/>
            <family val="2"/>
          </rPr>
          <t xml:space="preserve">PRODCOM, Eurostat, 2020
Code: 23121330
Label: Multiple-walled insulating units of glass </t>
        </r>
      </text>
    </comment>
    <comment ref="C76" authorId="0" shapeId="0" xr:uid="{C144DA42-CDB6-4968-AFEF-5BD6E43195B5}">
      <text>
        <r>
          <rPr>
            <sz val="9"/>
            <color indexed="81"/>
            <rFont val="Tahoma"/>
            <family val="2"/>
          </rPr>
          <t xml:space="preserve">PRODCOM, Eurostat, 2020
Code: 23121330
Label: Multiple-walled insulating units of glass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092B2D38-F203-45B3-89B0-CD046436BD54}">
      <text>
        <r>
          <rPr>
            <sz val="9"/>
            <color indexed="81"/>
            <rFont val="Tahoma"/>
            <family val="2"/>
          </rPr>
          <t xml:space="preserve">Unless otherwise indicated in a note attached to the cell, all data collected in this column comes from: 
PRODCOM, Eurostat, 2020
Code: 23121330
Label: Multiple-walled insulating units of glass </t>
        </r>
      </text>
    </comment>
    <comment ref="C1" authorId="0" shapeId="0" xr:uid="{B7C43B70-D38D-4D7F-A810-B23A7BF3039A}">
      <text>
        <r>
          <rPr>
            <sz val="9"/>
            <color indexed="81"/>
            <rFont val="Tahoma"/>
            <family val="2"/>
          </rPr>
          <t>Unless otherwise indicated in a note attached to the cell, all data collected in this column comes from:
Production industrielle: industrie du verre, Service des études et des statistiques industrielles, 1989-2004</t>
        </r>
      </text>
    </comment>
    <comment ref="B4" authorId="0" shapeId="0" xr:uid="{FE59B679-A1D6-4E71-B745-017139DBB512}">
      <text>
        <r>
          <rPr>
            <b/>
            <sz val="9"/>
            <color indexed="81"/>
            <rFont val="Tahoma"/>
            <charset val="1"/>
          </rPr>
          <t>Start of the production</t>
        </r>
      </text>
    </comment>
    <comment ref="C4" authorId="0" shapeId="0" xr:uid="{769D8BE8-1E7F-4110-A753-A1A5EC547DAB}">
      <text>
        <r>
          <rPr>
            <sz val="9"/>
            <color indexed="81"/>
            <rFont val="Tahoma"/>
            <charset val="1"/>
          </rPr>
          <t>Start of the production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DED84609-F5DE-4EE6-ADC7-7892F3135651}">
      <text>
        <r>
          <rPr>
            <sz val="9"/>
            <color indexed="81"/>
            <rFont val="Tahoma"/>
            <family val="2"/>
          </rPr>
          <t xml:space="preserve">Unless otherwise indicated in a note attached to the cell, all data collected in this column comes from:
PRODCOM, Eurostat, 2020
Code: 23121330
Label: Multiple-walled insulating units of glass </t>
        </r>
      </text>
    </comment>
    <comment ref="C1" authorId="0" shapeId="0" xr:uid="{E3C4BC39-5BBA-475A-A079-6EAF228F41F5}">
      <text>
        <r>
          <rPr>
            <sz val="9"/>
            <color indexed="81"/>
            <rFont val="Tahoma"/>
            <family val="2"/>
          </rPr>
          <t>Unless otherwise indicated in a note attached to the cell, all data collected in this column comes from:
Production industrielle: industrie du verre, Service des études et des statistiques industrielles, 1989-2004</t>
        </r>
      </text>
    </comment>
    <comment ref="B4" authorId="0" shapeId="0" xr:uid="{097D0348-A7F2-4FF5-9438-43AF802B2857}">
      <text>
        <r>
          <rPr>
            <b/>
            <sz val="9"/>
            <color indexed="81"/>
            <rFont val="Tahoma"/>
            <charset val="1"/>
          </rPr>
          <t>Start of the production</t>
        </r>
      </text>
    </comment>
    <comment ref="C4" authorId="0" shapeId="0" xr:uid="{BE8F3D9D-0EE8-4EE3-A265-4785648DB449}">
      <text>
        <r>
          <rPr>
            <sz val="9"/>
            <color indexed="81"/>
            <rFont val="Tahoma"/>
            <charset val="1"/>
          </rPr>
          <t>Start of the production</t>
        </r>
      </text>
    </comment>
    <comment ref="B46" authorId="0" shapeId="0" xr:uid="{516FDB64-E6E6-437C-BE19-0F84123477E8}">
      <text>
        <r>
          <rPr>
            <sz val="9"/>
            <color indexed="81"/>
            <rFont val="Tahoma"/>
            <family val="2"/>
          </rPr>
          <t>Production industrielle: industrie du verre, Service des études et des statistiques industrielles</t>
        </r>
      </text>
    </comment>
    <comment ref="B47" authorId="0" shapeId="0" xr:uid="{5AFAB1EF-A477-4384-9DC2-488F8906D1B0}">
      <text>
        <r>
          <rPr>
            <sz val="9"/>
            <color indexed="81"/>
            <rFont val="Tahoma"/>
            <family val="2"/>
          </rPr>
          <t>Production industrielle: industrie du verre, Service des études et des statistiques industrielles</t>
        </r>
      </text>
    </comment>
    <comment ref="B48" authorId="0" shapeId="0" xr:uid="{AD40C842-AD8D-4E6B-845B-BC9211B52AA8}">
      <text>
        <r>
          <rPr>
            <sz val="9"/>
            <color indexed="81"/>
            <rFont val="Tahoma"/>
            <family val="2"/>
          </rPr>
          <t>Production industrielle: industrie du verre, Service des études et des statistiques industrielles</t>
        </r>
      </text>
    </comment>
    <comment ref="B49" authorId="0" shapeId="0" xr:uid="{F9AF2EF0-8C4C-4135-B58E-0A03212FE5B6}">
      <text>
        <r>
          <rPr>
            <sz val="9"/>
            <color indexed="81"/>
            <rFont val="Tahoma"/>
            <family val="2"/>
          </rPr>
          <t>Production industrielle: industrie du verre, Service des études et des statistiques industrielles</t>
        </r>
      </text>
    </comment>
    <comment ref="B50" authorId="0" shapeId="0" xr:uid="{B9ADD180-AD61-413E-9212-0B32B77557E4}">
      <text>
        <r>
          <rPr>
            <sz val="9"/>
            <color indexed="81"/>
            <rFont val="Tahoma"/>
            <family val="2"/>
          </rPr>
          <t>Production industrielle: industrie du verre, Service des études et des statistiques industrielles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13C33226-F803-4041-ACB0-CE3C4ACF9BFE}">
      <text>
        <r>
          <rPr>
            <sz val="9"/>
            <color indexed="81"/>
            <rFont val="Tahoma"/>
            <family val="2"/>
          </rPr>
          <t>OECD Data:
https://data.oecd.org/pop/population.htm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BB5C71D2-02D7-46C8-AE59-7ECA18406FB8}">
      <text>
        <r>
          <rPr>
            <sz val="9"/>
            <color indexed="81"/>
            <rFont val="Tahoma"/>
            <family val="2"/>
          </rPr>
          <t>(Boaglio 1990)</t>
        </r>
      </text>
    </comment>
    <comment ref="C1" authorId="0" shapeId="0" xr:uid="{DBCA2566-C595-479B-B8C2-B2835C753619}">
      <text>
        <r>
          <rPr>
            <sz val="9"/>
            <color indexed="81"/>
            <rFont val="Tahoma"/>
            <family val="2"/>
          </rPr>
          <t>(Boaglio 1990)</t>
        </r>
      </text>
    </comment>
    <comment ref="D1" authorId="0" shapeId="0" xr:uid="{4FA42AB7-A3AC-40CA-BB01-5DF2FF3C24B8}">
      <text>
        <r>
          <rPr>
            <sz val="9"/>
            <color indexed="81"/>
            <rFont val="Tahoma"/>
            <family val="2"/>
          </rPr>
          <t>(Boaglio 1990)</t>
        </r>
      </text>
    </comment>
    <comment ref="E1" authorId="0" shapeId="0" xr:uid="{F3FFFBFD-D924-435A-953E-426BA71BB42D}">
      <text>
        <r>
          <rPr>
            <sz val="9"/>
            <color indexed="81"/>
            <rFont val="Tahoma"/>
            <family val="2"/>
          </rPr>
          <t>(Boaglio 1990)</t>
        </r>
      </text>
    </comment>
    <comment ref="F1" authorId="0" shapeId="0" xr:uid="{45FBCD93-AB76-419F-9A37-B59F118AEF87}">
      <text>
        <r>
          <rPr>
            <sz val="9"/>
            <color indexed="81"/>
            <rFont val="Tahoma"/>
            <family val="2"/>
          </rPr>
          <t>(Boaglio 1990)</t>
        </r>
      </text>
    </comment>
    <comment ref="G1" authorId="0" shapeId="0" xr:uid="{9760C7CD-8434-4BF4-B61F-89738B244F41}">
      <text>
        <r>
          <rPr>
            <sz val="9"/>
            <color indexed="81"/>
            <rFont val="Tahoma"/>
            <family val="2"/>
          </rPr>
          <t>(Boaglio 1990)</t>
        </r>
      </text>
    </comment>
    <comment ref="H1" authorId="0" shapeId="0" xr:uid="{C34FB9E8-F0D9-403C-818F-0C1D1D5D31EA}">
      <text>
        <r>
          <rPr>
            <sz val="9"/>
            <color indexed="81"/>
            <rFont val="Tahoma"/>
            <family val="2"/>
          </rPr>
          <t>(Boaglio 1990)</t>
        </r>
      </text>
    </comment>
    <comment ref="I1" authorId="0" shapeId="0" xr:uid="{9862B577-26B7-4085-8B5B-324952B54F46}">
      <text>
        <r>
          <rPr>
            <sz val="9"/>
            <color indexed="81"/>
            <rFont val="Tahoma"/>
            <family val="2"/>
          </rPr>
          <t>(Boaglio 1990)</t>
        </r>
      </text>
    </comment>
    <comment ref="K1" authorId="0" shapeId="0" xr:uid="{C932680E-7EF8-4008-9B0C-1326C66B00D8}">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L1" authorId="0" shapeId="0" xr:uid="{8F49884D-B8B1-4775-A812-CE05BE45FE13}">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M1" authorId="0" shapeId="0" xr:uid="{D631B7FC-288A-41DF-82EF-3FF1D04BF0B5}">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N1" authorId="0" shapeId="0" xr:uid="{01CB2A57-5500-484D-B5FC-32E28C6D8C44}">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O1" authorId="0" shapeId="0" xr:uid="{DF5E6328-C219-48BE-86E0-EACA6F2491E9}">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B11" authorId="0" shapeId="0" xr:uid="{C43787C7-4D1A-4739-80CE-D29493CDBC6C}">
      <text>
        <r>
          <rPr>
            <sz val="9"/>
            <color indexed="81"/>
            <rFont val="Tahoma"/>
            <family val="2"/>
          </rPr>
          <t>See also:
L'industrie du verre, Fédération des chambres syndicales de l'industrie du verre, 1954, p.96</t>
        </r>
      </text>
    </comment>
    <comment ref="C11" authorId="0" shapeId="0" xr:uid="{0F7B7D4B-6A2C-4B76-82FC-B446EDB91897}">
      <text>
        <r>
          <rPr>
            <sz val="9"/>
            <color indexed="81"/>
            <rFont val="Tahoma"/>
            <family val="2"/>
          </rPr>
          <t>See also:
L'industrie du verre, Fédération des chambres syndicales de l'industrie du verre, 1954, p.96</t>
        </r>
      </text>
    </comment>
    <comment ref="D11" authorId="0" shapeId="0" xr:uid="{3F10401D-0CFB-43A6-81D9-9877CFD8F5F4}">
      <text>
        <r>
          <rPr>
            <sz val="9"/>
            <color indexed="81"/>
            <rFont val="Tahoma"/>
            <family val="2"/>
          </rPr>
          <t>See also:
L'industrie du verre, Fédération des chambres syndicales de l'industrie du verre, 1954, p.96</t>
        </r>
      </text>
    </comment>
    <comment ref="E11" authorId="0" shapeId="0" xr:uid="{79ED667A-C0FC-4507-BE76-88DCA12CDB85}">
      <text>
        <r>
          <rPr>
            <sz val="9"/>
            <color indexed="81"/>
            <rFont val="Tahoma"/>
            <family val="2"/>
          </rPr>
          <t>See also:
L'industrie du verre, Fédération des chambres syndicales de l'industrie du verre, 1954, p.96</t>
        </r>
      </text>
    </comment>
    <comment ref="F11" authorId="0" shapeId="0" xr:uid="{454C283E-80BA-49AE-8E43-3B8086C3B4F4}">
      <text>
        <r>
          <rPr>
            <sz val="9"/>
            <color indexed="81"/>
            <rFont val="Tahoma"/>
            <family val="2"/>
          </rPr>
          <t>See also:
L'industrie du verre, Fédération des chambres syndicales de l'industrie du verre, 1954, p.96</t>
        </r>
      </text>
    </comment>
    <comment ref="G11" authorId="0" shapeId="0" xr:uid="{7208EAF8-5AAB-40EA-8C38-BA7C89626EA4}">
      <text>
        <r>
          <rPr>
            <sz val="9"/>
            <color indexed="81"/>
            <rFont val="Tahoma"/>
            <family val="2"/>
          </rPr>
          <t>See also:
L'industrie du verre, Fédération des chambres syndicales de l'industrie du verre, 1954, p.96</t>
        </r>
      </text>
    </comment>
    <comment ref="H11" authorId="0" shapeId="0" xr:uid="{E3B632C3-719E-4A46-AD7E-82CA020E9560}">
      <text>
        <r>
          <rPr>
            <sz val="9"/>
            <color indexed="81"/>
            <rFont val="Tahoma"/>
            <family val="2"/>
          </rPr>
          <t>See also:
L'industrie du verre, Fédération des chambres syndicales de l'industrie du verre, 1954, p.96</t>
        </r>
      </text>
    </comment>
    <comment ref="I11" authorId="0" shapeId="0" xr:uid="{6ADA0511-3CD0-40CF-B02F-B1B1F4EDD86C}">
      <text>
        <r>
          <rPr>
            <sz val="9"/>
            <color indexed="81"/>
            <rFont val="Tahoma"/>
            <family val="2"/>
          </rPr>
          <t>See also:
L'industrie du verre, Fédération des chambres syndicales de l'industrie du verre, 1954, p.96</t>
        </r>
      </text>
    </comment>
    <comment ref="B14" authorId="0" shapeId="0" xr:uid="{AF7358B9-3F48-4BEA-9DA2-9FEC156B9F2B}">
      <text>
        <r>
          <rPr>
            <sz val="9"/>
            <color indexed="81"/>
            <rFont val="Tahoma"/>
            <family val="2"/>
          </rPr>
          <t>See also:
L'industrie du verre, La documentation française illustrée, 1957, p. 8</t>
        </r>
      </text>
    </comment>
    <comment ref="C14" authorId="0" shapeId="0" xr:uid="{1CE45A16-D8F6-4CC1-A961-52209948C15A}">
      <text>
        <r>
          <rPr>
            <sz val="9"/>
            <color indexed="81"/>
            <rFont val="Tahoma"/>
            <family val="2"/>
          </rPr>
          <t>See also:
L'industrie du verre, La documentation française illustrée, 1957, p. 8</t>
        </r>
      </text>
    </comment>
    <comment ref="D14" authorId="0" shapeId="0" xr:uid="{E758DBC2-76BC-4D5D-B7D5-E898227D615E}">
      <text>
        <r>
          <rPr>
            <sz val="9"/>
            <color indexed="81"/>
            <rFont val="Tahoma"/>
            <family val="2"/>
          </rPr>
          <t>See also:
L'industrie du verre, La documentation française illustrée, 1957, p. 8</t>
        </r>
      </text>
    </comment>
    <comment ref="E14" authorId="0" shapeId="0" xr:uid="{A15DC764-EC47-416F-AC09-14CFE65BD8FF}">
      <text>
        <r>
          <rPr>
            <sz val="9"/>
            <color indexed="81"/>
            <rFont val="Tahoma"/>
            <family val="2"/>
          </rPr>
          <t>See also:
L'industrie du verre, La documentation française illustrée, 1957, p. 8</t>
        </r>
      </text>
    </comment>
    <comment ref="F14" authorId="0" shapeId="0" xr:uid="{CA562BFC-66BB-40D6-ADB7-2B33158FB509}">
      <text>
        <r>
          <rPr>
            <sz val="9"/>
            <color indexed="81"/>
            <rFont val="Tahoma"/>
            <family val="2"/>
          </rPr>
          <t>See also:
L'industrie du verre, La documentation française illustrée, 1957, p. 8</t>
        </r>
      </text>
    </comment>
    <comment ref="G14" authorId="0" shapeId="0" xr:uid="{92E97D45-A8EA-42C8-8442-B979ED751049}">
      <text>
        <r>
          <rPr>
            <sz val="9"/>
            <color indexed="81"/>
            <rFont val="Tahoma"/>
            <family val="2"/>
          </rPr>
          <t>See also:
L'industrie du verre, La documentation française illustrée, 1957, p. 8</t>
        </r>
      </text>
    </comment>
    <comment ref="H14" authorId="0" shapeId="0" xr:uid="{603AFC74-BC84-484E-B04B-1B57FF5EA6EA}">
      <text>
        <r>
          <rPr>
            <sz val="9"/>
            <color indexed="81"/>
            <rFont val="Tahoma"/>
            <family val="2"/>
          </rPr>
          <t>See also:
L'industrie du verre, La documentation française illustrée, 1957, p. 8</t>
        </r>
      </text>
    </comment>
    <comment ref="I14" authorId="0" shapeId="0" xr:uid="{17EBF6C2-507E-490E-AE28-59E4CAA8484E}">
      <text>
        <r>
          <rPr>
            <sz val="9"/>
            <color indexed="81"/>
            <rFont val="Tahoma"/>
            <family val="2"/>
          </rPr>
          <t>See also:
L'industrie du verre, La documentation française illustrée, 1957, p. 8</t>
        </r>
      </text>
    </comment>
    <comment ref="B29" authorId="0" shapeId="0" xr:uid="{98B91A2D-0BDD-44EC-A6E6-4C4B327C2213}">
      <text>
        <r>
          <rPr>
            <sz val="9"/>
            <color indexed="81"/>
            <rFont val="Tahoma"/>
            <family val="2"/>
          </rPr>
          <t>Industries du verre, CNPF and INSEE, 1971, Monographies de l'industrie et du commerce en France, n° 1, p. 19</t>
        </r>
      </text>
    </comment>
    <comment ref="C29" authorId="0" shapeId="0" xr:uid="{834B3E52-E541-46D5-B8FA-E23AA4156482}">
      <text>
        <r>
          <rPr>
            <sz val="9"/>
            <color indexed="81"/>
            <rFont val="Tahoma"/>
            <family val="2"/>
          </rPr>
          <t>Industries du verre, CNPF and INSEE, 1971, Monographies de l'industrie et du commerce en France, n° 1, p. 19</t>
        </r>
      </text>
    </comment>
    <comment ref="D29" authorId="0" shapeId="0" xr:uid="{C92FDEA9-A7F8-4403-A44B-5651601BE79C}">
      <text>
        <r>
          <rPr>
            <sz val="9"/>
            <color indexed="81"/>
            <rFont val="Tahoma"/>
            <family val="2"/>
          </rPr>
          <t>Industries du verre, CNPF and INSEE, 1971, Monographies de l'industrie et du commerce en France, n° 1, p. 19</t>
        </r>
      </text>
    </comment>
    <comment ref="E29" authorId="0" shapeId="0" xr:uid="{93C0BE7F-0F41-4C66-AFC2-DDE8391E814F}">
      <text>
        <r>
          <rPr>
            <sz val="9"/>
            <color indexed="81"/>
            <rFont val="Tahoma"/>
            <family val="2"/>
          </rPr>
          <t>Industries du verre, CNPF and INSEE, 1971, Monographies de l'industrie et du commerce en France, n° 1, p. 19</t>
        </r>
      </text>
    </comment>
    <comment ref="F29" authorId="0" shapeId="0" xr:uid="{4DDC64FA-5D6A-4E40-833C-A07FF1891512}">
      <text>
        <r>
          <rPr>
            <sz val="9"/>
            <color indexed="81"/>
            <rFont val="Tahoma"/>
            <family val="2"/>
          </rPr>
          <t>Industries du verre, CNPF and INSEE, 1971, Monographies de l'industrie et du commerce en France, n° 1, p. 19</t>
        </r>
      </text>
    </comment>
    <comment ref="G29" authorId="0" shapeId="0" xr:uid="{37455E9B-B6D4-4F10-AC9C-57BD6CD215CF}">
      <text>
        <r>
          <rPr>
            <sz val="9"/>
            <color indexed="81"/>
            <rFont val="Tahoma"/>
            <family val="2"/>
          </rPr>
          <t>Industries du verre, CNPF and INSEE, 1971, Monographies de l'industrie et du commerce en France, n° 1, p. 19</t>
        </r>
      </text>
    </comment>
    <comment ref="H29" authorId="0" shapeId="0" xr:uid="{99CDD03D-9B0C-4357-8A8C-DE3D7C0C6550}">
      <text>
        <r>
          <rPr>
            <sz val="9"/>
            <color indexed="81"/>
            <rFont val="Tahoma"/>
            <family val="2"/>
          </rPr>
          <t>Industries du verre, CNPF and INSEE, 1971, Monographies de l'industrie et du commerce en France, n° 1, p. 19</t>
        </r>
      </text>
    </comment>
    <comment ref="I29" authorId="0" shapeId="0" xr:uid="{898BFAC2-CB87-4DF1-B693-2D0ED547B810}">
      <text>
        <r>
          <rPr>
            <sz val="9"/>
            <color indexed="81"/>
            <rFont val="Tahoma"/>
            <family val="2"/>
          </rPr>
          <t>Industries du verre, CNPF and INSEE, 1971, Monographies de l'industrie et du commerce en France, n° 1, p. 19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A1AC01B9-E5E9-451E-82A4-7D7D5BCFBA92}">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C1" authorId="0" shapeId="0" xr:uid="{118A2916-2339-41D3-9682-8E27569FE573}">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D1" authorId="0" shapeId="0" xr:uid="{BCF23213-B9F0-46FD-90DA-EB4681571892}">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E1" authorId="0" shapeId="0" xr:uid="{CCF19BD0-E04D-4FF7-8392-899DD094AA12}">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F1" authorId="0" shapeId="0" xr:uid="{33344EF8-A67C-4B7F-8C8D-0021A27EBE89}">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G1" authorId="0" shapeId="0" xr:uid="{3A7C1728-F52F-495C-982B-402B367EB4B1}">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H1" authorId="0" shapeId="0" xr:uid="{3B7A5102-3E25-462C-8AF6-B98D79DD84AB}">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I1" authorId="0" shapeId="0" xr:uid="{209AAF53-E68C-4DEC-B4FD-64A16B047139}">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K1" authorId="0" shapeId="0" xr:uid="{E5C7C8C7-D359-4236-B0CC-0FB01A0C9320}">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L1" authorId="0" shapeId="0" xr:uid="{501205DF-12BC-4573-AF99-4B55545A5610}">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M1" authorId="0" shapeId="0" xr:uid="{37270684-01B0-43BB-9455-FB65CF469D0A}">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N1" authorId="0" shapeId="0" xr:uid="{F6AC083B-41AA-4279-BA41-46B09CFD9DAD}">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 ref="O1" authorId="0" shapeId="0" xr:uid="{3A74DA71-8347-4F03-91A8-9E5B6B8FFA92}">
      <text>
        <r>
          <rPr>
            <sz val="9"/>
            <color indexed="81"/>
            <rFont val="Tahoma"/>
            <family val="2"/>
          </rPr>
          <t>Unless otherwise indicated in a note attached to the cell, all data collected in this column comes from:
Boaglio, Evolution des conditions de production dans l'industrie du verre en France de la révolution à nos jours, 1990. p. 337</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F8DE52DD-6CF1-4564-92EB-4BE7C4292ED7}">
      <text>
        <r>
          <rPr>
            <sz val="9"/>
            <color indexed="81"/>
            <rFont val="Tahoma"/>
            <family val="2"/>
          </rPr>
          <t>Average; Calculated according to window glass/plate glass and then float glass ratio.</t>
        </r>
      </text>
    </comment>
    <comment ref="C1" authorId="0" shapeId="0" xr:uid="{19195344-E419-49BE-9381-D067BB38EE84}">
      <text>
        <r>
          <rPr>
            <sz val="9"/>
            <color indexed="81"/>
            <rFont val="Tahoma"/>
            <family val="2"/>
          </rPr>
          <t>Average; Calculated according to window glass/plate glass and then float glass ratio.</t>
        </r>
      </text>
    </comment>
    <comment ref="D1" authorId="0" shapeId="0" xr:uid="{0D310768-3C57-470B-AA8B-8C740AB0208A}">
      <text>
        <r>
          <rPr>
            <sz val="9"/>
            <color indexed="81"/>
            <rFont val="Tahoma"/>
            <family val="2"/>
          </rPr>
          <t>Average; Calculated according to window glass/plate glass and then float glass ratio.</t>
        </r>
      </text>
    </comment>
    <comment ref="E1" authorId="0" shapeId="0" xr:uid="{AD724899-FCAA-4AD3-AA54-1E44E9B194A7}">
      <text>
        <r>
          <rPr>
            <sz val="9"/>
            <color indexed="81"/>
            <rFont val="Tahoma"/>
            <family val="2"/>
          </rPr>
          <t>Average; Calculated according to window glass/plate glass and then float glass ratio.</t>
        </r>
      </text>
    </comment>
    <comment ref="F1" authorId="0" shapeId="0" xr:uid="{2C16E69B-20ED-4FFB-A0B6-F500CEBB172D}">
      <text>
        <r>
          <rPr>
            <sz val="9"/>
            <color indexed="81"/>
            <rFont val="Tahoma"/>
            <family val="2"/>
          </rPr>
          <t>Average; Calculated according to window glass/plate glass and then float glass ratio.</t>
        </r>
      </text>
    </comment>
    <comment ref="G1" authorId="0" shapeId="0" xr:uid="{4A706DC6-1223-4A5C-BA0E-2571A48CFED6}">
      <text>
        <r>
          <rPr>
            <sz val="9"/>
            <color indexed="81"/>
            <rFont val="Tahoma"/>
            <family val="2"/>
          </rPr>
          <t>Average; Calculated according to window glass/plate glass and then float glass ratio.</t>
        </r>
      </text>
    </comment>
    <comment ref="H1" authorId="0" shapeId="0" xr:uid="{93DADE5D-AA39-417C-9A18-6B6A9C828B08}">
      <text>
        <r>
          <rPr>
            <sz val="9"/>
            <color indexed="81"/>
            <rFont val="Tahoma"/>
            <family val="2"/>
          </rPr>
          <t>Average; Calculated according to window glass/plate glass and then float glass ratio.</t>
        </r>
      </text>
    </comment>
    <comment ref="I1" authorId="0" shapeId="0" xr:uid="{E6BB3DCD-52C8-4449-8199-1BA160157BFB}">
      <text>
        <r>
          <rPr>
            <sz val="9"/>
            <color indexed="81"/>
            <rFont val="Tahoma"/>
            <family val="2"/>
          </rPr>
          <t>Average; Calculated according to window glass/plate glass and then float glass ratio.</t>
        </r>
      </text>
    </comment>
    <comment ref="B67" authorId="0" shapeId="0" xr:uid="{10A86F0A-D5F3-4EA6-B90F-05DF04F60817}">
      <text>
        <r>
          <rPr>
            <sz val="9"/>
            <color indexed="81"/>
            <rFont val="Tahoma"/>
            <family val="2"/>
          </rPr>
          <t>Chapter 2.A.3. Glass Production</t>
        </r>
      </text>
    </comment>
    <comment ref="C67" authorId="0" shapeId="0" xr:uid="{DD71F4DE-17E2-478C-8208-33369312B94E}">
      <text>
        <r>
          <rPr>
            <sz val="9"/>
            <color indexed="81"/>
            <rFont val="Tahoma"/>
            <family val="2"/>
          </rPr>
          <t>Life Cycle Assessment of Float Glass, PE International, 2011
https://glassforeurope.com/report-life-cycle-assessment-of-float-glass/
(accessed September 30, 2020)</t>
        </r>
      </text>
    </comment>
    <comment ref="D67" authorId="0" shapeId="0" xr:uid="{06E4386B-4B16-410E-A361-DEA0749F4719}">
      <text>
        <r>
          <rPr>
            <sz val="9"/>
            <color indexed="81"/>
            <rFont val="Tahoma"/>
            <family val="2"/>
          </rPr>
          <t>Life Cycle Assessment of Float Glass, PE International, 2011
https://glassforeurope.com/report-life-cycle-assessment-of-float-glass/
(accessed September 30, 2020)</t>
        </r>
      </text>
    </comment>
    <comment ref="E67" authorId="0" shapeId="0" xr:uid="{F37BC5DD-72B0-4D0E-801B-6F526420C6FD}">
      <text>
        <r>
          <rPr>
            <sz val="9"/>
            <color indexed="81"/>
            <rFont val="Tahoma"/>
            <family val="2"/>
          </rPr>
          <t>Life Cycle Assessment of Float Glass, PE International, 2011
https://glassforeurope.com/report-life-cycle-assessment-of-float-glass/
(accessed September 30, 2020)</t>
        </r>
      </text>
    </comment>
    <comment ref="F67" authorId="0" shapeId="0" xr:uid="{1FF0392B-2552-492B-870E-CF8301A223EA}">
      <text>
        <r>
          <rPr>
            <sz val="9"/>
            <color indexed="81"/>
            <rFont val="Tahoma"/>
            <family val="2"/>
          </rPr>
          <t>Life Cycle Assessment of Float Glass, PE International, 2011
https://glassforeurope.com/report-life-cycle-assessment-of-float-glass/
(accessed September 30, 2020)</t>
        </r>
      </text>
    </comment>
    <comment ref="G67" authorId="0" shapeId="0" xr:uid="{5FBA6AC1-9241-4FC6-BE6A-7084E31C743B}">
      <text>
        <r>
          <rPr>
            <sz val="9"/>
            <color indexed="81"/>
            <rFont val="Tahoma"/>
            <family val="2"/>
          </rPr>
          <t>Life Cycle Assessment of Float Glass, PE International, 2011
https://glassforeurope.com/report-life-cycle-assessment-of-float-glass/
(accessed September 30, 2020)</t>
        </r>
      </text>
    </comment>
    <comment ref="H67" authorId="0" shapeId="0" xr:uid="{03D921C4-9DBF-4C29-B36A-7DEEE354DAB8}">
      <text>
        <r>
          <rPr>
            <sz val="9"/>
            <color indexed="81"/>
            <rFont val="Tahoma"/>
            <family val="2"/>
          </rPr>
          <t>Life Cycle Assessment of Float Glass, PE International, 2011
https://glassforeurope.com/report-life-cycle-assessment-of-float-glass/
(accessed September 30, 2020)</t>
        </r>
      </text>
    </comment>
    <comment ref="I67" authorId="0" shapeId="0" xr:uid="{3E585CC7-0BC8-4E7E-8785-1D19B1B2AB30}">
      <text>
        <r>
          <rPr>
            <sz val="9"/>
            <color indexed="81"/>
            <rFont val="Tahoma"/>
            <family val="2"/>
          </rPr>
          <t>Life Cycle Assessment of Float Glass, PE International, 2011
https://glassforeurope.com/report-life-cycle-assessment-of-float-glass/
(accessed September 30, 2020)</t>
        </r>
      </text>
    </comment>
    <comment ref="B76" authorId="0" shapeId="0" xr:uid="{2FE80A86-55D2-41B6-A8D0-86CD44867CD1}">
      <text>
        <r>
          <rPr>
            <sz val="9"/>
            <color indexed="81"/>
            <rFont val="Tahoma"/>
            <family val="2"/>
          </rPr>
          <t>Chapter 2.A.3. Glass Production</t>
        </r>
      </text>
    </comment>
    <comment ref="C76" authorId="0" shapeId="0" xr:uid="{4299F09E-2A7C-4157-ABAC-038A71912B57}">
      <text>
        <r>
          <rPr>
            <sz val="9"/>
            <color indexed="81"/>
            <rFont val="Tahoma"/>
            <family val="2"/>
          </rPr>
          <t>Life Cycle Assessment of Float Glass, PE International, 2011
https://glassforeurope.com/report-life-cycle-assessment-of-float-glass/
(accessed September 30, 2020)</t>
        </r>
      </text>
    </comment>
    <comment ref="D76" authorId="0" shapeId="0" xr:uid="{D75326C5-BD00-45F3-A524-13978119DB18}">
      <text>
        <r>
          <rPr>
            <sz val="9"/>
            <color indexed="81"/>
            <rFont val="Tahoma"/>
            <family val="2"/>
          </rPr>
          <t>Life Cycle Assessment of Float Glass, PE International, 2011
https://glassforeurope.com/report-life-cycle-assessment-of-float-glass/
(accessed September 30, 2020)</t>
        </r>
      </text>
    </comment>
    <comment ref="E76" authorId="0" shapeId="0" xr:uid="{716F1F57-06FB-41D3-891B-A2DD31AE0FD5}">
      <text>
        <r>
          <rPr>
            <sz val="9"/>
            <color indexed="81"/>
            <rFont val="Tahoma"/>
            <family val="2"/>
          </rPr>
          <t>Life Cycle Assessment of Float Glass, PE International, 2011
https://glassforeurope.com/report-life-cycle-assessment-of-float-glass/
(accessed September 30, 2020)</t>
        </r>
      </text>
    </comment>
    <comment ref="F76" authorId="0" shapeId="0" xr:uid="{EC80822D-4038-4499-81E3-D12F887A02D4}">
      <text>
        <r>
          <rPr>
            <sz val="9"/>
            <color indexed="81"/>
            <rFont val="Tahoma"/>
            <family val="2"/>
          </rPr>
          <t>Life Cycle Assessment of Float Glass, PE International, 2011
https://glassforeurope.com/report-life-cycle-assessment-of-float-glass/
(accessed September 30, 2020)</t>
        </r>
      </text>
    </comment>
    <comment ref="G76" authorId="0" shapeId="0" xr:uid="{2B92EAA1-A2D3-4939-9A0A-349645740DD7}">
      <text>
        <r>
          <rPr>
            <sz val="9"/>
            <color indexed="81"/>
            <rFont val="Tahoma"/>
            <family val="2"/>
          </rPr>
          <t>Life Cycle Assessment of Float Glass, PE International, 2011
https://glassforeurope.com/report-life-cycle-assessment-of-float-glass/
(accessed September 30, 2020)</t>
        </r>
      </text>
    </comment>
    <comment ref="H76" authorId="0" shapeId="0" xr:uid="{A72C9D77-AEEE-43E3-A45C-245D190808F7}">
      <text>
        <r>
          <rPr>
            <sz val="9"/>
            <color indexed="81"/>
            <rFont val="Tahoma"/>
            <family val="2"/>
          </rPr>
          <t>Life Cycle Assessment of Float Glass, PE International, 2011
https://glassforeurope.com/report-life-cycle-assessment-of-float-glass/
(accessed September 30, 2020)</t>
        </r>
      </text>
    </comment>
    <comment ref="I76" authorId="0" shapeId="0" xr:uid="{C02164AA-6351-4766-BED4-BB84920DCE69}">
      <text>
        <r>
          <rPr>
            <sz val="9"/>
            <color indexed="81"/>
            <rFont val="Tahoma"/>
            <family val="2"/>
          </rPr>
          <t>Life Cycle Assessment of Float Glass, PE International, 2011
https://glassforeurope.com/report-life-cycle-assessment-of-float-glass/
(accessed September 30, 2020)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98F24ABD-45AA-4344-823E-A9DE48D8150C}">
      <text>
        <r>
          <rPr>
            <sz val="9"/>
            <color indexed="81"/>
            <rFont val="Tahoma"/>
            <family val="2"/>
          </rPr>
          <t>Average; Calculated according to window glass/plate glass and then float glass ratio.</t>
        </r>
      </text>
    </comment>
    <comment ref="C1" authorId="0" shapeId="0" xr:uid="{65C1D89F-1D22-4C38-9D91-42A3437CB259}">
      <text>
        <r>
          <rPr>
            <sz val="9"/>
            <color indexed="81"/>
            <rFont val="Tahoma"/>
            <family val="2"/>
          </rPr>
          <t>Average; Calculated according to window glass/plate glass and then float glass ratio.</t>
        </r>
      </text>
    </comment>
    <comment ref="D1" authorId="0" shapeId="0" xr:uid="{15952BB2-7EA7-4F92-A0C8-C5FC68C00832}">
      <text>
        <r>
          <rPr>
            <sz val="9"/>
            <color indexed="81"/>
            <rFont val="Tahoma"/>
            <family val="2"/>
          </rPr>
          <t>Average; Calculated according to window glass/plate glass and then float glass ratio.</t>
        </r>
      </text>
    </comment>
    <comment ref="B67" authorId="0" shapeId="0" xr:uid="{EE75B1FD-415B-4638-A5F0-0E49ADB308ED}">
      <text>
        <r>
          <rPr>
            <sz val="9"/>
            <color indexed="81"/>
            <rFont val="Tahoma"/>
            <family val="2"/>
          </rPr>
          <t>Average between:
Ligeron 2011
and
Life Cycle Assessment of Float Glass, PE International, 2011
https://glassforeurope.com/report-life-cycle-assessment-of-float-glass/
(accessed September 30, 2020)</t>
        </r>
      </text>
    </comment>
    <comment ref="C67" authorId="0" shapeId="0" xr:uid="{DB06A4B3-5FF5-42F5-AD88-9A55BF07684A}">
      <text>
        <r>
          <rPr>
            <sz val="9"/>
            <color indexed="81"/>
            <rFont val="Tahoma"/>
            <family val="2"/>
          </rPr>
          <t>Average between:
Ligeron 2011
and
Life Cycle Assessment of Float Glass, PE International, 2011
https://glassforeurope.com/report-life-cycle-assessment-of-float-glass/
(accessed September 30, 2020)</t>
        </r>
      </text>
    </comment>
    <comment ref="D67" authorId="0" shapeId="0" xr:uid="{E2AE733A-3164-40DB-BAA6-464E1B814C4C}">
      <text>
        <r>
          <rPr>
            <sz val="9"/>
            <color indexed="81"/>
            <rFont val="Tahoma"/>
            <family val="2"/>
          </rPr>
          <t>Average between:
Ligeron 2011
and
Life Cycle Assessment of Float Glass, PE International, 2011
https://glassforeurope.com/report-life-cycle-assessment-of-float-glass/
(accessed September 30, 2020)</t>
        </r>
      </text>
    </comment>
    <comment ref="B76" authorId="0" shapeId="0" xr:uid="{3EAEF132-4C31-413C-9468-4289F40B04C3}">
      <text>
        <r>
          <rPr>
            <sz val="9"/>
            <color indexed="81"/>
            <rFont val="Tahoma"/>
            <family val="2"/>
          </rPr>
          <t>Average between:
Ligeron 2011
and
Life Cycle Assessment of Float Glass, PE International, 2011
https://glassforeurope.com/report-life-cycle-assessment-of-float-glass/
(accessed September 30, 2020)</t>
        </r>
      </text>
    </comment>
    <comment ref="C76" authorId="0" shapeId="0" xr:uid="{2AC34046-059A-4CCC-AF95-7FB68A039DE0}">
      <text>
        <r>
          <rPr>
            <sz val="9"/>
            <color indexed="81"/>
            <rFont val="Tahoma"/>
            <family val="2"/>
          </rPr>
          <t>Average between:
Ligeron 2011
and
Life Cycle Assessment of Float Glass, PE International, 2011
https://glassforeurope.com/report-life-cycle-assessment-of-float-glass/
(accessed September 30, 2020)</t>
        </r>
      </text>
    </comment>
    <comment ref="D76" authorId="0" shapeId="0" xr:uid="{EB28F2EA-5977-4F3B-ADB7-A711697F86E8}">
      <text>
        <r>
          <rPr>
            <sz val="9"/>
            <color indexed="81"/>
            <rFont val="Tahoma"/>
            <family val="2"/>
          </rPr>
          <t>Average between:
Ligeron 2011
and
Life Cycle Assessment of Float Glass, PE International, 2011
https://glassforeurope.com/report-life-cycle-assessment-of-float-glass/
(accessed September 30, 2020)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1D870AE3-E1CC-48C1-823C-355DFBA622C2}">
      <text>
        <r>
          <rPr>
            <sz val="9"/>
            <color indexed="81"/>
            <rFont val="Tahoma"/>
            <family val="2"/>
          </rPr>
          <t>Unless otherwise indicated in a note attached to the cell, all data collected in this column comes from:
"Lindustrie verrière française en 2006", Verre, vol.13, no. 6, dec 2007, 66-9</t>
        </r>
      </text>
    </comment>
    <comment ref="B4" authorId="0" shapeId="0" xr:uid="{7D9D5672-B096-4166-8EA4-9C3AE3B4285D}">
      <text>
        <r>
          <rPr>
            <sz val="9"/>
            <color indexed="81"/>
            <rFont val="Tahoma"/>
            <family val="2"/>
          </rPr>
          <t>Boaglio, Evolution des conditions de production dans l'industrie du verre en France de la révolution à nos jours, 1990</t>
        </r>
      </text>
    </comment>
    <comment ref="B7" authorId="0" shapeId="0" xr:uid="{9B4C16F5-0753-4BD5-A3DF-370E9C63F88A}">
      <text>
        <r>
          <rPr>
            <sz val="9"/>
            <color indexed="81"/>
            <rFont val="Tahoma"/>
            <family val="2"/>
          </rPr>
          <t>Boaglio, Evolution des conditions de production dans l'industrie du verre en France de la révolution à nos jours, 1990</t>
        </r>
      </text>
    </comment>
    <comment ref="B67" authorId="0" shapeId="0" xr:uid="{8DD99F21-5EAA-4022-8EEC-91C12B9B7622}">
      <text>
        <r>
          <rPr>
            <sz val="9"/>
            <color indexed="81"/>
            <rFont val="Tahoma"/>
            <family val="2"/>
          </rPr>
          <t>Glass for Europe, 2050, Flat Glass in Climate-Neutral Europe: Triggering a Virtuous Cycle of Decarbonisation, 2020</t>
        </r>
      </text>
    </comment>
    <comment ref="B72" authorId="0" shapeId="0" xr:uid="{EE935729-F826-4A5C-AFC5-44226B3517AE}">
      <text>
        <r>
          <rPr>
            <sz val="9"/>
            <color indexed="81"/>
            <rFont val="Tahoma"/>
            <family val="2"/>
          </rPr>
          <t>Glass for Europe, 2050, Flat Glass in Climate-Neutral Europe: Triggering a Virtuous Cycle of Decarbonisation, 2020</t>
        </r>
      </text>
    </comment>
    <comment ref="B75" authorId="0" shapeId="0" xr:uid="{3BCDCF0E-E4BC-4972-96D9-5FB958DC895E}">
      <text>
        <r>
          <rPr>
            <sz val="9"/>
            <color indexed="81"/>
            <rFont val="Tahoma"/>
            <family val="2"/>
          </rPr>
          <t>Glass for Europe, 2050, Flat Glass in Climate-Neutral Europe: Triggering a Virtuous Cycle of Decarbonisation, 2020</t>
        </r>
      </text>
    </comment>
  </commentList>
</comments>
</file>

<file path=xl/sharedStrings.xml><?xml version="1.0" encoding="utf-8"?>
<sst xmlns="http://schemas.openxmlformats.org/spreadsheetml/2006/main" count="111" uniqueCount="75">
  <si>
    <t>year</t>
  </si>
  <si>
    <t>flat glass, kt</t>
  </si>
  <si>
    <t>IGU, "000 m²</t>
  </si>
  <si>
    <t>plate glass, "000 m²</t>
  </si>
  <si>
    <t>window glass, "000 m²</t>
  </si>
  <si>
    <t>limestone, kg/kg</t>
  </si>
  <si>
    <t>dolomite, kg/kg</t>
  </si>
  <si>
    <t>sand, kg/kg</t>
  </si>
  <si>
    <t>feldspar, kg/kg</t>
  </si>
  <si>
    <t>cast glass, kt</t>
  </si>
  <si>
    <t>window glass, kt</t>
  </si>
  <si>
    <t>CO2 glass ind, kg/t</t>
  </si>
  <si>
    <t>sodium sulfate, kg/kg</t>
  </si>
  <si>
    <t>plate glass (and float glass since 1962), kt</t>
  </si>
  <si>
    <t>internal cullet, kg/kg</t>
  </si>
  <si>
    <t>external cullet, kg/kg</t>
  </si>
  <si>
    <t>sodium carbonate, kg/kg</t>
  </si>
  <si>
    <t>fuel, GJ/t</t>
  </si>
  <si>
    <t>electricity, GJ/t</t>
  </si>
  <si>
    <t>natural gas, GJ/t</t>
  </si>
  <si>
    <t>IGU, kt</t>
  </si>
  <si>
    <t>Population, x1000</t>
  </si>
  <si>
    <t>fuel, kg/kg</t>
  </si>
  <si>
    <t>electricity, kWh/kg</t>
  </si>
  <si>
    <t>plate glass/total glass, %</t>
  </si>
  <si>
    <t>Window glass/total glass, %</t>
  </si>
  <si>
    <t>Cast glass/total glass, %</t>
  </si>
  <si>
    <t>The reference of each entry is indicated in the "note" that is attached to the cell. When no note is given, please refer to the information available at the head of the column</t>
  </si>
  <si>
    <t>Anon., 1957. L’industrie du verre. La documentation française illustrée.</t>
  </si>
  <si>
    <t>Boaglio, M., 1990. Evolution des conditions de production dans l’industrie du verre en France de la révolution à nos jours. Contribution à l’étude des prix sur le long terme. Ph.D. dissertation, Conservatoire National des Arts et Métiers, Paris.</t>
  </si>
  <si>
    <t>CNPF, INSEE, 1971. Industries du verre, Monographies de l’industrie et du commerce en France. A.D.P., Paris. Bibliothèque de l’INSEE Alain Desrosières, Paris, call number 19980.</t>
  </si>
  <si>
    <t>European Environment Agency, Kuenen, J., 2016. Chapter 2.A.3. Glass Production. In: EMEP/EEA Air Pollutant Emission Inventory Guidebook 2016. Publications Office of the European Union, Luxembourg.</t>
  </si>
  <si>
    <t>Fédératon des chambres syndicales de l’industrie du verre, 1954. L’industrie du verre, Les monographies de la production française. Société Nouvelle Mercure, Paris.</t>
  </si>
  <si>
    <t>INSEE, 1981-1988. Production industrielle : industrie du verre. INSEE, Paris. Bibliothèque de l’INSEE Alain Desrosières, Paris, call number P FRA 1362 (9)</t>
  </si>
  <si>
    <t>Institut du verre, 1995-2000. Verre. Institut du verre-Prover, Paris. Bibliothèque nationale de France, Sciences et techniques department, call number 4-JO-52115.</t>
  </si>
  <si>
    <t>SESSI (Service des études et des statistiques industrielles), 1989-2004. Production industrielle : industrie du verre. INSEE, Paris. Bibliothèque nationale de France, Paris, Sciences et techniques department, call number 4-JO-59249.</t>
  </si>
  <si>
    <t xml:space="preserve">Commission of the European Communities, 1984. The glass industry in the European Economic Community. Energy audit No 4. OPOCE, Luxembourg. </t>
  </si>
  <si>
    <t>http://bookshop.europa.eu/uri?target=EUB:NOTICE:CDNA09287:FR:HTML</t>
  </si>
  <si>
    <t xml:space="preserve">Eurostat, n.d. PRODCOM database. </t>
  </si>
  <si>
    <t>https://ec.europa.eu/eurostat/web/prodcom/data/database</t>
  </si>
  <si>
    <t xml:space="preserve">Fédération des industries du verre, 2014. Rapport d’activité 2013. Fédération des chambres syndicales de l’industrie du verre, Paris. </t>
  </si>
  <si>
    <t>http://www.verre-avenir.fr/Espace-Communication/Espace-Presse/Communiques-de-presse</t>
  </si>
  <si>
    <t xml:space="preserve">Glass for Europe, 2020. 2050: Flat Glass in Climate-Neutral Europe. Triggering a Virtuous Cycle of  Decarbonisation. </t>
  </si>
  <si>
    <t>https://glassforeurope.com/2050-flat-glass-in-a-climate-neutral-europe/</t>
  </si>
  <si>
    <t xml:space="preserve">INSEE (Institut national de la statistique et des études économiques), 1953-2007. Annuaire statistique de la France. INSEE; Presses universitaires de France, Paris. Bibliothèque nationale de France, Paris, Collections de l’École nationale des ponts et chaussées, call number 2012-796. </t>
  </si>
  <si>
    <t>http://catalogue.bnf.fr/ark:/12148/cb34349577d</t>
  </si>
  <si>
    <t xml:space="preserve">INSEE, 1980. Les Comptes de l'industrie : la situation de l'industrie française en 1979. INSEE, Paris. Bibliothèque nationale de France, Paris, Les Collections de l'INSEE, call number 2016-242827. </t>
  </si>
  <si>
    <t>http://catalogue.bnf.fr/ark:/12148/cb35674553g</t>
  </si>
  <si>
    <t xml:space="preserve">INSEE, 1981. Les Comptes de l'industrie : la situation de l'industrie française en 1980. INSEE, Paris. Bibliothèque nationale de France, Paris, Les Collections de l'INSEE, call number 2016-244168. </t>
  </si>
  <si>
    <t>http://catalogue.bnf.fr/ark:/12148/cb35674554t</t>
  </si>
  <si>
    <t>Ligeron Sonovision, 2011. Analyse de Cycle de Vie ‘cradle to gate’ d’un verre plat type float (Online EPD). for Glass for Europe.</t>
  </si>
  <si>
    <t>https://glassforeurope.com/report-life-cycle-assessment-of-float-glass/</t>
  </si>
  <si>
    <t xml:space="preserve">PE International, 2011. Life Cycle Assessment of Float Glass. for Glass for Europe. </t>
  </si>
  <si>
    <t xml:space="preserve">Verre Online, 2004. Industrie du verre [WWW Document]. Verre Online. </t>
  </si>
  <si>
    <t>www.verreonline.fr</t>
  </si>
  <si>
    <t>(INSEE, 1953-2007)</t>
  </si>
  <si>
    <t>(Fédération des industries du verre, 2014)</t>
  </si>
  <si>
    <t>(Institut du verre, 1995-2000)</t>
  </si>
  <si>
    <t>(Eurostat, n.d.)</t>
  </si>
  <si>
    <t>(Verre Online, 2004)</t>
  </si>
  <si>
    <t>(INSEE, 1980)</t>
  </si>
  <si>
    <t>(CNPF, INSEE, 1971)</t>
  </si>
  <si>
    <t>(Boaglio, 1990)</t>
  </si>
  <si>
    <t>(INSEE, 1981-1988)</t>
  </si>
  <si>
    <t>(SESSI, 1989-2004)</t>
  </si>
  <si>
    <t>(Commission of the European Communities, 1984)</t>
  </si>
  <si>
    <t>(Fédératon des chambres syndicales de l’industrie du verre, 1954)</t>
  </si>
  <si>
    <t>(Anon., 1957)</t>
  </si>
  <si>
    <t>(European Environment Agency and Kuenen, 2016)</t>
  </si>
  <si>
    <t>(PE International, 2011)</t>
  </si>
  <si>
    <t>(Ligeron Sonovision, 2011)</t>
  </si>
  <si>
    <t>(Glass for Europe, 2020)</t>
  </si>
  <si>
    <t>(INSEE, 1981)</t>
  </si>
  <si>
    <t>REFERENCES</t>
  </si>
  <si>
    <t>fuel oil, GJ/t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</si>
</sst>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_-;\-* #,##0_-;_-* &quot;-&quot;??_-;_-@_-"/>
    <numFmt numFmtId="165" formatCode="0.0"/>
    <numFmt numFmtId="166" formatCode="0.000"/>
    <numFmt numFmtId="167" formatCode="_-* #,##0.0_-;\-* #,##0.0_-;_-* &quot;-&quot;??_-;_-@_-"/>
    <numFmt numFmtId="168" formatCode="_-* #,##0.000_-;\-* #,##0.000_-;_-* &quot;-&quot;??_-;_-@_-"/>
    <numFmt numFmtId="169" formatCode="0.0000"/>
  </numFmts>
  <fonts count="13"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sz val="11"/>
      <color theme="5"/>
      <name val="Calibri"/>
      <family val="2"/>
      <scheme val="minor"/>
    </font>
    <font>
      <i/>
      <sz val="9"/>
      <color indexed="81"/>
      <name val="Tahoma"/>
      <family val="2"/>
    </font>
    <font>
      <sz val="11"/>
      <name val="Calibri"/>
      <family val="2"/>
      <scheme val="minor"/>
    </font>
    <font>
      <i/>
      <sz val="11"/>
      <name val="Calibri"/>
      <family val="2"/>
      <scheme val="minor"/>
    </font>
    <font>
      <u/>
      <sz val="11"/>
      <color theme="10"/>
      <name val="Calibri"/>
      <family val="2"/>
      <scheme val="minor"/>
    </font>
    <font>
      <b/>
      <sz val="11"/>
      <color rgb="FFC00000"/>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9" fillId="0" borderId="0" applyNumberFormat="0" applyFill="0" applyBorder="0" applyAlignment="0" applyProtection="0"/>
  </cellStyleXfs>
  <cellXfs count="75">
    <xf numFmtId="0" fontId="0" fillId="0" borderId="0" xfId="0"/>
    <xf numFmtId="0" fontId="0" fillId="0" borderId="0" xfId="0" applyAlignment="1">
      <alignment horizontal="right"/>
    </xf>
    <xf numFmtId="0" fontId="0" fillId="0" borderId="0" xfId="0" applyAlignment="1">
      <alignment horizontal="center"/>
    </xf>
    <xf numFmtId="0" fontId="3" fillId="0" borderId="0" xfId="0" applyFont="1" applyAlignment="1">
      <alignment horizontal="right"/>
    </xf>
    <xf numFmtId="0" fontId="0" fillId="0" borderId="0" xfId="0" applyBorder="1" applyAlignment="1">
      <alignment horizontal="right" wrapText="1"/>
    </xf>
    <xf numFmtId="0" fontId="3" fillId="0" borderId="2" xfId="0" applyFont="1" applyBorder="1" applyAlignment="1">
      <alignment horizontal="right" wrapText="1"/>
    </xf>
    <xf numFmtId="0" fontId="0" fillId="0" borderId="0" xfId="0" applyBorder="1" applyAlignment="1">
      <alignment horizontal="right"/>
    </xf>
    <xf numFmtId="164" fontId="0" fillId="0" borderId="0" xfId="1" applyNumberFormat="1" applyFont="1" applyBorder="1" applyAlignment="1">
      <alignment horizontal="right"/>
    </xf>
    <xf numFmtId="164" fontId="0" fillId="0" borderId="0" xfId="1" applyNumberFormat="1" applyFont="1" applyBorder="1" applyAlignment="1">
      <alignment horizontal="right" wrapText="1"/>
    </xf>
    <xf numFmtId="43" fontId="0" fillId="0" borderId="0" xfId="1" applyNumberFormat="1" applyFont="1" applyBorder="1" applyAlignment="1">
      <alignment horizontal="right" wrapText="1"/>
    </xf>
    <xf numFmtId="0" fontId="0" fillId="0" borderId="0" xfId="0" applyBorder="1" applyAlignment="1">
      <alignment horizontal="center"/>
    </xf>
    <xf numFmtId="0" fontId="0" fillId="0" borderId="1" xfId="0" applyBorder="1" applyAlignment="1">
      <alignment horizontal="center"/>
    </xf>
    <xf numFmtId="0" fontId="5" fillId="0" borderId="0" xfId="0" applyFont="1" applyAlignment="1">
      <alignment horizontal="right"/>
    </xf>
    <xf numFmtId="0" fontId="3" fillId="0" borderId="0" xfId="0" applyFont="1" applyBorder="1" applyAlignment="1">
      <alignment horizontal="right"/>
    </xf>
    <xf numFmtId="0" fontId="3" fillId="0" borderId="3" xfId="0" applyFont="1" applyBorder="1" applyAlignment="1">
      <alignment horizontal="center"/>
    </xf>
    <xf numFmtId="0" fontId="7" fillId="0" borderId="1" xfId="0" applyFont="1" applyFill="1" applyBorder="1" applyAlignment="1">
      <alignment horizontal="center"/>
    </xf>
    <xf numFmtId="165" fontId="0" fillId="0" borderId="0" xfId="1" applyNumberFormat="1" applyFont="1" applyBorder="1" applyAlignment="1">
      <alignment horizontal="right" wrapText="1"/>
    </xf>
    <xf numFmtId="165" fontId="0" fillId="0" borderId="0" xfId="1" applyNumberFormat="1" applyFont="1" applyBorder="1" applyAlignment="1">
      <alignment horizontal="right"/>
    </xf>
    <xf numFmtId="0" fontId="3" fillId="0" borderId="3" xfId="0" applyFont="1" applyBorder="1" applyAlignment="1">
      <alignment horizontal="center" wrapText="1"/>
    </xf>
    <xf numFmtId="0" fontId="3" fillId="0" borderId="0" xfId="0" applyFont="1" applyBorder="1" applyAlignment="1">
      <alignment horizontal="right" wrapText="1"/>
    </xf>
    <xf numFmtId="0" fontId="8" fillId="0" borderId="2" xfId="0" applyFont="1" applyFill="1" applyBorder="1" applyAlignment="1">
      <alignment horizontal="right" wrapText="1"/>
    </xf>
    <xf numFmtId="2" fontId="7" fillId="0" borderId="0" xfId="0" applyNumberFormat="1" applyFont="1" applyFill="1" applyBorder="1" applyAlignment="1">
      <alignment horizontal="right"/>
    </xf>
    <xf numFmtId="0" fontId="7" fillId="0" borderId="0" xfId="0" applyFont="1" applyFill="1" applyBorder="1" applyAlignment="1">
      <alignment horizontal="right"/>
    </xf>
    <xf numFmtId="43" fontId="7" fillId="0" borderId="0" xfId="0" applyNumberFormat="1" applyFont="1" applyFill="1" applyBorder="1" applyAlignment="1">
      <alignment horizontal="right"/>
    </xf>
    <xf numFmtId="1" fontId="7" fillId="0" borderId="0" xfId="0" applyNumberFormat="1" applyFont="1" applyFill="1" applyBorder="1" applyAlignment="1">
      <alignment horizontal="right"/>
    </xf>
    <xf numFmtId="0" fontId="7" fillId="0" borderId="0" xfId="0" applyFont="1" applyFill="1" applyBorder="1" applyAlignment="1">
      <alignment horizontal="center"/>
    </xf>
    <xf numFmtId="0" fontId="7" fillId="0" borderId="0" xfId="0" applyFont="1" applyFill="1" applyBorder="1" applyAlignment="1">
      <alignment horizontal="right" wrapText="1"/>
    </xf>
    <xf numFmtId="0" fontId="8" fillId="0" borderId="3" xfId="0" applyFont="1" applyFill="1" applyBorder="1" applyAlignment="1">
      <alignment horizontal="center" wrapText="1"/>
    </xf>
    <xf numFmtId="0" fontId="8" fillId="0" borderId="0" xfId="0" applyFont="1" applyFill="1" applyBorder="1" applyAlignment="1">
      <alignment horizontal="right" wrapText="1"/>
    </xf>
    <xf numFmtId="0" fontId="3" fillId="0" borderId="2" xfId="0" quotePrefix="1" applyFont="1" applyBorder="1" applyAlignment="1">
      <alignment horizontal="right" wrapText="1"/>
    </xf>
    <xf numFmtId="0" fontId="3" fillId="0" borderId="0" xfId="0" applyFont="1" applyAlignment="1">
      <alignment horizontal="right" wrapText="1"/>
    </xf>
    <xf numFmtId="164" fontId="3" fillId="0" borderId="2" xfId="1" applyNumberFormat="1" applyFont="1" applyBorder="1" applyAlignment="1">
      <alignment horizontal="right" wrapText="1"/>
    </xf>
    <xf numFmtId="43" fontId="0" fillId="0" borderId="0" xfId="0" applyNumberFormat="1" applyAlignment="1">
      <alignment horizontal="right"/>
    </xf>
    <xf numFmtId="43" fontId="7" fillId="0" borderId="0" xfId="1" applyFont="1" applyFill="1" applyBorder="1" applyAlignment="1">
      <alignment horizontal="right"/>
    </xf>
    <xf numFmtId="0" fontId="0" fillId="0" borderId="0" xfId="0" applyAlignment="1">
      <alignment vertical="center" wrapText="1"/>
    </xf>
    <xf numFmtId="164" fontId="0" fillId="0" borderId="0" xfId="1" applyNumberFormat="1" applyFont="1" applyAlignment="1">
      <alignment vertical="center" wrapText="1"/>
    </xf>
    <xf numFmtId="168" fontId="7" fillId="0" borderId="0" xfId="0" applyNumberFormat="1" applyFont="1" applyFill="1" applyBorder="1" applyAlignment="1">
      <alignment horizontal="right"/>
    </xf>
    <xf numFmtId="43" fontId="7" fillId="0" borderId="0" xfId="0" applyNumberFormat="1" applyFont="1" applyAlignment="1">
      <alignment horizontal="right"/>
    </xf>
    <xf numFmtId="164" fontId="0" fillId="0" borderId="0" xfId="0" applyNumberFormat="1" applyBorder="1" applyAlignment="1">
      <alignment horizontal="right" wrapText="1"/>
    </xf>
    <xf numFmtId="2" fontId="0" fillId="0" borderId="0" xfId="0" applyNumberFormat="1" applyAlignment="1">
      <alignment horizontal="right"/>
    </xf>
    <xf numFmtId="166" fontId="0" fillId="0" borderId="0" xfId="0" applyNumberFormat="1" applyAlignment="1">
      <alignment horizontal="right"/>
    </xf>
    <xf numFmtId="0" fontId="3" fillId="2" borderId="2" xfId="0" applyFont="1" applyFill="1" applyBorder="1" applyAlignment="1">
      <alignment horizontal="right" wrapText="1"/>
    </xf>
    <xf numFmtId="166" fontId="0" fillId="2" borderId="0" xfId="0" applyNumberFormat="1" applyFill="1" applyAlignment="1">
      <alignment horizontal="right"/>
    </xf>
    <xf numFmtId="1" fontId="0" fillId="2" borderId="0" xfId="0" applyNumberFormat="1" applyFill="1" applyAlignment="1">
      <alignment horizontal="right"/>
    </xf>
    <xf numFmtId="0" fontId="0" fillId="2" borderId="0" xfId="0" applyFill="1" applyAlignment="1">
      <alignment horizontal="right"/>
    </xf>
    <xf numFmtId="0" fontId="5" fillId="2" borderId="0" xfId="0" applyFont="1" applyFill="1" applyAlignment="1">
      <alignment horizontal="right"/>
    </xf>
    <xf numFmtId="1" fontId="5" fillId="2" borderId="0" xfId="0" applyNumberFormat="1" applyFont="1" applyFill="1" applyAlignment="1">
      <alignment horizontal="right"/>
    </xf>
    <xf numFmtId="0" fontId="8" fillId="2" borderId="2" xfId="0" applyFont="1" applyFill="1" applyBorder="1" applyAlignment="1">
      <alignment horizontal="right" wrapText="1"/>
    </xf>
    <xf numFmtId="166" fontId="7" fillId="2" borderId="0" xfId="0" applyNumberFormat="1" applyFont="1" applyFill="1" applyAlignment="1">
      <alignment horizontal="right"/>
    </xf>
    <xf numFmtId="2" fontId="7" fillId="2" borderId="0" xfId="0" applyNumberFormat="1" applyFont="1" applyFill="1" applyAlignment="1">
      <alignment horizontal="right"/>
    </xf>
    <xf numFmtId="9" fontId="7" fillId="2" borderId="0" xfId="2" applyFont="1" applyFill="1" applyBorder="1" applyAlignment="1">
      <alignment horizontal="right"/>
    </xf>
    <xf numFmtId="1" fontId="7" fillId="2" borderId="0" xfId="0" applyNumberFormat="1" applyFont="1" applyFill="1" applyAlignment="1">
      <alignment horizontal="right"/>
    </xf>
    <xf numFmtId="0" fontId="7" fillId="2" borderId="0" xfId="0" applyFont="1" applyFill="1" applyAlignment="1">
      <alignment horizontal="right"/>
    </xf>
    <xf numFmtId="9" fontId="0" fillId="0" borderId="0" xfId="2" applyFont="1" applyBorder="1" applyAlignment="1">
      <alignment horizontal="right" wrapText="1"/>
    </xf>
    <xf numFmtId="168" fontId="0" fillId="0" borderId="0" xfId="0" applyNumberFormat="1" applyAlignment="1">
      <alignment horizontal="right"/>
    </xf>
    <xf numFmtId="167" fontId="0" fillId="0" borderId="0" xfId="0" applyNumberFormat="1" applyAlignment="1">
      <alignment horizontal="right"/>
    </xf>
    <xf numFmtId="9" fontId="7" fillId="0" borderId="0" xfId="2" applyFont="1" applyFill="1" applyBorder="1" applyAlignment="1">
      <alignment horizontal="right"/>
    </xf>
    <xf numFmtId="169" fontId="7" fillId="0" borderId="0" xfId="0" applyNumberFormat="1" applyFont="1" applyFill="1" applyBorder="1" applyAlignment="1">
      <alignment horizontal="right"/>
    </xf>
    <xf numFmtId="166" fontId="7" fillId="0" borderId="0" xfId="0" applyNumberFormat="1" applyFont="1" applyFill="1" applyBorder="1" applyAlignment="1">
      <alignment horizontal="right"/>
    </xf>
    <xf numFmtId="11" fontId="7" fillId="0" borderId="0" xfId="0" applyNumberFormat="1" applyFont="1" applyFill="1" applyBorder="1" applyAlignment="1">
      <alignment horizontal="right"/>
    </xf>
    <xf numFmtId="0" fontId="7" fillId="0" borderId="0" xfId="0" applyFont="1" applyFill="1" applyBorder="1" applyAlignment="1">
      <alignment horizontal="left"/>
    </xf>
    <xf numFmtId="0" fontId="0" fillId="0" borderId="0" xfId="0" applyAlignment="1">
      <alignment wrapText="1"/>
    </xf>
    <xf numFmtId="0" fontId="0" fillId="0" borderId="0" xfId="0"/>
    <xf numFmtId="0" fontId="3" fillId="0" borderId="2" xfId="0" applyFont="1" applyBorder="1" applyAlignment="1">
      <alignment horizontal="right" wrapText="1"/>
    </xf>
    <xf numFmtId="0" fontId="8" fillId="0" borderId="2" xfId="0" applyFont="1" applyFill="1" applyBorder="1" applyAlignment="1">
      <alignment horizontal="right" wrapText="1"/>
    </xf>
    <xf numFmtId="0" fontId="7" fillId="0" borderId="0" xfId="0" applyFont="1" applyFill="1" applyBorder="1" applyAlignment="1">
      <alignment horizontal="right"/>
    </xf>
    <xf numFmtId="0" fontId="0" fillId="0" borderId="0" xfId="0" applyAlignment="1">
      <alignment vertical="center" wrapText="1"/>
    </xf>
    <xf numFmtId="0" fontId="0" fillId="2" borderId="0" xfId="0" applyFill="1"/>
    <xf numFmtId="0" fontId="2" fillId="2" borderId="0" xfId="0" applyFont="1" applyFill="1" applyAlignment="1">
      <alignment wrapText="1"/>
    </xf>
    <xf numFmtId="0" fontId="9" fillId="0" borderId="0" xfId="4" applyAlignment="1">
      <alignment vertical="center"/>
    </xf>
    <xf numFmtId="0" fontId="9" fillId="0" borderId="0" xfId="4"/>
    <xf numFmtId="0" fontId="0" fillId="0" borderId="0" xfId="0" applyAlignment="1">
      <alignment vertical="top"/>
    </xf>
    <xf numFmtId="0" fontId="0" fillId="2" borderId="0" xfId="0" applyFill="1" applyAlignment="1">
      <alignment vertical="top"/>
    </xf>
    <xf numFmtId="0" fontId="10" fillId="0" borderId="0" xfId="0" applyFont="1" applyAlignment="1">
      <alignment vertical="top"/>
    </xf>
    <xf numFmtId="2" fontId="7" fillId="0" borderId="0" xfId="0" applyNumberFormat="1" applyFont="1" applyAlignment="1">
      <alignment horizontal="right"/>
    </xf>
  </cellXfs>
  <cellStyles count="5">
    <cellStyle name="Comma" xfId="1" builtinId="3"/>
    <cellStyle name="Comma 2" xfId="3" xr:uid="{CA04568B-0FF1-4ABD-BCC0-CE12AA75C5DF}"/>
    <cellStyle name="Hyperlink" xfId="4"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lassforeurope.com/report-life-cycle-assessment-of-float-glass/" TargetMode="External"/><Relationship Id="rId3" Type="http://schemas.openxmlformats.org/officeDocument/2006/relationships/hyperlink" Target="https://glassforeurope.com/2050-flat-glass-in-a-climate-neutral-europe/" TargetMode="External"/><Relationship Id="rId7" Type="http://schemas.openxmlformats.org/officeDocument/2006/relationships/hyperlink" Target="https://glassforeurope.com/report-life-cycle-assessment-of-float-glass/" TargetMode="External"/><Relationship Id="rId2" Type="http://schemas.openxmlformats.org/officeDocument/2006/relationships/hyperlink" Target="http://www.verre-avenir.fr/Espace-Communication/Espace-Presse/Communiques-de-presse" TargetMode="External"/><Relationship Id="rId1" Type="http://schemas.openxmlformats.org/officeDocument/2006/relationships/hyperlink" Target="https://ec.europa.eu/eurostat/web/prodcom/data/database" TargetMode="External"/><Relationship Id="rId6" Type="http://schemas.openxmlformats.org/officeDocument/2006/relationships/hyperlink" Target="http://catalogue.bnf.fr/ark:/12148/cb35674554t" TargetMode="External"/><Relationship Id="rId11" Type="http://schemas.openxmlformats.org/officeDocument/2006/relationships/printerSettings" Target="../printerSettings/printerSettings1.bin"/><Relationship Id="rId5" Type="http://schemas.openxmlformats.org/officeDocument/2006/relationships/hyperlink" Target="http://catalogue.bnf.fr/ark:/12148/cb35674553g" TargetMode="External"/><Relationship Id="rId10" Type="http://schemas.openxmlformats.org/officeDocument/2006/relationships/hyperlink" Target="http://bookshop.europa.eu/uri?target=EUB:NOTICE:CDNA09287:FR:HTML" TargetMode="External"/><Relationship Id="rId4" Type="http://schemas.openxmlformats.org/officeDocument/2006/relationships/hyperlink" Target="http://catalogue.bnf.fr/ark:/12148/cb34349577d" TargetMode="External"/><Relationship Id="rId9" Type="http://schemas.openxmlformats.org/officeDocument/2006/relationships/hyperlink" Target="http://www.verreonline.fr/"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8D57F-0F45-4FFC-9D40-2D0FFB63D294}">
  <dimension ref="A2:D41"/>
  <sheetViews>
    <sheetView showGridLines="0" workbookViewId="0">
      <selection activeCell="B9" sqref="B9"/>
    </sheetView>
  </sheetViews>
  <sheetFormatPr defaultColWidth="118.7109375" defaultRowHeight="15" x14ac:dyDescent="0.25"/>
  <cols>
    <col min="1" max="1" width="4.28515625" customWidth="1"/>
    <col min="2" max="2" width="60.5703125" style="71" bestFit="1" customWidth="1"/>
    <col min="3" max="3" width="88.5703125" style="61" customWidth="1"/>
    <col min="4" max="4" width="86.140625" bestFit="1" customWidth="1"/>
  </cols>
  <sheetData>
    <row r="2" spans="1:4" x14ac:dyDescent="0.25">
      <c r="B2" s="73" t="s">
        <v>73</v>
      </c>
    </row>
    <row r="3" spans="1:4" ht="30" x14ac:dyDescent="0.25">
      <c r="A3" s="67"/>
      <c r="B3" s="72"/>
      <c r="C3" s="68" t="s">
        <v>27</v>
      </c>
      <c r="D3" s="67"/>
    </row>
    <row r="7" spans="1:4" x14ac:dyDescent="0.25">
      <c r="B7" s="71" t="s">
        <v>67</v>
      </c>
      <c r="C7" s="66" t="s">
        <v>28</v>
      </c>
    </row>
    <row r="8" spans="1:4" s="62" customFormat="1" x14ac:dyDescent="0.25">
      <c r="B8" s="71"/>
      <c r="C8" s="66"/>
    </row>
    <row r="9" spans="1:4" ht="45" x14ac:dyDescent="0.25">
      <c r="B9" s="71" t="s">
        <v>62</v>
      </c>
      <c r="C9" s="66" t="s">
        <v>29</v>
      </c>
    </row>
    <row r="10" spans="1:4" s="62" customFormat="1" x14ac:dyDescent="0.25">
      <c r="B10" s="71"/>
      <c r="C10" s="66"/>
    </row>
    <row r="11" spans="1:4" ht="30" x14ac:dyDescent="0.25">
      <c r="B11" s="71" t="s">
        <v>61</v>
      </c>
      <c r="C11" s="66" t="s">
        <v>30</v>
      </c>
    </row>
    <row r="12" spans="1:4" s="62" customFormat="1" x14ac:dyDescent="0.25">
      <c r="B12" s="71"/>
      <c r="C12" s="66"/>
    </row>
    <row r="13" spans="1:4" ht="30" x14ac:dyDescent="0.25">
      <c r="B13" s="71" t="s">
        <v>65</v>
      </c>
      <c r="C13" s="61" t="s">
        <v>36</v>
      </c>
      <c r="D13" s="70" t="s">
        <v>37</v>
      </c>
    </row>
    <row r="14" spans="1:4" s="62" customFormat="1" x14ac:dyDescent="0.25">
      <c r="B14" s="71"/>
      <c r="C14" s="61"/>
    </row>
    <row r="15" spans="1:4" ht="45" x14ac:dyDescent="0.25">
      <c r="B15" s="71" t="s">
        <v>68</v>
      </c>
      <c r="C15" s="66" t="s">
        <v>31</v>
      </c>
    </row>
    <row r="16" spans="1:4" x14ac:dyDescent="0.25">
      <c r="C16" s="66"/>
    </row>
    <row r="17" spans="2:4" x14ac:dyDescent="0.25">
      <c r="B17" s="71" t="s">
        <v>58</v>
      </c>
      <c r="C17" s="61" t="s">
        <v>38</v>
      </c>
      <c r="D17" s="70" t="s">
        <v>39</v>
      </c>
    </row>
    <row r="18" spans="2:4" x14ac:dyDescent="0.25">
      <c r="C18" s="66"/>
    </row>
    <row r="19" spans="2:4" ht="30" x14ac:dyDescent="0.25">
      <c r="B19" s="71" t="s">
        <v>66</v>
      </c>
      <c r="C19" s="66" t="s">
        <v>32</v>
      </c>
    </row>
    <row r="20" spans="2:4" x14ac:dyDescent="0.25">
      <c r="C20" s="66"/>
    </row>
    <row r="21" spans="2:4" ht="30" x14ac:dyDescent="0.25">
      <c r="B21" s="71" t="s">
        <v>56</v>
      </c>
      <c r="C21" s="61" t="s">
        <v>40</v>
      </c>
      <c r="D21" s="70" t="s">
        <v>41</v>
      </c>
    </row>
    <row r="22" spans="2:4" s="62" customFormat="1" x14ac:dyDescent="0.25">
      <c r="B22" s="71"/>
      <c r="C22" s="61"/>
      <c r="D22" s="70"/>
    </row>
    <row r="23" spans="2:4" ht="30" x14ac:dyDescent="0.25">
      <c r="B23" s="71" t="s">
        <v>71</v>
      </c>
      <c r="C23" s="61" t="s">
        <v>42</v>
      </c>
      <c r="D23" s="69" t="s">
        <v>43</v>
      </c>
    </row>
    <row r="24" spans="2:4" s="62" customFormat="1" x14ac:dyDescent="0.25">
      <c r="B24" s="71"/>
      <c r="C24" s="61"/>
      <c r="D24" s="69"/>
    </row>
    <row r="25" spans="2:4" ht="45" x14ac:dyDescent="0.25">
      <c r="B25" s="71" t="s">
        <v>55</v>
      </c>
      <c r="C25" s="61" t="s">
        <v>44</v>
      </c>
      <c r="D25" s="69" t="s">
        <v>45</v>
      </c>
    </row>
    <row r="26" spans="2:4" s="62" customFormat="1" x14ac:dyDescent="0.25">
      <c r="B26" s="71"/>
      <c r="C26" s="61"/>
      <c r="D26" s="69"/>
    </row>
    <row r="27" spans="2:4" ht="45" x14ac:dyDescent="0.25">
      <c r="B27" s="71" t="s">
        <v>60</v>
      </c>
      <c r="C27" s="61" t="s">
        <v>46</v>
      </c>
      <c r="D27" s="70" t="s">
        <v>47</v>
      </c>
    </row>
    <row r="28" spans="2:4" s="62" customFormat="1" x14ac:dyDescent="0.25">
      <c r="B28" s="71"/>
      <c r="C28" s="61"/>
      <c r="D28" s="70"/>
    </row>
    <row r="29" spans="2:4" ht="45" x14ac:dyDescent="0.25">
      <c r="B29" s="71" t="s">
        <v>72</v>
      </c>
      <c r="C29" s="61" t="s">
        <v>48</v>
      </c>
      <c r="D29" s="70" t="s">
        <v>49</v>
      </c>
    </row>
    <row r="30" spans="2:4" s="62" customFormat="1" x14ac:dyDescent="0.25">
      <c r="B30" s="71"/>
      <c r="C30" s="61"/>
      <c r="D30" s="70"/>
    </row>
    <row r="31" spans="2:4" ht="30" x14ac:dyDescent="0.25">
      <c r="B31" s="71" t="s">
        <v>63</v>
      </c>
      <c r="C31" s="66" t="s">
        <v>33</v>
      </c>
    </row>
    <row r="32" spans="2:4" s="62" customFormat="1" x14ac:dyDescent="0.25">
      <c r="B32" s="71"/>
      <c r="C32" s="66"/>
    </row>
    <row r="33" spans="2:4" ht="30" x14ac:dyDescent="0.25">
      <c r="B33" s="71" t="s">
        <v>57</v>
      </c>
      <c r="C33" s="66" t="s">
        <v>34</v>
      </c>
    </row>
    <row r="34" spans="2:4" s="62" customFormat="1" x14ac:dyDescent="0.25">
      <c r="B34" s="71"/>
      <c r="C34" s="66"/>
    </row>
    <row r="35" spans="2:4" ht="30" x14ac:dyDescent="0.25">
      <c r="B35" s="71" t="s">
        <v>70</v>
      </c>
      <c r="C35" s="61" t="s">
        <v>50</v>
      </c>
      <c r="D35" s="69" t="s">
        <v>51</v>
      </c>
    </row>
    <row r="36" spans="2:4" x14ac:dyDescent="0.25">
      <c r="C36" s="66"/>
    </row>
    <row r="37" spans="2:4" x14ac:dyDescent="0.25">
      <c r="B37" s="71" t="s">
        <v>69</v>
      </c>
      <c r="C37" s="61" t="s">
        <v>52</v>
      </c>
      <c r="D37" s="70" t="s">
        <v>51</v>
      </c>
    </row>
    <row r="38" spans="2:4" s="62" customFormat="1" x14ac:dyDescent="0.25">
      <c r="B38" s="71"/>
      <c r="C38" s="61"/>
      <c r="D38" s="70"/>
    </row>
    <row r="39" spans="2:4" ht="45" x14ac:dyDescent="0.25">
      <c r="B39" s="71" t="s">
        <v>64</v>
      </c>
      <c r="C39" s="66" t="s">
        <v>35</v>
      </c>
    </row>
    <row r="40" spans="2:4" s="62" customFormat="1" x14ac:dyDescent="0.25">
      <c r="B40" s="71"/>
      <c r="C40" s="66"/>
    </row>
    <row r="41" spans="2:4" x14ac:dyDescent="0.25">
      <c r="B41" s="71" t="s">
        <v>59</v>
      </c>
      <c r="C41" s="61" t="s">
        <v>53</v>
      </c>
      <c r="D41" s="70" t="s">
        <v>54</v>
      </c>
    </row>
  </sheetData>
  <hyperlinks>
    <hyperlink ref="D17" r:id="rId1" xr:uid="{8AFB5A1E-4A65-4E17-BC63-AA40BB88DEF1}"/>
    <hyperlink ref="D21" r:id="rId2" xr:uid="{5B146D8D-1110-4A3F-8903-939DEFCC84D0}"/>
    <hyperlink ref="D23" r:id="rId3" xr:uid="{7D9DE34B-3258-45D8-A0C2-5168AC1BF268}"/>
    <hyperlink ref="D25" r:id="rId4" xr:uid="{9E42D6CA-6407-4471-9356-8E52666C77C8}"/>
    <hyperlink ref="D27" r:id="rId5" xr:uid="{0823426B-1810-4F0D-A091-3BBF2EB2491B}"/>
    <hyperlink ref="D29" r:id="rId6" xr:uid="{45E5C5B1-4D6D-4994-BCA6-3332EB5D4737}"/>
    <hyperlink ref="D35" r:id="rId7" xr:uid="{49A06CAD-3A74-49F2-872F-F381C7189FED}"/>
    <hyperlink ref="D37" r:id="rId8" xr:uid="{71EF4F7F-653D-4821-A59E-E866D0C503A3}"/>
    <hyperlink ref="D41" r:id="rId9" display="http://www.verreonline.fr/" xr:uid="{D6BD6815-88F5-4551-83DE-03DBB71B66BD}"/>
    <hyperlink ref="D13" r:id="rId10" xr:uid="{958412F8-BDDA-4523-96C5-EAD7F64408B9}"/>
  </hyperlinks>
  <pageMargins left="0.7" right="0.7" top="0.75" bottom="0.75" header="0.3" footer="0.3"/>
  <pageSetup paperSize="9" orientation="portrait" horizontalDpi="1200" verticalDpi="1200"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B49BA-6D54-42C1-84EE-7F8663080B50}">
  <dimension ref="A1:BO88"/>
  <sheetViews>
    <sheetView zoomScale="55" zoomScaleNormal="55" workbookViewId="0">
      <pane xSplit="1" ySplit="1" topLeftCell="B2" activePane="bottomRight" state="frozen"/>
      <selection pane="topRight" activeCell="B1" sqref="B1"/>
      <selection pane="bottomLeft" activeCell="A2" sqref="A2"/>
      <selection pane="bottomRight" activeCell="E1" sqref="E1:E1048576"/>
    </sheetView>
  </sheetViews>
  <sheetFormatPr defaultColWidth="10.7109375" defaultRowHeight="15" x14ac:dyDescent="0.25"/>
  <cols>
    <col min="1" max="1" width="12.28515625" style="10" customWidth="1"/>
    <col min="2" max="2" width="26.42578125" style="8" customWidth="1"/>
    <col min="3" max="12" width="26.42578125" style="4" customWidth="1"/>
    <col min="13" max="16384" width="10.7109375" style="6"/>
  </cols>
  <sheetData>
    <row r="1" spans="1:12" s="13" customFormat="1" ht="30" x14ac:dyDescent="0.25">
      <c r="A1" s="14" t="s">
        <v>0</v>
      </c>
      <c r="B1" s="31" t="s">
        <v>1</v>
      </c>
      <c r="C1" s="5" t="s">
        <v>2</v>
      </c>
      <c r="D1" s="5" t="s">
        <v>20</v>
      </c>
      <c r="E1" s="5" t="s">
        <v>13</v>
      </c>
      <c r="F1" s="5" t="s">
        <v>24</v>
      </c>
      <c r="G1" s="5" t="s">
        <v>10</v>
      </c>
      <c r="H1" s="5" t="s">
        <v>25</v>
      </c>
      <c r="I1" s="63" t="s">
        <v>9</v>
      </c>
      <c r="J1" s="5" t="s">
        <v>26</v>
      </c>
      <c r="K1" s="5" t="s">
        <v>3</v>
      </c>
      <c r="L1" s="5" t="s">
        <v>4</v>
      </c>
    </row>
    <row r="2" spans="1:12" x14ac:dyDescent="0.25">
      <c r="A2" s="11">
        <v>1945</v>
      </c>
      <c r="B2" s="7">
        <v>108.3</v>
      </c>
      <c r="C2" s="8"/>
      <c r="D2" s="8"/>
      <c r="E2" s="8"/>
      <c r="F2" s="8"/>
      <c r="G2" s="8"/>
      <c r="H2" s="8"/>
      <c r="I2" s="8"/>
      <c r="J2" s="8"/>
      <c r="K2" s="8"/>
      <c r="L2" s="8">
        <v>13600</v>
      </c>
    </row>
    <row r="3" spans="1:12" x14ac:dyDescent="0.25">
      <c r="A3" s="11">
        <v>1946</v>
      </c>
      <c r="B3" s="7">
        <v>173.8</v>
      </c>
      <c r="C3" s="1">
        <v>0</v>
      </c>
      <c r="D3" s="1">
        <f>C3*2.5*0.009</f>
        <v>0</v>
      </c>
      <c r="E3" s="8"/>
      <c r="F3" s="8"/>
      <c r="G3" s="8"/>
      <c r="H3" s="8"/>
      <c r="I3" s="8"/>
      <c r="J3" s="8"/>
      <c r="K3" s="8">
        <v>1154</v>
      </c>
      <c r="L3" s="8">
        <v>13600</v>
      </c>
    </row>
    <row r="4" spans="1:12" x14ac:dyDescent="0.25">
      <c r="A4" s="11">
        <v>1947</v>
      </c>
      <c r="B4" s="7">
        <v>198.3</v>
      </c>
      <c r="E4" s="6"/>
      <c r="F4" s="6"/>
      <c r="G4" s="8"/>
      <c r="H4" s="8"/>
      <c r="I4" s="8"/>
      <c r="J4" s="8"/>
      <c r="K4" s="6"/>
      <c r="L4" s="8"/>
    </row>
    <row r="5" spans="1:12" x14ac:dyDescent="0.25">
      <c r="A5" s="11">
        <v>1948</v>
      </c>
      <c r="B5" s="7">
        <v>220.2</v>
      </c>
      <c r="C5" s="8"/>
      <c r="D5" s="8"/>
      <c r="E5" s="6"/>
      <c r="F5" s="6"/>
      <c r="G5" s="8"/>
      <c r="H5" s="8"/>
      <c r="I5" s="8"/>
      <c r="J5" s="8"/>
      <c r="K5" s="6"/>
      <c r="L5" s="8"/>
    </row>
    <row r="6" spans="1:12" x14ac:dyDescent="0.25">
      <c r="A6" s="11">
        <v>1949</v>
      </c>
      <c r="B6" s="7">
        <v>191.3</v>
      </c>
      <c r="C6" s="8"/>
      <c r="D6" s="8"/>
      <c r="E6" s="6"/>
      <c r="F6" s="6"/>
      <c r="G6" s="8"/>
      <c r="H6" s="8"/>
      <c r="I6" s="8"/>
      <c r="J6" s="8"/>
      <c r="K6" s="6"/>
      <c r="L6" s="8"/>
    </row>
    <row r="7" spans="1:12" x14ac:dyDescent="0.25">
      <c r="A7" s="11">
        <v>1950</v>
      </c>
      <c r="B7" s="7">
        <v>190.4</v>
      </c>
      <c r="E7" s="8">
        <v>48.8</v>
      </c>
      <c r="F7" s="53">
        <f t="shared" ref="F7:F34" si="0">E7/B7</f>
        <v>0.25630252100840334</v>
      </c>
      <c r="G7" s="8">
        <v>77.099999999999994</v>
      </c>
      <c r="H7" s="53">
        <f t="shared" ref="H7:H34" si="1">G7/B7</f>
        <v>0.40493697478991592</v>
      </c>
      <c r="I7" s="8">
        <v>64.5</v>
      </c>
      <c r="J7" s="53">
        <f t="shared" ref="J7:J39" si="2">I7/B7</f>
        <v>0.33876050420168063</v>
      </c>
      <c r="K7" s="8">
        <v>2117</v>
      </c>
      <c r="L7" s="8">
        <v>13800</v>
      </c>
    </row>
    <row r="8" spans="1:12" x14ac:dyDescent="0.25">
      <c r="A8" s="11">
        <v>1951</v>
      </c>
      <c r="B8" s="7">
        <v>222.7</v>
      </c>
      <c r="C8" s="8"/>
      <c r="D8" s="8"/>
      <c r="E8" s="8">
        <v>53.1</v>
      </c>
      <c r="F8" s="53">
        <f t="shared" si="0"/>
        <v>0.23843735967669513</v>
      </c>
      <c r="G8" s="8">
        <v>91.5</v>
      </c>
      <c r="H8" s="53">
        <f t="shared" si="1"/>
        <v>0.4108666367310283</v>
      </c>
      <c r="I8" s="8">
        <v>78.099999999999994</v>
      </c>
      <c r="J8" s="53">
        <f t="shared" si="2"/>
        <v>0.3506960035922766</v>
      </c>
      <c r="K8" s="7"/>
      <c r="L8" s="8"/>
    </row>
    <row r="9" spans="1:12" x14ac:dyDescent="0.25">
      <c r="A9" s="11">
        <v>1952</v>
      </c>
      <c r="B9" s="7">
        <v>191.6</v>
      </c>
      <c r="C9" s="8"/>
      <c r="D9" s="8"/>
      <c r="E9" s="17">
        <v>58.6</v>
      </c>
      <c r="F9" s="53">
        <f t="shared" si="0"/>
        <v>0.30584551148225469</v>
      </c>
      <c r="G9" s="17">
        <v>65.2</v>
      </c>
      <c r="H9" s="53">
        <f t="shared" si="1"/>
        <v>0.34029227557411273</v>
      </c>
      <c r="I9" s="17">
        <v>67.8</v>
      </c>
      <c r="J9" s="53">
        <f t="shared" si="2"/>
        <v>0.35386221294363257</v>
      </c>
      <c r="K9" s="7">
        <v>3408</v>
      </c>
      <c r="L9" s="16"/>
    </row>
    <row r="10" spans="1:12" x14ac:dyDescent="0.25">
      <c r="A10" s="11">
        <v>1953</v>
      </c>
      <c r="B10" s="7">
        <v>212.6</v>
      </c>
      <c r="C10" s="8"/>
      <c r="D10" s="8"/>
      <c r="E10" s="17">
        <v>62.1</v>
      </c>
      <c r="F10" s="53">
        <f t="shared" si="0"/>
        <v>0.29209783631232361</v>
      </c>
      <c r="G10" s="17">
        <v>79.2</v>
      </c>
      <c r="H10" s="53">
        <f t="shared" si="1"/>
        <v>0.37253057384760113</v>
      </c>
      <c r="I10" s="17">
        <v>71.3</v>
      </c>
      <c r="J10" s="53">
        <f t="shared" si="2"/>
        <v>0.33537158984007526</v>
      </c>
      <c r="K10" s="7">
        <f>2800</f>
        <v>2800</v>
      </c>
      <c r="L10" s="16"/>
    </row>
    <row r="11" spans="1:12" x14ac:dyDescent="0.25">
      <c r="A11" s="11">
        <v>1954</v>
      </c>
      <c r="B11" s="7">
        <v>214.6</v>
      </c>
      <c r="C11" s="8"/>
      <c r="D11" s="8"/>
      <c r="E11" s="8">
        <v>62.7</v>
      </c>
      <c r="F11" s="53">
        <f t="shared" si="0"/>
        <v>0.29217148182665426</v>
      </c>
      <c r="G11" s="8">
        <v>80.3</v>
      </c>
      <c r="H11" s="53">
        <f t="shared" si="1"/>
        <v>0.37418452935694313</v>
      </c>
      <c r="I11" s="8">
        <v>71.599999999999994</v>
      </c>
      <c r="J11" s="53">
        <f t="shared" si="2"/>
        <v>0.33364398881640261</v>
      </c>
      <c r="K11" s="8">
        <f>3212.347</f>
        <v>3212.3470000000002</v>
      </c>
      <c r="L11" s="8"/>
    </row>
    <row r="12" spans="1:12" x14ac:dyDescent="0.25">
      <c r="A12" s="11">
        <v>1955</v>
      </c>
      <c r="B12" s="7">
        <v>260.60000000000002</v>
      </c>
      <c r="C12" s="38">
        <f>0.02*C27</f>
        <v>69.5</v>
      </c>
      <c r="D12" s="7">
        <f>C12*2.5*0.009</f>
        <v>1.56375</v>
      </c>
      <c r="E12" s="7">
        <v>61.3</v>
      </c>
      <c r="F12" s="53">
        <f t="shared" si="0"/>
        <v>0.23522640061396774</v>
      </c>
      <c r="G12" s="7">
        <v>111.3</v>
      </c>
      <c r="H12" s="53">
        <f t="shared" si="1"/>
        <v>0.4270913277052954</v>
      </c>
      <c r="I12" s="7">
        <v>88</v>
      </c>
      <c r="J12" s="53">
        <f t="shared" si="2"/>
        <v>0.33768227168073672</v>
      </c>
      <c r="K12" s="7">
        <f>3653.924</f>
        <v>3653.924</v>
      </c>
      <c r="L12" s="8">
        <v>21500</v>
      </c>
    </row>
    <row r="13" spans="1:12" x14ac:dyDescent="0.25">
      <c r="A13" s="11">
        <v>1956</v>
      </c>
      <c r="B13" s="7">
        <v>292.89999999999998</v>
      </c>
      <c r="C13" s="6"/>
      <c r="D13" s="6"/>
      <c r="E13" s="7">
        <v>90.6</v>
      </c>
      <c r="F13" s="53">
        <f t="shared" si="0"/>
        <v>0.30932058723113692</v>
      </c>
      <c r="G13" s="7">
        <v>116.4</v>
      </c>
      <c r="H13" s="53">
        <f t="shared" si="1"/>
        <v>0.39740525776715607</v>
      </c>
      <c r="I13" s="7">
        <v>85.9</v>
      </c>
      <c r="J13" s="53">
        <f t="shared" si="2"/>
        <v>0.29327415500170712</v>
      </c>
      <c r="K13" s="7">
        <v>4324.8860000000004</v>
      </c>
      <c r="L13" s="8"/>
    </row>
    <row r="14" spans="1:12" x14ac:dyDescent="0.25">
      <c r="A14" s="11">
        <v>1957</v>
      </c>
      <c r="B14" s="7">
        <v>329.6</v>
      </c>
      <c r="D14" s="6"/>
      <c r="E14" s="7">
        <v>116.6</v>
      </c>
      <c r="F14" s="53">
        <f t="shared" si="0"/>
        <v>0.35376213592233008</v>
      </c>
      <c r="G14" s="7">
        <v>116.4</v>
      </c>
      <c r="H14" s="53">
        <f t="shared" si="1"/>
        <v>0.35315533980582525</v>
      </c>
      <c r="I14" s="7">
        <v>96.6</v>
      </c>
      <c r="J14" s="53">
        <f t="shared" si="2"/>
        <v>0.29308252427184461</v>
      </c>
      <c r="K14" s="7">
        <v>5107</v>
      </c>
      <c r="L14" s="8"/>
    </row>
    <row r="15" spans="1:12" x14ac:dyDescent="0.25">
      <c r="A15" s="11">
        <v>1958</v>
      </c>
      <c r="B15" s="7">
        <v>361.2</v>
      </c>
      <c r="D15" s="8"/>
      <c r="E15" s="7">
        <v>129.19999999999999</v>
      </c>
      <c r="F15" s="53">
        <f t="shared" si="0"/>
        <v>0.35769656699889257</v>
      </c>
      <c r="G15" s="7">
        <v>135</v>
      </c>
      <c r="H15" s="53">
        <f t="shared" si="1"/>
        <v>0.37375415282392027</v>
      </c>
      <c r="I15" s="7">
        <v>97</v>
      </c>
      <c r="J15" s="53">
        <f t="shared" si="2"/>
        <v>0.26854928017718716</v>
      </c>
      <c r="K15" s="7">
        <v>5816</v>
      </c>
      <c r="L15" s="8"/>
    </row>
    <row r="16" spans="1:12" x14ac:dyDescent="0.25">
      <c r="A16" s="11">
        <v>1959</v>
      </c>
      <c r="B16" s="7">
        <v>415.5</v>
      </c>
      <c r="C16" s="8"/>
      <c r="D16" s="8"/>
      <c r="E16" s="7">
        <v>182.6</v>
      </c>
      <c r="F16" s="53">
        <f t="shared" si="0"/>
        <v>0.43947051744885679</v>
      </c>
      <c r="G16" s="7">
        <v>135.19999999999999</v>
      </c>
      <c r="H16" s="53">
        <f t="shared" si="1"/>
        <v>0.3253910950661853</v>
      </c>
      <c r="I16" s="7">
        <v>97.7</v>
      </c>
      <c r="J16" s="53">
        <f t="shared" si="2"/>
        <v>0.23513838748495788</v>
      </c>
      <c r="K16" s="7">
        <v>6700</v>
      </c>
      <c r="L16" s="8"/>
    </row>
    <row r="17" spans="1:12" x14ac:dyDescent="0.25">
      <c r="A17" s="11">
        <v>1960</v>
      </c>
      <c r="B17" s="7">
        <f>416.6</f>
        <v>416.6</v>
      </c>
      <c r="C17" s="8"/>
      <c r="D17" s="8"/>
      <c r="E17" s="7">
        <v>175.8</v>
      </c>
      <c r="F17" s="53">
        <f t="shared" si="0"/>
        <v>0.42198751800288048</v>
      </c>
      <c r="G17" s="7">
        <v>150.80000000000001</v>
      </c>
      <c r="H17" s="53">
        <f t="shared" si="1"/>
        <v>0.36197791646663469</v>
      </c>
      <c r="I17" s="7">
        <v>90</v>
      </c>
      <c r="J17" s="53">
        <f t="shared" si="2"/>
        <v>0.21603456553048486</v>
      </c>
      <c r="K17" s="8">
        <v>7034</v>
      </c>
      <c r="L17" s="8">
        <v>27800</v>
      </c>
    </row>
    <row r="18" spans="1:12" x14ac:dyDescent="0.25">
      <c r="A18" s="11">
        <v>1961</v>
      </c>
      <c r="B18" s="7">
        <f>166.2+133.9+102.7</f>
        <v>402.8</v>
      </c>
      <c r="C18" s="8"/>
      <c r="D18" s="8"/>
      <c r="E18" s="7">
        <v>166.2</v>
      </c>
      <c r="F18" s="53">
        <f t="shared" si="0"/>
        <v>0.41261171797418067</v>
      </c>
      <c r="G18" s="7">
        <v>133.9</v>
      </c>
      <c r="H18" s="53">
        <f t="shared" si="1"/>
        <v>0.33242303872889772</v>
      </c>
      <c r="I18" s="7">
        <v>102.7</v>
      </c>
      <c r="J18" s="53">
        <f t="shared" si="2"/>
        <v>0.25496524329692155</v>
      </c>
      <c r="K18" s="7">
        <v>7034</v>
      </c>
      <c r="L18" s="8"/>
    </row>
    <row r="19" spans="1:12" x14ac:dyDescent="0.25">
      <c r="A19" s="11">
        <v>1962</v>
      </c>
      <c r="B19" s="7">
        <f>212.2+153.7+108.4</f>
        <v>474.29999999999995</v>
      </c>
      <c r="C19" s="8"/>
      <c r="D19" s="8"/>
      <c r="E19" s="7">
        <v>212.2</v>
      </c>
      <c r="F19" s="53">
        <f t="shared" si="0"/>
        <v>0.44739616276618177</v>
      </c>
      <c r="G19" s="7">
        <v>153.69999999999999</v>
      </c>
      <c r="H19" s="53">
        <f t="shared" si="1"/>
        <v>0.32405650432215899</v>
      </c>
      <c r="I19" s="7">
        <v>108.4</v>
      </c>
      <c r="J19" s="53">
        <f t="shared" si="2"/>
        <v>0.22854733291165932</v>
      </c>
      <c r="K19" s="7">
        <v>8500</v>
      </c>
      <c r="L19" s="8"/>
    </row>
    <row r="20" spans="1:12" x14ac:dyDescent="0.25">
      <c r="A20" s="11">
        <v>1963</v>
      </c>
      <c r="B20" s="7">
        <f>229.2+162.2+99.8</f>
        <v>491.2</v>
      </c>
      <c r="C20" s="8"/>
      <c r="D20" s="8"/>
      <c r="E20" s="7">
        <v>229.2</v>
      </c>
      <c r="F20" s="53">
        <f t="shared" si="0"/>
        <v>0.46661237785016285</v>
      </c>
      <c r="G20" s="7">
        <v>162.19999999999999</v>
      </c>
      <c r="H20" s="53">
        <f t="shared" si="1"/>
        <v>0.3302117263843648</v>
      </c>
      <c r="I20" s="7">
        <v>99.8</v>
      </c>
      <c r="J20" s="53">
        <f t="shared" si="2"/>
        <v>0.20317589576547232</v>
      </c>
      <c r="K20" s="7">
        <v>9400</v>
      </c>
      <c r="L20" s="8"/>
    </row>
    <row r="21" spans="1:12" x14ac:dyDescent="0.25">
      <c r="A21" s="11">
        <v>1964</v>
      </c>
      <c r="B21" s="7">
        <f>227.7+189.8+125.6</f>
        <v>543.1</v>
      </c>
      <c r="C21" s="8"/>
      <c r="D21" s="8"/>
      <c r="E21" s="7">
        <v>227.7</v>
      </c>
      <c r="F21" s="53">
        <f t="shared" si="0"/>
        <v>0.41925980482415759</v>
      </c>
      <c r="G21" s="7">
        <v>189.8</v>
      </c>
      <c r="H21" s="53">
        <f t="shared" si="1"/>
        <v>0.34947523476339531</v>
      </c>
      <c r="I21" s="7">
        <v>125.6</v>
      </c>
      <c r="J21" s="53">
        <f t="shared" si="2"/>
        <v>0.23126496041244704</v>
      </c>
      <c r="K21" s="7">
        <v>8900</v>
      </c>
      <c r="L21" s="8"/>
    </row>
    <row r="22" spans="1:12" x14ac:dyDescent="0.25">
      <c r="A22" s="11">
        <v>1965</v>
      </c>
      <c r="B22" s="7">
        <f>241.5+204+118.3</f>
        <v>563.79999999999995</v>
      </c>
      <c r="C22" s="8"/>
      <c r="D22" s="8"/>
      <c r="E22" s="7">
        <v>241.5</v>
      </c>
      <c r="F22" s="53">
        <f t="shared" si="0"/>
        <v>0.42834338417878681</v>
      </c>
      <c r="G22" s="7">
        <v>204</v>
      </c>
      <c r="H22" s="53">
        <f t="shared" si="1"/>
        <v>0.36183043632493794</v>
      </c>
      <c r="I22" s="7">
        <v>118.3</v>
      </c>
      <c r="J22" s="53">
        <f t="shared" si="2"/>
        <v>0.2098261794962753</v>
      </c>
      <c r="K22" s="8">
        <v>9350</v>
      </c>
      <c r="L22" s="8">
        <v>34800</v>
      </c>
    </row>
    <row r="23" spans="1:12" x14ac:dyDescent="0.25">
      <c r="A23" s="11">
        <v>1966</v>
      </c>
      <c r="B23" s="7">
        <f>253.7+195.4+126.1</f>
        <v>575.20000000000005</v>
      </c>
      <c r="C23" s="8"/>
      <c r="D23" s="8"/>
      <c r="E23" s="7">
        <v>253.7</v>
      </c>
      <c r="F23" s="53">
        <f t="shared" si="0"/>
        <v>0.44106397774687062</v>
      </c>
      <c r="G23" s="7">
        <v>195.4</v>
      </c>
      <c r="H23" s="53">
        <f t="shared" si="1"/>
        <v>0.3397079276773296</v>
      </c>
      <c r="I23" s="7">
        <v>126.1</v>
      </c>
      <c r="J23" s="53">
        <f t="shared" si="2"/>
        <v>0.2192280945757997</v>
      </c>
      <c r="K23" s="7">
        <v>11800</v>
      </c>
      <c r="L23" s="8"/>
    </row>
    <row r="24" spans="1:12" x14ac:dyDescent="0.25">
      <c r="A24" s="11">
        <v>1967</v>
      </c>
      <c r="B24" s="7">
        <f>219.9+181.6+121.5</f>
        <v>523</v>
      </c>
      <c r="C24" s="8"/>
      <c r="D24" s="8"/>
      <c r="E24" s="7">
        <v>219.9</v>
      </c>
      <c r="F24" s="53">
        <f t="shared" si="0"/>
        <v>0.42045889101338435</v>
      </c>
      <c r="G24" s="7">
        <v>181.6</v>
      </c>
      <c r="H24" s="53">
        <f t="shared" si="1"/>
        <v>0.34722753346080304</v>
      </c>
      <c r="I24" s="7">
        <v>121.5</v>
      </c>
      <c r="J24" s="53">
        <f t="shared" si="2"/>
        <v>0.23231357552581261</v>
      </c>
      <c r="K24" s="8"/>
      <c r="L24" s="8"/>
    </row>
    <row r="25" spans="1:12" x14ac:dyDescent="0.25">
      <c r="A25" s="11">
        <v>1968</v>
      </c>
      <c r="B25" s="7">
        <f>244.3+197.8+105.8</f>
        <v>547.9</v>
      </c>
      <c r="C25" s="8"/>
      <c r="D25" s="8"/>
      <c r="E25" s="7">
        <v>244.3</v>
      </c>
      <c r="F25" s="53">
        <f t="shared" si="0"/>
        <v>0.44588428545354997</v>
      </c>
      <c r="G25" s="7">
        <v>197.8</v>
      </c>
      <c r="H25" s="53">
        <f t="shared" si="1"/>
        <v>0.3610147837196569</v>
      </c>
      <c r="I25" s="7">
        <v>105.8</v>
      </c>
      <c r="J25" s="53">
        <f t="shared" si="2"/>
        <v>0.19310093082679322</v>
      </c>
      <c r="K25" s="8"/>
      <c r="L25" s="8"/>
    </row>
    <row r="26" spans="1:12" x14ac:dyDescent="0.25">
      <c r="A26" s="11">
        <v>1969</v>
      </c>
      <c r="B26" s="7">
        <f>278.3+212.8+95.3</f>
        <v>586.4</v>
      </c>
      <c r="C26" s="8"/>
      <c r="D26" s="8"/>
      <c r="E26" s="7">
        <v>278.3</v>
      </c>
      <c r="F26" s="53">
        <f t="shared" si="0"/>
        <v>0.47459072305593453</v>
      </c>
      <c r="G26" s="7">
        <v>212.8</v>
      </c>
      <c r="H26" s="53">
        <f t="shared" si="1"/>
        <v>0.36289222373806279</v>
      </c>
      <c r="I26" s="7">
        <v>95.3</v>
      </c>
      <c r="J26" s="53">
        <f t="shared" si="2"/>
        <v>0.16251705320600274</v>
      </c>
      <c r="K26" s="8"/>
      <c r="L26" s="8"/>
    </row>
    <row r="27" spans="1:12" x14ac:dyDescent="0.25">
      <c r="A27" s="11">
        <v>1970</v>
      </c>
      <c r="B27" s="7">
        <f>219.8+215.5+101.1</f>
        <v>536.4</v>
      </c>
      <c r="C27" s="8">
        <v>3475</v>
      </c>
      <c r="D27" s="7">
        <f>C27*2.5*0.009</f>
        <v>78.1875</v>
      </c>
      <c r="E27" s="7">
        <v>219.8</v>
      </c>
      <c r="F27" s="53">
        <f t="shared" si="0"/>
        <v>0.40976882923191654</v>
      </c>
      <c r="G27" s="7">
        <v>215.5</v>
      </c>
      <c r="H27" s="53">
        <f t="shared" si="1"/>
        <v>0.40175242356450414</v>
      </c>
      <c r="I27" s="7">
        <v>101.1</v>
      </c>
      <c r="J27" s="53">
        <f t="shared" si="2"/>
        <v>0.18847874720357941</v>
      </c>
      <c r="K27" s="8">
        <v>14654</v>
      </c>
      <c r="L27" s="8">
        <v>40200</v>
      </c>
    </row>
    <row r="28" spans="1:12" x14ac:dyDescent="0.25">
      <c r="A28" s="11">
        <v>1971</v>
      </c>
      <c r="B28" s="7">
        <f>207.1+224.1+104.2</f>
        <v>535.4</v>
      </c>
      <c r="C28" s="8">
        <v>3405</v>
      </c>
      <c r="D28" s="7">
        <f t="shared" ref="D28:D35" si="3">C28*2.5*0.009</f>
        <v>76.612499999999997</v>
      </c>
      <c r="E28" s="7">
        <v>207.1</v>
      </c>
      <c r="F28" s="53">
        <f t="shared" si="0"/>
        <v>0.38681359731042214</v>
      </c>
      <c r="G28" s="7">
        <v>224.1</v>
      </c>
      <c r="H28" s="53">
        <f t="shared" si="1"/>
        <v>0.41856555846096377</v>
      </c>
      <c r="I28" s="7">
        <v>104.2</v>
      </c>
      <c r="J28" s="53">
        <f t="shared" si="2"/>
        <v>0.19462084422861414</v>
      </c>
      <c r="K28" s="8"/>
      <c r="L28" s="8"/>
    </row>
    <row r="29" spans="1:12" x14ac:dyDescent="0.25">
      <c r="A29" s="11">
        <v>1972</v>
      </c>
      <c r="B29" s="7">
        <f>254.4+219.6+95.2</f>
        <v>569.20000000000005</v>
      </c>
      <c r="C29" s="8">
        <v>3440</v>
      </c>
      <c r="D29" s="7">
        <f t="shared" si="3"/>
        <v>77.399999999999991</v>
      </c>
      <c r="E29" s="7">
        <v>254.4</v>
      </c>
      <c r="F29" s="53">
        <f t="shared" si="0"/>
        <v>0.4469430780042164</v>
      </c>
      <c r="G29" s="7">
        <v>219.6</v>
      </c>
      <c r="H29" s="53">
        <f t="shared" si="1"/>
        <v>0.38580463808854526</v>
      </c>
      <c r="I29" s="7">
        <v>95.2</v>
      </c>
      <c r="J29" s="53">
        <f t="shared" si="2"/>
        <v>0.16725228390723823</v>
      </c>
      <c r="K29" s="8"/>
      <c r="L29" s="8"/>
    </row>
    <row r="30" spans="1:12" x14ac:dyDescent="0.25">
      <c r="A30" s="11">
        <v>1973</v>
      </c>
      <c r="B30" s="7">
        <f>347+226.8+98.5</f>
        <v>672.3</v>
      </c>
      <c r="C30" s="8">
        <v>3580</v>
      </c>
      <c r="D30" s="7">
        <f t="shared" si="3"/>
        <v>80.55</v>
      </c>
      <c r="E30" s="7">
        <v>347</v>
      </c>
      <c r="F30" s="53">
        <f t="shared" si="0"/>
        <v>0.51613862858842785</v>
      </c>
      <c r="G30" s="7">
        <v>226.8</v>
      </c>
      <c r="H30" s="53">
        <f t="shared" si="1"/>
        <v>0.33734939759036148</v>
      </c>
      <c r="I30" s="7">
        <v>98.5</v>
      </c>
      <c r="J30" s="53">
        <f t="shared" si="2"/>
        <v>0.14651197382121078</v>
      </c>
      <c r="K30" s="8"/>
      <c r="L30" s="8"/>
    </row>
    <row r="31" spans="1:12" x14ac:dyDescent="0.25">
      <c r="A31" s="11">
        <v>1974</v>
      </c>
      <c r="B31" s="7">
        <f>300+261.2+93.8</f>
        <v>655</v>
      </c>
      <c r="C31" s="8">
        <v>3900</v>
      </c>
      <c r="D31" s="7">
        <f t="shared" si="3"/>
        <v>87.75</v>
      </c>
      <c r="E31" s="7">
        <v>300</v>
      </c>
      <c r="F31" s="53">
        <f t="shared" si="0"/>
        <v>0.4580152671755725</v>
      </c>
      <c r="G31" s="7">
        <v>261.2</v>
      </c>
      <c r="H31" s="53">
        <f t="shared" si="1"/>
        <v>0.39877862595419844</v>
      </c>
      <c r="I31" s="7">
        <v>93.8</v>
      </c>
      <c r="J31" s="53">
        <f t="shared" si="2"/>
        <v>0.143206106870229</v>
      </c>
      <c r="K31" s="8"/>
      <c r="L31" s="8"/>
    </row>
    <row r="32" spans="1:12" x14ac:dyDescent="0.25">
      <c r="A32" s="11">
        <v>1975</v>
      </c>
      <c r="B32" s="7">
        <f>251.6+185.7+73.3</f>
        <v>510.59999999999997</v>
      </c>
      <c r="C32" s="8">
        <v>4165</v>
      </c>
      <c r="D32" s="7">
        <f t="shared" si="3"/>
        <v>93.712499999999991</v>
      </c>
      <c r="E32" s="7">
        <v>251.6</v>
      </c>
      <c r="F32" s="53">
        <f t="shared" si="0"/>
        <v>0.49275362318840582</v>
      </c>
      <c r="G32" s="7">
        <v>185.7</v>
      </c>
      <c r="H32" s="53">
        <f t="shared" si="1"/>
        <v>0.36368977673325498</v>
      </c>
      <c r="I32" s="7">
        <v>73.3</v>
      </c>
      <c r="J32" s="53">
        <f t="shared" si="2"/>
        <v>0.1435566000783392</v>
      </c>
      <c r="K32" s="8">
        <v>16773</v>
      </c>
      <c r="L32" s="8">
        <v>34100</v>
      </c>
    </row>
    <row r="33" spans="1:12" x14ac:dyDescent="0.25">
      <c r="A33" s="11">
        <v>1976</v>
      </c>
      <c r="B33" s="7">
        <f>334.3+199.3+88</f>
        <v>621.6</v>
      </c>
      <c r="C33" s="8">
        <v>4505</v>
      </c>
      <c r="D33" s="7">
        <f t="shared" si="3"/>
        <v>101.3625</v>
      </c>
      <c r="E33" s="7">
        <v>334.3</v>
      </c>
      <c r="F33" s="53">
        <f t="shared" si="0"/>
        <v>0.53780566280566278</v>
      </c>
      <c r="G33" s="7">
        <v>199.3</v>
      </c>
      <c r="H33" s="53">
        <f t="shared" si="1"/>
        <v>0.32062419562419564</v>
      </c>
      <c r="I33" s="7">
        <v>88</v>
      </c>
      <c r="J33" s="53">
        <f t="shared" si="2"/>
        <v>0.14157014157014156</v>
      </c>
      <c r="K33" s="8"/>
      <c r="L33" s="8"/>
    </row>
    <row r="34" spans="1:12" x14ac:dyDescent="0.25">
      <c r="A34" s="11">
        <v>1977</v>
      </c>
      <c r="B34" s="7">
        <f>303.4+199.1+98</f>
        <v>600.5</v>
      </c>
      <c r="C34" s="8">
        <v>4807</v>
      </c>
      <c r="D34" s="7">
        <f t="shared" si="3"/>
        <v>108.1575</v>
      </c>
      <c r="E34" s="7">
        <v>303.39999999999998</v>
      </c>
      <c r="F34" s="53">
        <f t="shared" si="0"/>
        <v>0.50524562864279765</v>
      </c>
      <c r="G34" s="7">
        <v>199.1</v>
      </c>
      <c r="H34" s="53">
        <f t="shared" si="1"/>
        <v>0.3315570358034971</v>
      </c>
      <c r="I34" s="7">
        <v>98</v>
      </c>
      <c r="J34" s="53">
        <f t="shared" si="2"/>
        <v>0.16319733555370525</v>
      </c>
      <c r="K34" s="8">
        <v>20228</v>
      </c>
      <c r="L34" s="8">
        <v>34100</v>
      </c>
    </row>
    <row r="35" spans="1:12" x14ac:dyDescent="0.25">
      <c r="A35" s="11">
        <v>1978</v>
      </c>
      <c r="B35" s="7">
        <f>448.5+84.1</f>
        <v>532.6</v>
      </c>
      <c r="C35" s="8">
        <v>4830</v>
      </c>
      <c r="D35" s="7">
        <f t="shared" si="3"/>
        <v>108.675</v>
      </c>
      <c r="E35" s="53"/>
      <c r="F35" s="53"/>
      <c r="I35" s="7">
        <v>84.1</v>
      </c>
      <c r="J35" s="53">
        <f t="shared" si="2"/>
        <v>0.15790461885092</v>
      </c>
      <c r="K35" s="8"/>
      <c r="L35" s="8"/>
    </row>
    <row r="36" spans="1:12" x14ac:dyDescent="0.25">
      <c r="A36" s="11">
        <v>1979</v>
      </c>
      <c r="B36" s="7">
        <f>620.5+54.9</f>
        <v>675.4</v>
      </c>
      <c r="C36" s="8"/>
      <c r="D36" s="8"/>
      <c r="E36" s="53"/>
      <c r="F36" s="53"/>
      <c r="G36" s="8"/>
      <c r="H36" s="8"/>
      <c r="I36" s="7">
        <v>54.9</v>
      </c>
      <c r="J36" s="53">
        <f t="shared" si="2"/>
        <v>8.1285164347053601E-2</v>
      </c>
      <c r="K36" s="8"/>
      <c r="L36" s="8"/>
    </row>
    <row r="37" spans="1:12" x14ac:dyDescent="0.25">
      <c r="A37" s="11">
        <v>1980</v>
      </c>
      <c r="B37" s="7">
        <v>752</v>
      </c>
      <c r="C37" s="8"/>
      <c r="D37" s="8"/>
      <c r="E37" s="53"/>
      <c r="F37" s="53"/>
      <c r="G37" s="8"/>
      <c r="H37" s="8"/>
      <c r="I37" s="7">
        <v>58.2</v>
      </c>
      <c r="J37" s="53">
        <f t="shared" si="2"/>
        <v>7.7393617021276603E-2</v>
      </c>
      <c r="K37" s="8"/>
      <c r="L37" s="8"/>
    </row>
    <row r="38" spans="1:12" x14ac:dyDescent="0.25">
      <c r="A38" s="11">
        <v>1981</v>
      </c>
      <c r="B38" s="7">
        <v>713</v>
      </c>
      <c r="C38" s="8"/>
      <c r="D38" s="8"/>
      <c r="E38" s="53"/>
      <c r="F38" s="53"/>
      <c r="G38" s="8"/>
      <c r="H38" s="8"/>
      <c r="I38" s="7">
        <v>40.1</v>
      </c>
      <c r="J38" s="53">
        <f t="shared" si="2"/>
        <v>5.6241234221598879E-2</v>
      </c>
      <c r="K38" s="8"/>
      <c r="L38" s="8"/>
    </row>
    <row r="39" spans="1:12" x14ac:dyDescent="0.25">
      <c r="A39" s="11">
        <v>1982</v>
      </c>
      <c r="B39" s="7">
        <v>755</v>
      </c>
      <c r="C39" s="7">
        <v>4184</v>
      </c>
      <c r="D39" s="7">
        <f t="shared" ref="D39:D76" si="4">C39*2.5*0.009</f>
        <v>94.139999999999986</v>
      </c>
      <c r="E39" s="53"/>
      <c r="F39" s="53"/>
      <c r="G39" s="8"/>
      <c r="H39" s="8"/>
      <c r="I39" s="7">
        <v>37.9</v>
      </c>
      <c r="J39" s="53">
        <f t="shared" si="2"/>
        <v>5.0198675496688737E-2</v>
      </c>
      <c r="K39" s="8"/>
      <c r="L39" s="8"/>
    </row>
    <row r="40" spans="1:12" x14ac:dyDescent="0.25">
      <c r="A40" s="11">
        <v>1983</v>
      </c>
      <c r="B40" s="7">
        <v>789</v>
      </c>
      <c r="C40" s="7">
        <v>4850</v>
      </c>
      <c r="D40" s="7">
        <f t="shared" si="4"/>
        <v>109.12499999999999</v>
      </c>
      <c r="E40" s="8"/>
      <c r="F40" s="8"/>
      <c r="G40" s="8"/>
      <c r="H40" s="8"/>
      <c r="I40" s="8"/>
      <c r="J40" s="8"/>
      <c r="K40" s="8"/>
      <c r="L40" s="8"/>
    </row>
    <row r="41" spans="1:12" x14ac:dyDescent="0.25">
      <c r="A41" s="11">
        <v>1984</v>
      </c>
      <c r="B41" s="7">
        <v>771</v>
      </c>
      <c r="C41" s="7">
        <v>4429</v>
      </c>
      <c r="D41" s="7">
        <f t="shared" si="4"/>
        <v>99.652499999999989</v>
      </c>
      <c r="E41" s="8"/>
      <c r="F41" s="8"/>
      <c r="G41" s="8"/>
      <c r="H41" s="8"/>
      <c r="I41" s="8"/>
      <c r="J41" s="8"/>
      <c r="K41" s="8"/>
      <c r="L41" s="8"/>
    </row>
    <row r="42" spans="1:12" x14ac:dyDescent="0.25">
      <c r="A42" s="11">
        <v>1985</v>
      </c>
      <c r="B42" s="7">
        <v>725</v>
      </c>
      <c r="C42" s="7">
        <v>4314</v>
      </c>
      <c r="D42" s="7">
        <f t="shared" si="4"/>
        <v>97.064999999999998</v>
      </c>
      <c r="E42" s="8"/>
      <c r="F42" s="8"/>
      <c r="G42" s="8"/>
      <c r="H42" s="8"/>
      <c r="I42" s="8"/>
      <c r="J42" s="8"/>
      <c r="K42" s="8"/>
      <c r="L42" s="8"/>
    </row>
    <row r="43" spans="1:12" x14ac:dyDescent="0.25">
      <c r="A43" s="11">
        <v>1986</v>
      </c>
      <c r="B43" s="7">
        <v>685</v>
      </c>
      <c r="C43" s="7">
        <v>5072</v>
      </c>
      <c r="D43" s="7">
        <f t="shared" si="4"/>
        <v>114.11999999999999</v>
      </c>
      <c r="E43" s="8"/>
      <c r="F43" s="8"/>
      <c r="G43" s="8"/>
      <c r="H43" s="8"/>
      <c r="I43" s="8"/>
      <c r="J43" s="8"/>
      <c r="K43" s="8"/>
      <c r="L43" s="8"/>
    </row>
    <row r="44" spans="1:12" x14ac:dyDescent="0.25">
      <c r="A44" s="11">
        <v>1987</v>
      </c>
      <c r="B44" s="7">
        <v>705</v>
      </c>
      <c r="C44" s="7">
        <v>6019</v>
      </c>
      <c r="D44" s="7">
        <f t="shared" si="4"/>
        <v>135.42749999999998</v>
      </c>
      <c r="E44" s="8"/>
      <c r="F44" s="8"/>
      <c r="G44" s="8"/>
      <c r="H44" s="8"/>
      <c r="I44" s="8"/>
      <c r="J44" s="8"/>
      <c r="K44" s="8"/>
      <c r="L44" s="8"/>
    </row>
    <row r="45" spans="1:12" x14ac:dyDescent="0.25">
      <c r="A45" s="11">
        <v>1988</v>
      </c>
      <c r="B45" s="7">
        <v>780</v>
      </c>
      <c r="C45" s="7">
        <v>6660</v>
      </c>
      <c r="D45" s="7">
        <f t="shared" si="4"/>
        <v>149.85</v>
      </c>
      <c r="E45" s="8"/>
      <c r="F45" s="8"/>
      <c r="G45" s="8"/>
      <c r="H45" s="8"/>
      <c r="I45" s="8"/>
      <c r="J45" s="8"/>
      <c r="K45" s="8"/>
      <c r="L45" s="8"/>
    </row>
    <row r="46" spans="1:12" x14ac:dyDescent="0.25">
      <c r="A46" s="11">
        <v>1989</v>
      </c>
      <c r="B46" s="7">
        <v>775</v>
      </c>
      <c r="C46" s="7">
        <v>6760</v>
      </c>
      <c r="D46" s="7">
        <f t="shared" si="4"/>
        <v>152.1</v>
      </c>
      <c r="E46" s="8"/>
      <c r="F46" s="8"/>
      <c r="G46" s="8"/>
      <c r="H46" s="8"/>
      <c r="I46" s="8"/>
      <c r="J46" s="8"/>
      <c r="K46" s="8"/>
      <c r="L46" s="8"/>
    </row>
    <row r="47" spans="1:12" x14ac:dyDescent="0.25">
      <c r="A47" s="11">
        <v>1990</v>
      </c>
      <c r="B47" s="7">
        <v>875</v>
      </c>
      <c r="C47" s="7">
        <v>7062</v>
      </c>
      <c r="D47" s="7">
        <f t="shared" si="4"/>
        <v>158.89499999999998</v>
      </c>
      <c r="E47" s="8"/>
      <c r="F47" s="8"/>
      <c r="G47" s="8"/>
      <c r="H47" s="8"/>
      <c r="I47" s="8"/>
      <c r="J47" s="8"/>
      <c r="K47" s="8"/>
      <c r="L47" s="8"/>
    </row>
    <row r="48" spans="1:12" x14ac:dyDescent="0.25">
      <c r="A48" s="11">
        <v>1991</v>
      </c>
      <c r="B48" s="7">
        <v>820</v>
      </c>
      <c r="C48" s="7">
        <v>8047</v>
      </c>
      <c r="D48" s="7">
        <f t="shared" si="4"/>
        <v>181.05749999999998</v>
      </c>
      <c r="E48" s="8"/>
      <c r="F48" s="8"/>
      <c r="G48" s="8"/>
      <c r="H48" s="8"/>
      <c r="I48" s="8"/>
      <c r="J48" s="8"/>
      <c r="K48" s="8"/>
      <c r="L48" s="8"/>
    </row>
    <row r="49" spans="1:12" x14ac:dyDescent="0.25">
      <c r="A49" s="11">
        <v>1992</v>
      </c>
      <c r="B49" s="7">
        <v>827.68499999999995</v>
      </c>
      <c r="C49" s="7">
        <v>7945</v>
      </c>
      <c r="D49" s="7">
        <f t="shared" si="4"/>
        <v>178.76249999999999</v>
      </c>
      <c r="E49" s="8"/>
      <c r="F49" s="8"/>
      <c r="G49" s="8"/>
      <c r="H49" s="8"/>
      <c r="I49" s="8"/>
      <c r="J49" s="8"/>
      <c r="K49" s="8"/>
      <c r="L49" s="8"/>
    </row>
    <row r="50" spans="1:12" x14ac:dyDescent="0.25">
      <c r="A50" s="11">
        <v>1993</v>
      </c>
      <c r="B50" s="7">
        <v>809</v>
      </c>
      <c r="C50" s="7">
        <v>8091</v>
      </c>
      <c r="D50" s="7">
        <f t="shared" si="4"/>
        <v>182.04749999999999</v>
      </c>
      <c r="E50" s="8">
        <f>F50*B50</f>
        <v>800.91</v>
      </c>
      <c r="F50" s="53">
        <v>0.99</v>
      </c>
      <c r="G50" s="8">
        <f>H50*B50</f>
        <v>8.09</v>
      </c>
      <c r="H50" s="53">
        <v>0.01</v>
      </c>
      <c r="I50" s="8">
        <f>J50*B50</f>
        <v>0</v>
      </c>
      <c r="J50" s="53">
        <v>0</v>
      </c>
      <c r="K50" s="8"/>
      <c r="L50" s="8"/>
    </row>
    <row r="51" spans="1:12" x14ac:dyDescent="0.25">
      <c r="A51" s="11">
        <v>1994</v>
      </c>
      <c r="B51" s="7">
        <v>867.42</v>
      </c>
      <c r="C51" s="7">
        <v>8998</v>
      </c>
      <c r="D51" s="7">
        <f t="shared" si="4"/>
        <v>202.45499999999998</v>
      </c>
      <c r="E51" s="7"/>
      <c r="F51" s="7"/>
      <c r="G51" s="7"/>
      <c r="H51" s="7"/>
      <c r="I51" s="8"/>
      <c r="J51" s="8"/>
      <c r="K51" s="7"/>
      <c r="L51" s="7"/>
    </row>
    <row r="52" spans="1:12" x14ac:dyDescent="0.25">
      <c r="A52" s="11">
        <v>1995</v>
      </c>
      <c r="B52" s="7">
        <v>853</v>
      </c>
      <c r="C52" s="7">
        <v>9563</v>
      </c>
      <c r="D52" s="7">
        <f t="shared" si="4"/>
        <v>215.16749999999999</v>
      </c>
    </row>
    <row r="53" spans="1:12" x14ac:dyDescent="0.25">
      <c r="A53" s="11">
        <v>1996</v>
      </c>
      <c r="B53" s="7">
        <v>751.61</v>
      </c>
      <c r="C53" s="7">
        <v>9768</v>
      </c>
      <c r="D53" s="7">
        <f t="shared" si="4"/>
        <v>219.77999999999997</v>
      </c>
      <c r="E53" s="8"/>
      <c r="F53" s="8"/>
      <c r="G53" s="8"/>
      <c r="H53" s="8"/>
      <c r="K53" s="8"/>
      <c r="L53" s="8"/>
    </row>
    <row r="54" spans="1:12" x14ac:dyDescent="0.25">
      <c r="A54" s="11">
        <v>1997</v>
      </c>
      <c r="B54" s="7">
        <v>1038</v>
      </c>
      <c r="C54" s="8">
        <v>10243</v>
      </c>
      <c r="D54" s="7">
        <f t="shared" si="4"/>
        <v>230.46749999999997</v>
      </c>
      <c r="E54" s="8"/>
      <c r="F54" s="8"/>
      <c r="G54" s="8"/>
      <c r="H54" s="8"/>
      <c r="K54" s="8"/>
      <c r="L54" s="8"/>
    </row>
    <row r="55" spans="1:12" x14ac:dyDescent="0.25">
      <c r="A55" s="11">
        <v>1998</v>
      </c>
      <c r="B55" s="7">
        <v>852</v>
      </c>
      <c r="C55" s="8">
        <v>10926</v>
      </c>
      <c r="D55" s="7">
        <f t="shared" si="4"/>
        <v>245.83499999999998</v>
      </c>
      <c r="E55" s="8"/>
      <c r="F55" s="8"/>
      <c r="G55" s="8"/>
      <c r="H55" s="8"/>
      <c r="K55" s="8"/>
      <c r="L55" s="8"/>
    </row>
    <row r="56" spans="1:12" x14ac:dyDescent="0.25">
      <c r="A56" s="11">
        <v>1999</v>
      </c>
      <c r="B56" s="7">
        <v>788.13499999999999</v>
      </c>
      <c r="C56" s="8">
        <v>12257</v>
      </c>
      <c r="D56" s="7">
        <f t="shared" si="4"/>
        <v>275.78249999999997</v>
      </c>
      <c r="E56" s="8"/>
      <c r="F56" s="8"/>
      <c r="G56" s="8"/>
      <c r="H56" s="8"/>
      <c r="K56" s="8"/>
      <c r="L56" s="8"/>
    </row>
    <row r="57" spans="1:12" x14ac:dyDescent="0.25">
      <c r="A57" s="11">
        <v>2000</v>
      </c>
      <c r="B57" s="7">
        <v>860.58299999999997</v>
      </c>
      <c r="C57" s="8">
        <v>13383</v>
      </c>
      <c r="D57" s="7">
        <f t="shared" si="4"/>
        <v>301.11749999999995</v>
      </c>
      <c r="E57" s="8"/>
      <c r="F57" s="8"/>
      <c r="G57" s="8"/>
      <c r="H57" s="8"/>
      <c r="K57" s="8"/>
      <c r="L57" s="8"/>
    </row>
    <row r="58" spans="1:12" x14ac:dyDescent="0.25">
      <c r="A58" s="11">
        <v>2001</v>
      </c>
      <c r="B58" s="7">
        <v>831.524</v>
      </c>
      <c r="C58" s="8">
        <v>14400</v>
      </c>
      <c r="D58" s="7">
        <f t="shared" si="4"/>
        <v>324</v>
      </c>
      <c r="G58" s="8"/>
      <c r="H58" s="8"/>
      <c r="K58" s="8"/>
      <c r="L58" s="8"/>
    </row>
    <row r="59" spans="1:12" x14ac:dyDescent="0.25">
      <c r="A59" s="11">
        <v>2002</v>
      </c>
      <c r="B59" s="7">
        <v>887.61099999999999</v>
      </c>
      <c r="C59" s="8">
        <v>14281</v>
      </c>
      <c r="D59" s="7">
        <f t="shared" si="4"/>
        <v>321.32249999999999</v>
      </c>
      <c r="E59" s="8"/>
      <c r="F59" s="8"/>
      <c r="G59" s="8"/>
      <c r="H59" s="8"/>
      <c r="K59" s="8"/>
      <c r="L59" s="8"/>
    </row>
    <row r="60" spans="1:12" x14ac:dyDescent="0.25">
      <c r="A60" s="11">
        <v>2003</v>
      </c>
      <c r="B60" s="7">
        <v>937.14</v>
      </c>
      <c r="C60" s="8">
        <v>14465</v>
      </c>
      <c r="D60" s="7">
        <f t="shared" si="4"/>
        <v>325.46249999999998</v>
      </c>
      <c r="E60" s="8"/>
      <c r="F60" s="8"/>
      <c r="G60" s="8"/>
      <c r="H60" s="8"/>
      <c r="K60" s="8"/>
      <c r="L60" s="8"/>
    </row>
    <row r="61" spans="1:12" x14ac:dyDescent="0.25">
      <c r="A61" s="11">
        <v>2004</v>
      </c>
      <c r="B61" s="7">
        <v>1146.8530000000001</v>
      </c>
      <c r="C61" s="8">
        <v>15296</v>
      </c>
      <c r="D61" s="7">
        <f t="shared" si="4"/>
        <v>344.15999999999997</v>
      </c>
      <c r="E61" s="8"/>
      <c r="F61" s="8"/>
      <c r="G61" s="8"/>
      <c r="H61" s="8"/>
      <c r="K61" s="8"/>
      <c r="L61" s="8"/>
    </row>
    <row r="62" spans="1:12" x14ac:dyDescent="0.25">
      <c r="A62" s="11">
        <v>2005</v>
      </c>
      <c r="B62" s="7">
        <v>1098.4649999999999</v>
      </c>
      <c r="C62" s="8">
        <v>15318.19</v>
      </c>
      <c r="D62" s="7">
        <f t="shared" si="4"/>
        <v>344.65927499999998</v>
      </c>
      <c r="E62" s="8"/>
      <c r="F62" s="8"/>
      <c r="G62" s="8"/>
      <c r="H62" s="8"/>
      <c r="K62" s="8"/>
      <c r="L62" s="8"/>
    </row>
    <row r="63" spans="1:12" x14ac:dyDescent="0.25">
      <c r="A63" s="11">
        <v>2006</v>
      </c>
      <c r="B63" s="8">
        <v>1151.222</v>
      </c>
      <c r="C63" s="8">
        <v>16158</v>
      </c>
      <c r="D63" s="7">
        <f t="shared" si="4"/>
        <v>363.55499999999995</v>
      </c>
      <c r="E63" s="8"/>
      <c r="F63" s="8"/>
      <c r="G63" s="8"/>
      <c r="H63" s="8"/>
      <c r="K63" s="8"/>
      <c r="L63" s="8"/>
    </row>
    <row r="64" spans="1:12" x14ac:dyDescent="0.25">
      <c r="A64" s="11">
        <v>2007</v>
      </c>
      <c r="B64" s="8">
        <v>1154.847</v>
      </c>
      <c r="C64" s="8">
        <v>16730</v>
      </c>
      <c r="D64" s="7">
        <f t="shared" si="4"/>
        <v>376.42499999999995</v>
      </c>
      <c r="E64" s="8"/>
      <c r="F64" s="8"/>
      <c r="G64" s="8"/>
      <c r="H64" s="8"/>
      <c r="K64" s="8"/>
      <c r="L64" s="8"/>
    </row>
    <row r="65" spans="1:67" x14ac:dyDescent="0.25">
      <c r="A65" s="11">
        <v>2008</v>
      </c>
      <c r="B65" s="8">
        <v>992.96</v>
      </c>
      <c r="C65" s="8">
        <v>16382.708000000001</v>
      </c>
      <c r="D65" s="7">
        <f t="shared" si="4"/>
        <v>368.61093</v>
      </c>
      <c r="E65" s="8"/>
      <c r="F65" s="8"/>
      <c r="G65" s="8"/>
      <c r="H65" s="8"/>
      <c r="K65" s="8"/>
      <c r="L65" s="8"/>
    </row>
    <row r="66" spans="1:67" x14ac:dyDescent="0.25">
      <c r="A66" s="11">
        <v>2009</v>
      </c>
      <c r="B66" s="8">
        <v>820</v>
      </c>
      <c r="C66" s="8">
        <v>15460.977999999999</v>
      </c>
      <c r="D66" s="7">
        <f t="shared" si="4"/>
        <v>347.87200499999994</v>
      </c>
      <c r="E66" s="8"/>
      <c r="F66" s="8"/>
      <c r="G66" s="8"/>
      <c r="H66" s="8"/>
      <c r="K66" s="8"/>
      <c r="L66" s="8"/>
    </row>
    <row r="67" spans="1:67" x14ac:dyDescent="0.25">
      <c r="A67" s="11">
        <v>2010</v>
      </c>
      <c r="B67" s="8">
        <v>890</v>
      </c>
      <c r="C67" s="8">
        <v>16209.016</v>
      </c>
      <c r="D67" s="7">
        <f t="shared" si="4"/>
        <v>364.70285999999999</v>
      </c>
      <c r="E67" s="8"/>
      <c r="F67" s="8"/>
      <c r="G67" s="8"/>
      <c r="H67" s="8"/>
      <c r="K67" s="8"/>
      <c r="L67" s="8"/>
    </row>
    <row r="68" spans="1:67" x14ac:dyDescent="0.25">
      <c r="A68" s="11">
        <v>2011</v>
      </c>
      <c r="B68" s="8">
        <v>1047</v>
      </c>
      <c r="C68" s="8">
        <v>16997.707999999999</v>
      </c>
      <c r="D68" s="7">
        <f t="shared" si="4"/>
        <v>382.44842999999992</v>
      </c>
      <c r="E68" s="8"/>
      <c r="F68" s="8"/>
      <c r="G68" s="8"/>
      <c r="H68" s="8"/>
      <c r="K68" s="8"/>
      <c r="L68" s="8"/>
    </row>
    <row r="69" spans="1:67" x14ac:dyDescent="0.25">
      <c r="A69" s="11">
        <v>2012</v>
      </c>
      <c r="B69" s="8">
        <v>855</v>
      </c>
      <c r="C69" s="8">
        <v>16424.399000000001</v>
      </c>
      <c r="D69" s="7">
        <f t="shared" si="4"/>
        <v>369.54897750000003</v>
      </c>
      <c r="E69" s="8"/>
      <c r="F69" s="8"/>
      <c r="G69" s="8"/>
      <c r="H69" s="8"/>
      <c r="K69" s="8"/>
      <c r="L69" s="8"/>
    </row>
    <row r="70" spans="1:67" x14ac:dyDescent="0.25">
      <c r="A70" s="11">
        <v>2013</v>
      </c>
      <c r="B70" s="8">
        <v>778</v>
      </c>
      <c r="C70" s="8">
        <v>15763.493</v>
      </c>
      <c r="D70" s="7">
        <f t="shared" si="4"/>
        <v>354.67859249999998</v>
      </c>
      <c r="E70" s="8"/>
      <c r="F70" s="8"/>
      <c r="G70" s="8"/>
      <c r="H70" s="8"/>
      <c r="K70" s="8"/>
      <c r="L70" s="8"/>
    </row>
    <row r="71" spans="1:67" x14ac:dyDescent="0.25">
      <c r="A71" s="11">
        <v>2014</v>
      </c>
      <c r="C71" s="8">
        <v>15000.332</v>
      </c>
      <c r="D71" s="7">
        <f t="shared" si="4"/>
        <v>337.50747000000001</v>
      </c>
      <c r="E71" s="8"/>
      <c r="F71" s="8"/>
      <c r="G71" s="8"/>
      <c r="H71" s="8"/>
      <c r="K71" s="8"/>
      <c r="L71" s="8"/>
    </row>
    <row r="72" spans="1:67" x14ac:dyDescent="0.25">
      <c r="A72" s="11">
        <v>2015</v>
      </c>
      <c r="C72" s="8">
        <v>15062.705</v>
      </c>
      <c r="D72" s="7">
        <f t="shared" si="4"/>
        <v>338.91086249999995</v>
      </c>
      <c r="E72" s="8"/>
      <c r="F72" s="8"/>
      <c r="G72" s="8"/>
      <c r="H72" s="8"/>
      <c r="K72" s="8"/>
      <c r="L72" s="8"/>
    </row>
    <row r="73" spans="1:67" x14ac:dyDescent="0.25">
      <c r="A73" s="11">
        <v>2016</v>
      </c>
      <c r="C73" s="8">
        <v>15192.061</v>
      </c>
      <c r="D73" s="7">
        <f t="shared" si="4"/>
        <v>341.82137249999994</v>
      </c>
      <c r="E73" s="8"/>
      <c r="F73" s="8"/>
      <c r="G73" s="8"/>
      <c r="H73" s="8"/>
      <c r="K73" s="8"/>
      <c r="L73" s="8"/>
    </row>
    <row r="74" spans="1:67" x14ac:dyDescent="0.25">
      <c r="A74" s="11">
        <v>2017</v>
      </c>
      <c r="C74" s="8">
        <v>15696.879000000001</v>
      </c>
      <c r="D74" s="7">
        <f t="shared" si="4"/>
        <v>353.1797775</v>
      </c>
      <c r="E74" s="8"/>
      <c r="F74" s="8"/>
      <c r="G74" s="8"/>
      <c r="H74" s="8"/>
      <c r="K74" s="8"/>
      <c r="L74" s="8"/>
    </row>
    <row r="75" spans="1:67" x14ac:dyDescent="0.25">
      <c r="A75" s="11">
        <v>2018</v>
      </c>
      <c r="C75" s="8">
        <v>16462.59</v>
      </c>
      <c r="D75" s="7">
        <f t="shared" si="4"/>
        <v>370.40827499999995</v>
      </c>
      <c r="E75" s="8"/>
      <c r="F75" s="8"/>
      <c r="G75" s="8"/>
      <c r="H75" s="8"/>
      <c r="K75" s="8"/>
      <c r="L75" s="8"/>
    </row>
    <row r="76" spans="1:67" x14ac:dyDescent="0.25">
      <c r="A76" s="11">
        <v>2019</v>
      </c>
      <c r="C76" s="8">
        <v>17206.73</v>
      </c>
      <c r="D76" s="7">
        <f t="shared" si="4"/>
        <v>387.15142499999996</v>
      </c>
      <c r="E76" s="8"/>
      <c r="F76" s="8"/>
      <c r="G76" s="8"/>
      <c r="H76" s="8"/>
      <c r="K76" s="8"/>
      <c r="L76" s="8"/>
    </row>
    <row r="77" spans="1:67" x14ac:dyDescent="0.25">
      <c r="A77" s="11">
        <v>2020</v>
      </c>
      <c r="C77" s="8"/>
      <c r="D77" s="8"/>
      <c r="E77" s="9"/>
      <c r="F77" s="9"/>
      <c r="G77" s="8"/>
      <c r="H77" s="8"/>
      <c r="I77" s="8"/>
      <c r="J77" s="8"/>
      <c r="K77" s="9"/>
      <c r="L77" s="8"/>
    </row>
    <row r="78" spans="1:67" s="4" customFormat="1" x14ac:dyDescent="0.25">
      <c r="A78" s="10"/>
      <c r="B78" s="8"/>
      <c r="E78" s="9"/>
      <c r="F78" s="9"/>
      <c r="K78" s="9"/>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row>
    <row r="79" spans="1:67" s="4" customFormat="1" x14ac:dyDescent="0.25">
      <c r="A79" s="10"/>
      <c r="B79" s="8"/>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row>
    <row r="80" spans="1:67" s="4" customFormat="1" x14ac:dyDescent="0.25">
      <c r="A80" s="10"/>
      <c r="B80" s="8"/>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row>
    <row r="87" spans="1:67" s="4" customFormat="1" x14ac:dyDescent="0.25">
      <c r="A87" s="10"/>
      <c r="B87" s="8"/>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row>
    <row r="88" spans="1:67" s="4" customFormat="1" x14ac:dyDescent="0.25">
      <c r="A88" s="10"/>
      <c r="B88" s="8"/>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1BC36-79CC-403E-BDAB-F4ACF4DC04E2}">
  <dimension ref="A1:BO88"/>
  <sheetViews>
    <sheetView zoomScale="70" zoomScaleNormal="70" workbookViewId="0">
      <selection activeCell="B4" sqref="B4:C4"/>
    </sheetView>
  </sheetViews>
  <sheetFormatPr defaultColWidth="10.7109375" defaultRowHeight="15" x14ac:dyDescent="0.25"/>
  <cols>
    <col min="1" max="1" width="10" style="2" customWidth="1"/>
    <col min="2" max="2" width="26.85546875" style="6" customWidth="1"/>
    <col min="3" max="3" width="26.42578125" style="4" customWidth="1"/>
    <col min="4" max="16384" width="10.7109375" style="6"/>
  </cols>
  <sheetData>
    <row r="1" spans="1:3" s="30" customFormat="1" x14ac:dyDescent="0.25">
      <c r="A1" s="18" t="s">
        <v>0</v>
      </c>
      <c r="B1" s="29" t="s">
        <v>2</v>
      </c>
      <c r="C1" s="5" t="s">
        <v>20</v>
      </c>
    </row>
    <row r="2" spans="1:3" s="1" customFormat="1" x14ac:dyDescent="0.25">
      <c r="A2" s="11">
        <v>1945</v>
      </c>
      <c r="C2" s="8"/>
    </row>
    <row r="3" spans="1:3" s="1" customFormat="1" x14ac:dyDescent="0.25">
      <c r="A3" s="11">
        <v>1946</v>
      </c>
      <c r="C3" s="8"/>
    </row>
    <row r="4" spans="1:3" s="1" customFormat="1" x14ac:dyDescent="0.25">
      <c r="A4" s="11">
        <v>1947</v>
      </c>
      <c r="B4" s="7">
        <v>0</v>
      </c>
      <c r="C4" s="7">
        <v>0</v>
      </c>
    </row>
    <row r="5" spans="1:3" s="1" customFormat="1" x14ac:dyDescent="0.25">
      <c r="A5" s="11">
        <v>1948</v>
      </c>
      <c r="C5" s="8"/>
    </row>
    <row r="6" spans="1:3" s="1" customFormat="1" x14ac:dyDescent="0.25">
      <c r="A6" s="11">
        <v>1949</v>
      </c>
      <c r="C6" s="8"/>
    </row>
    <row r="7" spans="1:3" s="1" customFormat="1" x14ac:dyDescent="0.25">
      <c r="A7" s="11">
        <v>1950</v>
      </c>
      <c r="C7" s="4"/>
    </row>
    <row r="8" spans="1:3" s="1" customFormat="1" x14ac:dyDescent="0.25">
      <c r="A8" s="11">
        <v>1951</v>
      </c>
      <c r="C8" s="8"/>
    </row>
    <row r="9" spans="1:3" s="1" customFormat="1" x14ac:dyDescent="0.25">
      <c r="A9" s="11">
        <v>1952</v>
      </c>
      <c r="C9" s="8"/>
    </row>
    <row r="10" spans="1:3" s="1" customFormat="1" x14ac:dyDescent="0.25">
      <c r="A10" s="11">
        <v>1953</v>
      </c>
      <c r="C10" s="8"/>
    </row>
    <row r="11" spans="1:3" s="1" customFormat="1" x14ac:dyDescent="0.25">
      <c r="A11" s="11">
        <v>1954</v>
      </c>
      <c r="C11" s="8"/>
    </row>
    <row r="12" spans="1:3" s="1" customFormat="1" x14ac:dyDescent="0.25">
      <c r="A12" s="11">
        <v>1955</v>
      </c>
      <c r="C12" s="8"/>
    </row>
    <row r="13" spans="1:3" s="1" customFormat="1" x14ac:dyDescent="0.25">
      <c r="A13" s="11">
        <v>1956</v>
      </c>
      <c r="C13" s="8"/>
    </row>
    <row r="14" spans="1:3" s="1" customFormat="1" x14ac:dyDescent="0.25">
      <c r="A14" s="11">
        <v>1957</v>
      </c>
      <c r="C14" s="6"/>
    </row>
    <row r="15" spans="1:3" s="1" customFormat="1" x14ac:dyDescent="0.25">
      <c r="A15" s="11">
        <v>1958</v>
      </c>
      <c r="C15" s="8"/>
    </row>
    <row r="16" spans="1:3" s="1" customFormat="1" x14ac:dyDescent="0.25">
      <c r="A16" s="11">
        <v>1959</v>
      </c>
      <c r="C16" s="8"/>
    </row>
    <row r="17" spans="1:3" s="1" customFormat="1" x14ac:dyDescent="0.25">
      <c r="A17" s="11">
        <v>1960</v>
      </c>
      <c r="C17" s="8"/>
    </row>
    <row r="18" spans="1:3" s="1" customFormat="1" x14ac:dyDescent="0.25">
      <c r="A18" s="11">
        <v>1961</v>
      </c>
      <c r="C18" s="8"/>
    </row>
    <row r="19" spans="1:3" s="1" customFormat="1" x14ac:dyDescent="0.25">
      <c r="A19" s="11">
        <v>1962</v>
      </c>
      <c r="C19" s="8"/>
    </row>
    <row r="20" spans="1:3" s="1" customFormat="1" x14ac:dyDescent="0.25">
      <c r="A20" s="11">
        <v>1963</v>
      </c>
      <c r="C20" s="8"/>
    </row>
    <row r="21" spans="1:3" s="1" customFormat="1" x14ac:dyDescent="0.25">
      <c r="A21" s="11">
        <v>1964</v>
      </c>
      <c r="C21" s="8"/>
    </row>
    <row r="22" spans="1:3" s="1" customFormat="1" x14ac:dyDescent="0.25">
      <c r="A22" s="11">
        <v>1965</v>
      </c>
      <c r="C22" s="8"/>
    </row>
    <row r="23" spans="1:3" s="1" customFormat="1" x14ac:dyDescent="0.25">
      <c r="A23" s="11">
        <v>1966</v>
      </c>
      <c r="C23" s="8"/>
    </row>
    <row r="24" spans="1:3" s="1" customFormat="1" x14ac:dyDescent="0.25">
      <c r="A24" s="11">
        <v>1967</v>
      </c>
      <c r="C24" s="8"/>
    </row>
    <row r="25" spans="1:3" s="1" customFormat="1" x14ac:dyDescent="0.25">
      <c r="A25" s="11">
        <v>1968</v>
      </c>
      <c r="C25" s="8"/>
    </row>
    <row r="26" spans="1:3" s="1" customFormat="1" x14ac:dyDescent="0.25">
      <c r="A26" s="11">
        <v>1969</v>
      </c>
      <c r="C26" s="8"/>
    </row>
    <row r="27" spans="1:3" s="1" customFormat="1" x14ac:dyDescent="0.25">
      <c r="A27" s="11">
        <v>1970</v>
      </c>
      <c r="C27" s="7"/>
    </row>
    <row r="28" spans="1:3" s="1" customFormat="1" x14ac:dyDescent="0.25">
      <c r="A28" s="11">
        <v>1971</v>
      </c>
      <c r="C28" s="7"/>
    </row>
    <row r="29" spans="1:3" s="1" customFormat="1" x14ac:dyDescent="0.25">
      <c r="A29" s="11">
        <v>1972</v>
      </c>
      <c r="C29" s="7"/>
    </row>
    <row r="30" spans="1:3" s="1" customFormat="1" x14ac:dyDescent="0.25">
      <c r="A30" s="11">
        <v>1973</v>
      </c>
      <c r="C30" s="7"/>
    </row>
    <row r="31" spans="1:3" s="1" customFormat="1" x14ac:dyDescent="0.25">
      <c r="A31" s="11">
        <v>1974</v>
      </c>
      <c r="C31" s="7"/>
    </row>
    <row r="32" spans="1:3" s="1" customFormat="1" x14ac:dyDescent="0.25">
      <c r="A32" s="11">
        <v>1975</v>
      </c>
      <c r="C32" s="7"/>
    </row>
    <row r="33" spans="1:3" s="1" customFormat="1" x14ac:dyDescent="0.25">
      <c r="A33" s="11">
        <v>1976</v>
      </c>
      <c r="C33" s="7"/>
    </row>
    <row r="34" spans="1:3" s="1" customFormat="1" x14ac:dyDescent="0.25">
      <c r="A34" s="11">
        <v>1977</v>
      </c>
      <c r="C34" s="7"/>
    </row>
    <row r="35" spans="1:3" s="1" customFormat="1" x14ac:dyDescent="0.25">
      <c r="A35" s="11">
        <v>1978</v>
      </c>
      <c r="C35" s="7"/>
    </row>
    <row r="36" spans="1:3" s="1" customFormat="1" x14ac:dyDescent="0.25">
      <c r="A36" s="11">
        <v>1979</v>
      </c>
      <c r="C36" s="8"/>
    </row>
    <row r="37" spans="1:3" s="1" customFormat="1" x14ac:dyDescent="0.25">
      <c r="A37" s="11">
        <v>1980</v>
      </c>
      <c r="C37" s="8"/>
    </row>
    <row r="38" spans="1:3" s="1" customFormat="1" x14ac:dyDescent="0.25">
      <c r="A38" s="11">
        <v>1981</v>
      </c>
      <c r="C38" s="8"/>
    </row>
    <row r="39" spans="1:3" s="1" customFormat="1" x14ac:dyDescent="0.25">
      <c r="A39" s="11">
        <v>1982</v>
      </c>
      <c r="C39" s="7"/>
    </row>
    <row r="40" spans="1:3" s="1" customFormat="1" x14ac:dyDescent="0.25">
      <c r="A40" s="11">
        <v>1983</v>
      </c>
      <c r="C40" s="7"/>
    </row>
    <row r="41" spans="1:3" s="1" customFormat="1" x14ac:dyDescent="0.25">
      <c r="A41" s="11">
        <v>1984</v>
      </c>
      <c r="C41" s="7"/>
    </row>
    <row r="42" spans="1:3" s="1" customFormat="1" x14ac:dyDescent="0.25">
      <c r="A42" s="11">
        <v>1985</v>
      </c>
      <c r="C42" s="7"/>
    </row>
    <row r="43" spans="1:3" s="1" customFormat="1" x14ac:dyDescent="0.25">
      <c r="A43" s="11">
        <v>1986</v>
      </c>
      <c r="C43" s="7"/>
    </row>
    <row r="44" spans="1:3" s="1" customFormat="1" x14ac:dyDescent="0.25">
      <c r="A44" s="11">
        <v>1987</v>
      </c>
      <c r="C44" s="7"/>
    </row>
    <row r="45" spans="1:3" s="1" customFormat="1" x14ac:dyDescent="0.25">
      <c r="A45" s="11">
        <v>1988</v>
      </c>
      <c r="C45" s="7"/>
    </row>
    <row r="46" spans="1:3" s="1" customFormat="1" x14ac:dyDescent="0.25">
      <c r="A46" s="11">
        <v>1989</v>
      </c>
      <c r="C46" s="7"/>
    </row>
    <row r="47" spans="1:3" s="1" customFormat="1" x14ac:dyDescent="0.25">
      <c r="A47" s="11">
        <v>1990</v>
      </c>
      <c r="C47" s="7"/>
    </row>
    <row r="48" spans="1:3" s="1" customFormat="1" x14ac:dyDescent="0.25">
      <c r="A48" s="11">
        <v>1991</v>
      </c>
      <c r="C48" s="7"/>
    </row>
    <row r="49" spans="1:5" s="1" customFormat="1" x14ac:dyDescent="0.25">
      <c r="A49" s="11">
        <v>1992</v>
      </c>
      <c r="C49" s="7"/>
    </row>
    <row r="50" spans="1:5" s="1" customFormat="1" x14ac:dyDescent="0.25">
      <c r="A50" s="11">
        <v>1993</v>
      </c>
      <c r="C50" s="7"/>
    </row>
    <row r="51" spans="1:5" s="1" customFormat="1" x14ac:dyDescent="0.25">
      <c r="A51" s="11">
        <v>1994</v>
      </c>
      <c r="C51" s="7"/>
    </row>
    <row r="52" spans="1:5" s="1" customFormat="1" x14ac:dyDescent="0.25">
      <c r="A52" s="11">
        <v>1995</v>
      </c>
      <c r="B52" s="7"/>
      <c r="C52" s="7"/>
    </row>
    <row r="53" spans="1:5" s="1" customFormat="1" x14ac:dyDescent="0.25">
      <c r="A53" s="11">
        <v>1996</v>
      </c>
      <c r="B53" s="7"/>
      <c r="C53" s="7"/>
      <c r="E53" s="32"/>
    </row>
    <row r="54" spans="1:5" s="1" customFormat="1" x14ac:dyDescent="0.25">
      <c r="A54" s="11">
        <v>1997</v>
      </c>
      <c r="B54" s="7">
        <v>907.14300000000003</v>
      </c>
      <c r="C54" s="7">
        <f t="shared" ref="C54:C76" si="0">B54*2.5*0.009</f>
        <v>20.410717500000001</v>
      </c>
      <c r="E54" s="32"/>
    </row>
    <row r="55" spans="1:5" s="1" customFormat="1" x14ac:dyDescent="0.25">
      <c r="A55" s="11">
        <v>1998</v>
      </c>
      <c r="B55" s="7">
        <v>905.85</v>
      </c>
      <c r="C55" s="7">
        <f t="shared" si="0"/>
        <v>20.381625</v>
      </c>
      <c r="E55" s="32"/>
    </row>
    <row r="56" spans="1:5" s="1" customFormat="1" x14ac:dyDescent="0.25">
      <c r="A56" s="11">
        <v>1999</v>
      </c>
      <c r="B56" s="7">
        <v>1316.0060000000001</v>
      </c>
      <c r="C56" s="7">
        <f t="shared" si="0"/>
        <v>29.610135</v>
      </c>
      <c r="E56" s="32"/>
    </row>
    <row r="57" spans="1:5" s="1" customFormat="1" x14ac:dyDescent="0.25">
      <c r="A57" s="11">
        <v>2000</v>
      </c>
      <c r="B57" s="7">
        <v>1522.134</v>
      </c>
      <c r="C57" s="7">
        <f t="shared" si="0"/>
        <v>34.248014999999995</v>
      </c>
      <c r="E57" s="32"/>
    </row>
    <row r="58" spans="1:5" s="1" customFormat="1" x14ac:dyDescent="0.25">
      <c r="A58" s="11">
        <v>2001</v>
      </c>
      <c r="B58" s="7">
        <v>1334.1020000000001</v>
      </c>
      <c r="C58" s="7">
        <f t="shared" si="0"/>
        <v>30.017294999999997</v>
      </c>
      <c r="E58" s="32"/>
    </row>
    <row r="59" spans="1:5" s="1" customFormat="1" x14ac:dyDescent="0.25">
      <c r="A59" s="11">
        <v>2002</v>
      </c>
      <c r="B59" s="7">
        <v>1448.894</v>
      </c>
      <c r="C59" s="7">
        <f t="shared" si="0"/>
        <v>32.600114999999995</v>
      </c>
      <c r="E59" s="32"/>
    </row>
    <row r="60" spans="1:5" s="1" customFormat="1" x14ac:dyDescent="0.25">
      <c r="A60" s="11">
        <v>2003</v>
      </c>
      <c r="B60" s="7">
        <v>1797.1279999999999</v>
      </c>
      <c r="C60" s="7">
        <f t="shared" si="0"/>
        <v>40.435379999999995</v>
      </c>
      <c r="E60" s="32"/>
    </row>
    <row r="61" spans="1:5" s="1" customFormat="1" x14ac:dyDescent="0.25">
      <c r="A61" s="11">
        <v>2004</v>
      </c>
      <c r="B61" s="7">
        <v>1249.3679999999999</v>
      </c>
      <c r="C61" s="7">
        <f t="shared" si="0"/>
        <v>28.110779999999998</v>
      </c>
      <c r="E61" s="32"/>
    </row>
    <row r="62" spans="1:5" s="1" customFormat="1" x14ac:dyDescent="0.25">
      <c r="A62" s="11">
        <v>2005</v>
      </c>
      <c r="B62" s="7">
        <v>1161.8030000000001</v>
      </c>
      <c r="C62" s="7">
        <f t="shared" si="0"/>
        <v>26.1405675</v>
      </c>
      <c r="E62" s="32"/>
    </row>
    <row r="63" spans="1:5" s="1" customFormat="1" x14ac:dyDescent="0.25">
      <c r="A63" s="11">
        <v>2006</v>
      </c>
      <c r="B63" s="7">
        <v>1276.7460000000001</v>
      </c>
      <c r="C63" s="7">
        <f t="shared" si="0"/>
        <v>28.726785</v>
      </c>
      <c r="E63" s="32"/>
    </row>
    <row r="64" spans="1:5" s="1" customFormat="1" x14ac:dyDescent="0.25">
      <c r="A64" s="11">
        <v>2007</v>
      </c>
      <c r="B64" s="7">
        <v>1605.365</v>
      </c>
      <c r="C64" s="7">
        <f t="shared" si="0"/>
        <v>36.120712499999996</v>
      </c>
      <c r="E64" s="32"/>
    </row>
    <row r="65" spans="1:67" s="1" customFormat="1" x14ac:dyDescent="0.25">
      <c r="A65" s="11">
        <v>2008</v>
      </c>
      <c r="B65" s="7">
        <v>1534.673</v>
      </c>
      <c r="C65" s="7">
        <f t="shared" si="0"/>
        <v>34.530142499999997</v>
      </c>
      <c r="E65" s="32"/>
    </row>
    <row r="66" spans="1:67" s="1" customFormat="1" x14ac:dyDescent="0.25">
      <c r="A66" s="11">
        <v>2009</v>
      </c>
      <c r="B66" s="7">
        <v>1130.6949999999999</v>
      </c>
      <c r="C66" s="7">
        <f t="shared" si="0"/>
        <v>25.440637499999994</v>
      </c>
      <c r="E66" s="32"/>
    </row>
    <row r="67" spans="1:67" s="1" customFormat="1" x14ac:dyDescent="0.25">
      <c r="A67" s="11">
        <v>2010</v>
      </c>
      <c r="B67" s="7">
        <v>1329.6479999999999</v>
      </c>
      <c r="C67" s="7">
        <f t="shared" si="0"/>
        <v>29.917079999999995</v>
      </c>
      <c r="E67" s="32"/>
    </row>
    <row r="68" spans="1:67" s="1" customFormat="1" x14ac:dyDescent="0.25">
      <c r="A68" s="11">
        <v>2011</v>
      </c>
      <c r="B68" s="7">
        <v>952.46199999999999</v>
      </c>
      <c r="C68" s="7">
        <f t="shared" si="0"/>
        <v>21.430394999999997</v>
      </c>
      <c r="E68" s="32"/>
    </row>
    <row r="69" spans="1:67" s="1" customFormat="1" x14ac:dyDescent="0.25">
      <c r="A69" s="11">
        <v>2012</v>
      </c>
      <c r="B69" s="7">
        <v>628.72500000000002</v>
      </c>
      <c r="C69" s="7">
        <f t="shared" si="0"/>
        <v>14.146312499999999</v>
      </c>
      <c r="E69" s="32"/>
    </row>
    <row r="70" spans="1:67" s="1" customFormat="1" x14ac:dyDescent="0.25">
      <c r="A70" s="11">
        <v>2013</v>
      </c>
      <c r="B70" s="7">
        <v>627.096</v>
      </c>
      <c r="C70" s="7">
        <f t="shared" si="0"/>
        <v>14.10966</v>
      </c>
      <c r="E70" s="32"/>
    </row>
    <row r="71" spans="1:67" s="1" customFormat="1" x14ac:dyDescent="0.25">
      <c r="A71" s="11">
        <v>2014</v>
      </c>
      <c r="B71" s="7">
        <v>555.11800000000005</v>
      </c>
      <c r="C71" s="7">
        <f t="shared" si="0"/>
        <v>12.490155</v>
      </c>
      <c r="E71" s="32"/>
    </row>
    <row r="72" spans="1:67" s="1" customFormat="1" x14ac:dyDescent="0.25">
      <c r="A72" s="11">
        <v>2015</v>
      </c>
      <c r="B72" s="7">
        <v>387.24</v>
      </c>
      <c r="C72" s="7">
        <f t="shared" si="0"/>
        <v>8.7128999999999994</v>
      </c>
      <c r="E72" s="32"/>
    </row>
    <row r="73" spans="1:67" s="1" customFormat="1" x14ac:dyDescent="0.25">
      <c r="A73" s="11">
        <v>2016</v>
      </c>
      <c r="B73" s="7">
        <v>346.61599999999999</v>
      </c>
      <c r="C73" s="7">
        <f t="shared" si="0"/>
        <v>7.7988599999999995</v>
      </c>
      <c r="E73" s="32"/>
    </row>
    <row r="74" spans="1:67" s="1" customFormat="1" x14ac:dyDescent="0.25">
      <c r="A74" s="11">
        <v>2017</v>
      </c>
      <c r="B74" s="7">
        <v>321.06</v>
      </c>
      <c r="C74" s="7">
        <f t="shared" si="0"/>
        <v>7.2238499999999997</v>
      </c>
      <c r="E74" s="32"/>
    </row>
    <row r="75" spans="1:67" s="1" customFormat="1" x14ac:dyDescent="0.25">
      <c r="A75" s="11">
        <v>2018</v>
      </c>
      <c r="B75" s="7">
        <v>437.02</v>
      </c>
      <c r="C75" s="7">
        <f t="shared" si="0"/>
        <v>9.8329499999999985</v>
      </c>
      <c r="E75" s="32"/>
    </row>
    <row r="76" spans="1:67" s="1" customFormat="1" x14ac:dyDescent="0.25">
      <c r="A76" s="11">
        <v>2019</v>
      </c>
      <c r="B76" s="7">
        <v>413.42700000000002</v>
      </c>
      <c r="C76" s="7">
        <f t="shared" si="0"/>
        <v>9.3021075</v>
      </c>
      <c r="E76" s="32"/>
    </row>
    <row r="77" spans="1:67" s="1" customFormat="1" x14ac:dyDescent="0.25">
      <c r="A77" s="11">
        <v>2020</v>
      </c>
      <c r="C77" s="8"/>
    </row>
    <row r="78" spans="1:67" s="4" customFormat="1" x14ac:dyDescent="0.25">
      <c r="A78" s="2"/>
      <c r="B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row>
    <row r="79" spans="1:67" s="4" customFormat="1" x14ac:dyDescent="0.25">
      <c r="A79" s="2"/>
      <c r="B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row>
    <row r="80" spans="1:67" s="4" customFormat="1" x14ac:dyDescent="0.25">
      <c r="A80" s="2"/>
      <c r="B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row>
    <row r="82" spans="1:67" x14ac:dyDescent="0.25">
      <c r="B82" s="7"/>
    </row>
    <row r="83" spans="1:67" x14ac:dyDescent="0.25">
      <c r="B83" s="7"/>
    </row>
    <row r="84" spans="1:67" x14ac:dyDescent="0.25">
      <c r="B84" s="7"/>
    </row>
    <row r="85" spans="1:67" x14ac:dyDescent="0.25">
      <c r="B85" s="7"/>
    </row>
    <row r="86" spans="1:67" x14ac:dyDescent="0.25">
      <c r="B86" s="7"/>
    </row>
    <row r="87" spans="1:67" s="4" customFormat="1" x14ac:dyDescent="0.25">
      <c r="A87" s="2"/>
      <c r="B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row>
    <row r="88" spans="1:67" s="4" customFormat="1" x14ac:dyDescent="0.25">
      <c r="A88" s="2"/>
      <c r="B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29125-5F59-4D2B-B790-D44D45AA199C}">
  <dimension ref="A1:BM88"/>
  <sheetViews>
    <sheetView tabSelected="1" zoomScale="83" zoomScaleNormal="70" workbookViewId="0">
      <pane xSplit="1" ySplit="1" topLeftCell="B2" activePane="bottomRight" state="frozen"/>
      <selection pane="topRight" activeCell="B1" sqref="B1"/>
      <selection pane="bottomLeft" activeCell="A2" sqref="A2"/>
      <selection pane="bottomRight" activeCell="G27" sqref="G27"/>
    </sheetView>
  </sheetViews>
  <sheetFormatPr defaultColWidth="10.7109375" defaultRowHeight="15" x14ac:dyDescent="0.25"/>
  <cols>
    <col min="1" max="1" width="9.28515625" style="10" customWidth="1"/>
    <col min="2" max="2" width="20.7109375" style="7" customWidth="1"/>
    <col min="3" max="3" width="26.42578125" style="4" customWidth="1"/>
    <col min="5" max="16384" width="10.7109375" style="6"/>
  </cols>
  <sheetData>
    <row r="1" spans="1:3" s="19" customFormat="1" x14ac:dyDescent="0.25">
      <c r="A1" s="18" t="s">
        <v>0</v>
      </c>
      <c r="B1" s="29" t="s">
        <v>2</v>
      </c>
      <c r="C1" s="5" t="s">
        <v>20</v>
      </c>
    </row>
    <row r="2" spans="1:3" x14ac:dyDescent="0.25">
      <c r="A2" s="11">
        <v>1945</v>
      </c>
      <c r="C2" s="8"/>
    </row>
    <row r="3" spans="1:3" x14ac:dyDescent="0.25">
      <c r="A3" s="11">
        <v>1946</v>
      </c>
      <c r="C3" s="8"/>
    </row>
    <row r="4" spans="1:3" x14ac:dyDescent="0.25">
      <c r="A4" s="11">
        <v>1947</v>
      </c>
      <c r="B4" s="7">
        <v>0</v>
      </c>
      <c r="C4" s="7">
        <v>0</v>
      </c>
    </row>
    <row r="5" spans="1:3" x14ac:dyDescent="0.25">
      <c r="A5" s="11">
        <v>1948</v>
      </c>
      <c r="C5" s="8"/>
    </row>
    <row r="6" spans="1:3" x14ac:dyDescent="0.25">
      <c r="A6" s="11">
        <v>1949</v>
      </c>
    </row>
    <row r="7" spans="1:3" x14ac:dyDescent="0.25">
      <c r="A7" s="11">
        <v>1950</v>
      </c>
    </row>
    <row r="8" spans="1:3" x14ac:dyDescent="0.25">
      <c r="A8" s="11">
        <v>1951</v>
      </c>
      <c r="C8" s="8"/>
    </row>
    <row r="9" spans="1:3" x14ac:dyDescent="0.25">
      <c r="A9" s="11">
        <v>1952</v>
      </c>
      <c r="C9" s="8"/>
    </row>
    <row r="10" spans="1:3" x14ac:dyDescent="0.25">
      <c r="A10" s="11">
        <v>1953</v>
      </c>
      <c r="C10" s="8"/>
    </row>
    <row r="11" spans="1:3" x14ac:dyDescent="0.25">
      <c r="A11" s="11">
        <v>1954</v>
      </c>
      <c r="C11" s="8"/>
    </row>
    <row r="12" spans="1:3" x14ac:dyDescent="0.25">
      <c r="A12" s="11">
        <v>1955</v>
      </c>
      <c r="C12" s="6"/>
    </row>
    <row r="13" spans="1:3" x14ac:dyDescent="0.25">
      <c r="A13" s="11">
        <v>1956</v>
      </c>
      <c r="C13" s="6"/>
    </row>
    <row r="14" spans="1:3" x14ac:dyDescent="0.25">
      <c r="A14" s="11">
        <v>1957</v>
      </c>
      <c r="C14" s="6"/>
    </row>
    <row r="15" spans="1:3" x14ac:dyDescent="0.25">
      <c r="A15" s="11">
        <v>1958</v>
      </c>
      <c r="C15" s="8"/>
    </row>
    <row r="16" spans="1:3" x14ac:dyDescent="0.25">
      <c r="A16" s="11">
        <v>1959</v>
      </c>
      <c r="C16" s="8"/>
    </row>
    <row r="17" spans="1:3" x14ac:dyDescent="0.25">
      <c r="A17" s="11">
        <v>1960</v>
      </c>
      <c r="C17" s="8"/>
    </row>
    <row r="18" spans="1:3" x14ac:dyDescent="0.25">
      <c r="A18" s="11">
        <v>1961</v>
      </c>
      <c r="C18" s="8"/>
    </row>
    <row r="19" spans="1:3" x14ac:dyDescent="0.25">
      <c r="A19" s="11">
        <v>1962</v>
      </c>
      <c r="C19" s="8"/>
    </row>
    <row r="20" spans="1:3" x14ac:dyDescent="0.25">
      <c r="A20" s="11">
        <v>1963</v>
      </c>
      <c r="C20" s="8"/>
    </row>
    <row r="21" spans="1:3" x14ac:dyDescent="0.25">
      <c r="A21" s="11">
        <v>1964</v>
      </c>
      <c r="C21" s="8"/>
    </row>
    <row r="22" spans="1:3" x14ac:dyDescent="0.25">
      <c r="A22" s="11">
        <v>1965</v>
      </c>
      <c r="C22" s="8"/>
    </row>
    <row r="23" spans="1:3" x14ac:dyDescent="0.25">
      <c r="A23" s="11">
        <v>1966</v>
      </c>
      <c r="C23" s="8"/>
    </row>
    <row r="24" spans="1:3" x14ac:dyDescent="0.25">
      <c r="A24" s="11">
        <v>1967</v>
      </c>
      <c r="C24" s="8"/>
    </row>
    <row r="25" spans="1:3" x14ac:dyDescent="0.25">
      <c r="A25" s="11">
        <v>1968</v>
      </c>
      <c r="C25" s="8"/>
    </row>
    <row r="26" spans="1:3" x14ac:dyDescent="0.25">
      <c r="A26" s="11">
        <v>1969</v>
      </c>
      <c r="C26" s="8"/>
    </row>
    <row r="27" spans="1:3" x14ac:dyDescent="0.25">
      <c r="A27" s="11">
        <v>1970</v>
      </c>
      <c r="C27" s="7"/>
    </row>
    <row r="28" spans="1:3" x14ac:dyDescent="0.25">
      <c r="A28" s="11">
        <v>1971</v>
      </c>
      <c r="C28" s="7"/>
    </row>
    <row r="29" spans="1:3" x14ac:dyDescent="0.25">
      <c r="A29" s="11">
        <v>1972</v>
      </c>
      <c r="C29" s="7"/>
    </row>
    <row r="30" spans="1:3" x14ac:dyDescent="0.25">
      <c r="A30" s="11">
        <v>1973</v>
      </c>
      <c r="C30" s="7"/>
    </row>
    <row r="31" spans="1:3" x14ac:dyDescent="0.25">
      <c r="A31" s="11">
        <v>1974</v>
      </c>
      <c r="C31" s="7"/>
    </row>
    <row r="32" spans="1:3" x14ac:dyDescent="0.25">
      <c r="A32" s="11">
        <v>1975</v>
      </c>
      <c r="C32" s="7"/>
    </row>
    <row r="33" spans="1:3" x14ac:dyDescent="0.25">
      <c r="A33" s="11">
        <v>1976</v>
      </c>
      <c r="C33" s="7"/>
    </row>
    <row r="34" spans="1:3" x14ac:dyDescent="0.25">
      <c r="A34" s="11">
        <v>1977</v>
      </c>
      <c r="C34" s="7"/>
    </row>
    <row r="35" spans="1:3" x14ac:dyDescent="0.25">
      <c r="A35" s="11">
        <v>1978</v>
      </c>
      <c r="C35" s="7"/>
    </row>
    <row r="36" spans="1:3" x14ac:dyDescent="0.25">
      <c r="A36" s="11">
        <v>1979</v>
      </c>
      <c r="C36" s="8"/>
    </row>
    <row r="37" spans="1:3" x14ac:dyDescent="0.25">
      <c r="A37" s="11">
        <v>1980</v>
      </c>
      <c r="C37" s="8"/>
    </row>
    <row r="38" spans="1:3" x14ac:dyDescent="0.25">
      <c r="A38" s="11">
        <v>1981</v>
      </c>
      <c r="C38" s="8"/>
    </row>
    <row r="39" spans="1:3" x14ac:dyDescent="0.25">
      <c r="A39" s="11">
        <v>1982</v>
      </c>
      <c r="C39" s="7"/>
    </row>
    <row r="40" spans="1:3" x14ac:dyDescent="0.25">
      <c r="A40" s="11">
        <v>1983</v>
      </c>
      <c r="C40" s="7"/>
    </row>
    <row r="41" spans="1:3" x14ac:dyDescent="0.25">
      <c r="A41" s="11">
        <v>1984</v>
      </c>
      <c r="C41" s="7"/>
    </row>
    <row r="42" spans="1:3" x14ac:dyDescent="0.25">
      <c r="A42" s="11">
        <v>1985</v>
      </c>
      <c r="C42" s="7"/>
    </row>
    <row r="43" spans="1:3" x14ac:dyDescent="0.25">
      <c r="A43" s="11">
        <v>1986</v>
      </c>
      <c r="C43" s="7"/>
    </row>
    <row r="44" spans="1:3" x14ac:dyDescent="0.25">
      <c r="A44" s="11">
        <v>1987</v>
      </c>
      <c r="C44" s="7"/>
    </row>
    <row r="45" spans="1:3" x14ac:dyDescent="0.25">
      <c r="A45" s="11">
        <v>1988</v>
      </c>
      <c r="C45" s="7"/>
    </row>
    <row r="46" spans="1:3" x14ac:dyDescent="0.25">
      <c r="A46" s="11">
        <v>1989</v>
      </c>
      <c r="B46" s="7">
        <v>555</v>
      </c>
      <c r="C46" s="7">
        <f t="shared" ref="C46:C50" si="0">B46*2.5*0.009</f>
        <v>12.487499999999999</v>
      </c>
    </row>
    <row r="47" spans="1:3" x14ac:dyDescent="0.25">
      <c r="A47" s="11">
        <v>1990</v>
      </c>
      <c r="B47" s="7">
        <v>673.33333333333337</v>
      </c>
      <c r="C47" s="7">
        <f t="shared" si="0"/>
        <v>15.15</v>
      </c>
    </row>
    <row r="48" spans="1:3" x14ac:dyDescent="0.25">
      <c r="A48" s="11">
        <v>1991</v>
      </c>
      <c r="B48" s="7">
        <v>509.33333333333331</v>
      </c>
      <c r="C48" s="7">
        <f t="shared" si="0"/>
        <v>11.459999999999999</v>
      </c>
    </row>
    <row r="49" spans="1:3" x14ac:dyDescent="0.25">
      <c r="A49" s="11">
        <v>1992</v>
      </c>
      <c r="B49" s="7">
        <v>506</v>
      </c>
      <c r="C49" s="7">
        <f t="shared" si="0"/>
        <v>11.385</v>
      </c>
    </row>
    <row r="50" spans="1:3" x14ac:dyDescent="0.25">
      <c r="A50" s="11">
        <v>1993</v>
      </c>
      <c r="B50" s="7">
        <v>614.66666666666663</v>
      </c>
      <c r="C50" s="7">
        <f t="shared" si="0"/>
        <v>13.829999999999998</v>
      </c>
    </row>
    <row r="51" spans="1:3" x14ac:dyDescent="0.25">
      <c r="A51" s="11">
        <v>1994</v>
      </c>
      <c r="C51" s="7"/>
    </row>
    <row r="52" spans="1:3" x14ac:dyDescent="0.25">
      <c r="A52" s="11">
        <v>1995</v>
      </c>
      <c r="B52" s="8">
        <v>685.298</v>
      </c>
      <c r="C52" s="7">
        <f t="shared" ref="C52:C76" si="1">B52*2.5*0.009</f>
        <v>15.419204999999998</v>
      </c>
    </row>
    <row r="53" spans="1:3" x14ac:dyDescent="0.25">
      <c r="A53" s="11">
        <v>1996</v>
      </c>
      <c r="B53" s="8">
        <v>765.65300000000002</v>
      </c>
      <c r="C53" s="7">
        <f t="shared" si="1"/>
        <v>17.227192500000001</v>
      </c>
    </row>
    <row r="54" spans="1:3" x14ac:dyDescent="0.25">
      <c r="A54" s="11">
        <v>1997</v>
      </c>
      <c r="B54" s="8">
        <v>654.58600000000001</v>
      </c>
      <c r="C54" s="7">
        <f t="shared" si="1"/>
        <v>14.728185</v>
      </c>
    </row>
    <row r="55" spans="1:3" x14ac:dyDescent="0.25">
      <c r="A55" s="11">
        <v>1998</v>
      </c>
      <c r="B55" s="8">
        <v>469.65499999999997</v>
      </c>
      <c r="C55" s="7">
        <f t="shared" si="1"/>
        <v>10.567237499999997</v>
      </c>
    </row>
    <row r="56" spans="1:3" x14ac:dyDescent="0.25">
      <c r="A56" s="11">
        <v>1999</v>
      </c>
      <c r="B56" s="8">
        <v>281.13200000000001</v>
      </c>
      <c r="C56" s="7">
        <f t="shared" si="1"/>
        <v>6.3254700000000001</v>
      </c>
    </row>
    <row r="57" spans="1:3" x14ac:dyDescent="0.25">
      <c r="A57" s="11">
        <v>2000</v>
      </c>
      <c r="B57" s="8">
        <v>268.596</v>
      </c>
      <c r="C57" s="7">
        <f t="shared" si="1"/>
        <v>6.0434099999999997</v>
      </c>
    </row>
    <row r="58" spans="1:3" x14ac:dyDescent="0.25">
      <c r="A58" s="11">
        <v>2001</v>
      </c>
      <c r="B58" s="8">
        <v>169.071</v>
      </c>
      <c r="C58" s="7">
        <f t="shared" si="1"/>
        <v>3.8040974999999997</v>
      </c>
    </row>
    <row r="59" spans="1:3" x14ac:dyDescent="0.25">
      <c r="A59" s="11">
        <v>2002</v>
      </c>
      <c r="B59" s="8">
        <v>284.79199999999997</v>
      </c>
      <c r="C59" s="7">
        <f t="shared" si="1"/>
        <v>6.4078199999999983</v>
      </c>
    </row>
    <row r="60" spans="1:3" x14ac:dyDescent="0.25">
      <c r="A60" s="11">
        <v>2003</v>
      </c>
      <c r="B60" s="8">
        <v>317.03800000000001</v>
      </c>
      <c r="C60" s="7">
        <f t="shared" si="1"/>
        <v>7.1333549999999999</v>
      </c>
    </row>
    <row r="61" spans="1:3" x14ac:dyDescent="0.25">
      <c r="A61" s="11">
        <v>2004</v>
      </c>
      <c r="B61" s="8">
        <v>320.613</v>
      </c>
      <c r="C61" s="7">
        <f t="shared" si="1"/>
        <v>7.2137924999999994</v>
      </c>
    </row>
    <row r="62" spans="1:3" x14ac:dyDescent="0.25">
      <c r="A62" s="11">
        <v>2005</v>
      </c>
      <c r="B62" s="8">
        <v>459.02699999999999</v>
      </c>
      <c r="C62" s="7">
        <f t="shared" si="1"/>
        <v>10.328107499999998</v>
      </c>
    </row>
    <row r="63" spans="1:3" x14ac:dyDescent="0.25">
      <c r="A63" s="11">
        <v>2006</v>
      </c>
      <c r="B63" s="8">
        <v>497.476</v>
      </c>
      <c r="C63" s="7">
        <f t="shared" si="1"/>
        <v>11.193209999999999</v>
      </c>
    </row>
    <row r="64" spans="1:3" x14ac:dyDescent="0.25">
      <c r="A64" s="11">
        <v>2007</v>
      </c>
      <c r="B64" s="8">
        <v>459.43</v>
      </c>
      <c r="C64" s="7">
        <f t="shared" si="1"/>
        <v>10.337175</v>
      </c>
    </row>
    <row r="65" spans="1:65" x14ac:dyDescent="0.25">
      <c r="A65" s="11">
        <v>2008</v>
      </c>
      <c r="B65" s="8">
        <v>482.06700000000001</v>
      </c>
      <c r="C65" s="7">
        <f t="shared" si="1"/>
        <v>10.8465075</v>
      </c>
    </row>
    <row r="66" spans="1:65" x14ac:dyDescent="0.25">
      <c r="A66" s="11">
        <v>2009</v>
      </c>
      <c r="B66" s="8">
        <v>415.94900000000001</v>
      </c>
      <c r="C66" s="7">
        <f t="shared" si="1"/>
        <v>9.3588524999999994</v>
      </c>
    </row>
    <row r="67" spans="1:65" x14ac:dyDescent="0.25">
      <c r="A67" s="11">
        <v>2010</v>
      </c>
      <c r="B67" s="8">
        <v>492.572</v>
      </c>
      <c r="C67" s="7">
        <f t="shared" si="1"/>
        <v>11.08287</v>
      </c>
    </row>
    <row r="68" spans="1:65" x14ac:dyDescent="0.25">
      <c r="A68" s="11">
        <v>2011</v>
      </c>
      <c r="B68" s="8">
        <v>405.72899999999998</v>
      </c>
      <c r="C68" s="7">
        <f t="shared" si="1"/>
        <v>9.1289024999999988</v>
      </c>
    </row>
    <row r="69" spans="1:65" x14ac:dyDescent="0.25">
      <c r="A69" s="11">
        <v>2012</v>
      </c>
      <c r="B69" s="8">
        <v>429.05399999999997</v>
      </c>
      <c r="C69" s="7">
        <f t="shared" si="1"/>
        <v>9.653715</v>
      </c>
    </row>
    <row r="70" spans="1:65" x14ac:dyDescent="0.25">
      <c r="A70" s="11">
        <v>2013</v>
      </c>
      <c r="B70" s="8">
        <v>462.90199999999999</v>
      </c>
      <c r="C70" s="7">
        <f t="shared" si="1"/>
        <v>10.415294999999999</v>
      </c>
    </row>
    <row r="71" spans="1:65" x14ac:dyDescent="0.25">
      <c r="A71" s="11">
        <v>2014</v>
      </c>
      <c r="B71" s="8">
        <v>498.60500000000002</v>
      </c>
      <c r="C71" s="7">
        <f t="shared" si="1"/>
        <v>11.218612499999999</v>
      </c>
    </row>
    <row r="72" spans="1:65" x14ac:dyDescent="0.25">
      <c r="A72" s="11">
        <v>2015</v>
      </c>
      <c r="B72" s="8">
        <v>476.73</v>
      </c>
      <c r="C72" s="7">
        <f t="shared" si="1"/>
        <v>10.726424999999999</v>
      </c>
    </row>
    <row r="73" spans="1:65" x14ac:dyDescent="0.25">
      <c r="A73" s="11">
        <v>2016</v>
      </c>
      <c r="B73" s="8">
        <v>507.42700000000002</v>
      </c>
      <c r="C73" s="7">
        <f t="shared" si="1"/>
        <v>11.4171075</v>
      </c>
    </row>
    <row r="74" spans="1:65" x14ac:dyDescent="0.25">
      <c r="A74" s="11">
        <v>2017</v>
      </c>
      <c r="B74" s="8">
        <v>630.41999999999996</v>
      </c>
      <c r="C74" s="7">
        <f t="shared" si="1"/>
        <v>14.184449999999998</v>
      </c>
    </row>
    <row r="75" spans="1:65" x14ac:dyDescent="0.25">
      <c r="A75" s="11">
        <v>2018</v>
      </c>
      <c r="B75" s="8">
        <v>651.88099999999997</v>
      </c>
      <c r="C75" s="7">
        <f t="shared" si="1"/>
        <v>14.667322499999997</v>
      </c>
    </row>
    <row r="76" spans="1:65" x14ac:dyDescent="0.25">
      <c r="A76" s="11">
        <v>2019</v>
      </c>
      <c r="B76" s="8">
        <v>820.09100000000001</v>
      </c>
      <c r="C76" s="7">
        <f t="shared" si="1"/>
        <v>18.452047499999999</v>
      </c>
    </row>
    <row r="77" spans="1:65" x14ac:dyDescent="0.25">
      <c r="A77" s="11">
        <v>2020</v>
      </c>
      <c r="C77" s="8"/>
    </row>
    <row r="78" spans="1:65" s="4" customFormat="1" x14ac:dyDescent="0.25">
      <c r="A78" s="10"/>
      <c r="B78" s="7"/>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row>
    <row r="79" spans="1:65" s="4" customFormat="1" x14ac:dyDescent="0.25">
      <c r="A79" s="10"/>
      <c r="B79" s="7"/>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s="4" customFormat="1" x14ac:dyDescent="0.25">
      <c r="A80" s="10"/>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7" spans="1:65" s="4" customFormat="1" x14ac:dyDescent="0.25">
      <c r="A87" s="10"/>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row>
    <row r="88" spans="1:65" s="4" customFormat="1" x14ac:dyDescent="0.25">
      <c r="A88" s="10"/>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8A2BA-3FC0-4741-B7C4-68BAB960C857}">
  <dimension ref="A1:F77"/>
  <sheetViews>
    <sheetView topLeftCell="A7" workbookViewId="0">
      <selection activeCell="E30" sqref="E30"/>
    </sheetView>
  </sheetViews>
  <sheetFormatPr defaultRowHeight="15" x14ac:dyDescent="0.25"/>
  <cols>
    <col min="1" max="1" width="9.28515625" style="2" customWidth="1"/>
    <col min="2" max="2" width="17" customWidth="1"/>
  </cols>
  <sheetData>
    <row r="1" spans="1:6" x14ac:dyDescent="0.25">
      <c r="A1" s="14" t="s">
        <v>0</v>
      </c>
      <c r="B1" s="5" t="s">
        <v>21</v>
      </c>
    </row>
    <row r="2" spans="1:6" x14ac:dyDescent="0.25">
      <c r="A2" s="11">
        <v>1945</v>
      </c>
      <c r="B2" s="35">
        <v>39660</v>
      </c>
    </row>
    <row r="3" spans="1:6" x14ac:dyDescent="0.25">
      <c r="A3" s="11">
        <v>1946</v>
      </c>
      <c r="B3" s="35">
        <v>40287</v>
      </c>
    </row>
    <row r="4" spans="1:6" x14ac:dyDescent="0.25">
      <c r="A4" s="11">
        <v>1947</v>
      </c>
      <c r="B4" s="35">
        <v>40679</v>
      </c>
    </row>
    <row r="5" spans="1:6" x14ac:dyDescent="0.25">
      <c r="A5" s="11">
        <v>1948</v>
      </c>
      <c r="B5" s="35">
        <v>41112</v>
      </c>
    </row>
    <row r="6" spans="1:6" x14ac:dyDescent="0.25">
      <c r="A6" s="11">
        <v>1949</v>
      </c>
      <c r="B6" s="35">
        <v>41480</v>
      </c>
    </row>
    <row r="7" spans="1:6" x14ac:dyDescent="0.25">
      <c r="A7" s="11">
        <v>1950</v>
      </c>
      <c r="B7" s="35">
        <v>41647.258000000002</v>
      </c>
      <c r="F7" s="34"/>
    </row>
    <row r="8" spans="1:6" x14ac:dyDescent="0.25">
      <c r="A8" s="11">
        <v>1951</v>
      </c>
      <c r="B8" s="35">
        <v>42010.088000000003</v>
      </c>
      <c r="E8" s="34"/>
      <c r="F8" s="34"/>
    </row>
    <row r="9" spans="1:6" x14ac:dyDescent="0.25">
      <c r="A9" s="11">
        <v>1952</v>
      </c>
      <c r="B9" s="35">
        <v>42300.981</v>
      </c>
      <c r="E9" s="34"/>
      <c r="F9" s="34"/>
    </row>
    <row r="10" spans="1:6" x14ac:dyDescent="0.25">
      <c r="A10" s="11">
        <v>1953</v>
      </c>
      <c r="B10" s="35">
        <v>42618.353999999999</v>
      </c>
      <c r="E10" s="34"/>
      <c r="F10" s="34"/>
    </row>
    <row r="11" spans="1:6" x14ac:dyDescent="0.25">
      <c r="A11" s="11">
        <v>1954</v>
      </c>
      <c r="B11" s="35">
        <v>42885.137999999999</v>
      </c>
      <c r="E11" s="34"/>
      <c r="F11" s="34"/>
    </row>
    <row r="12" spans="1:6" x14ac:dyDescent="0.25">
      <c r="A12" s="11">
        <v>1955</v>
      </c>
      <c r="B12" s="35">
        <v>43227.872000000003</v>
      </c>
      <c r="E12" s="34"/>
      <c r="F12" s="34"/>
    </row>
    <row r="13" spans="1:6" x14ac:dyDescent="0.25">
      <c r="A13" s="11">
        <v>1956</v>
      </c>
      <c r="B13" s="35">
        <v>43627.466999999997</v>
      </c>
      <c r="E13" s="34"/>
      <c r="F13" s="34"/>
    </row>
    <row r="14" spans="1:6" x14ac:dyDescent="0.25">
      <c r="A14" s="11">
        <v>1957</v>
      </c>
      <c r="B14" s="35">
        <v>44058.682999999997</v>
      </c>
      <c r="E14" s="34"/>
      <c r="F14" s="34"/>
    </row>
    <row r="15" spans="1:6" x14ac:dyDescent="0.25">
      <c r="A15" s="11">
        <v>1958</v>
      </c>
      <c r="B15" s="35">
        <v>44563.042999999998</v>
      </c>
      <c r="E15" s="34"/>
      <c r="F15" s="34"/>
    </row>
    <row r="16" spans="1:6" x14ac:dyDescent="0.25">
      <c r="A16" s="11">
        <v>1959</v>
      </c>
      <c r="B16" s="35">
        <v>45014.661999999997</v>
      </c>
      <c r="E16" s="34"/>
      <c r="F16" s="34"/>
    </row>
    <row r="17" spans="1:6" x14ac:dyDescent="0.25">
      <c r="A17" s="11">
        <v>1960</v>
      </c>
      <c r="B17" s="35">
        <v>45684</v>
      </c>
      <c r="E17" s="34"/>
      <c r="F17" s="34"/>
    </row>
    <row r="18" spans="1:6" x14ac:dyDescent="0.25">
      <c r="A18" s="11">
        <v>1961</v>
      </c>
      <c r="B18" s="35">
        <v>46163</v>
      </c>
      <c r="E18" s="34"/>
      <c r="F18" s="34"/>
    </row>
    <row r="19" spans="1:6" x14ac:dyDescent="0.25">
      <c r="A19" s="11">
        <v>1962</v>
      </c>
      <c r="B19" s="35">
        <v>46998</v>
      </c>
      <c r="E19" s="34"/>
      <c r="F19" s="34"/>
    </row>
    <row r="20" spans="1:6" x14ac:dyDescent="0.25">
      <c r="A20" s="11">
        <v>1963</v>
      </c>
      <c r="B20" s="35">
        <v>47816</v>
      </c>
      <c r="E20" s="34"/>
      <c r="F20" s="34"/>
    </row>
    <row r="21" spans="1:6" x14ac:dyDescent="0.25">
      <c r="A21" s="11">
        <v>1964</v>
      </c>
      <c r="B21" s="35">
        <v>48310</v>
      </c>
      <c r="E21" s="34"/>
      <c r="F21" s="34"/>
    </row>
    <row r="22" spans="1:6" x14ac:dyDescent="0.25">
      <c r="A22" s="11">
        <v>1965</v>
      </c>
      <c r="B22" s="35">
        <v>48758</v>
      </c>
    </row>
    <row r="23" spans="1:6" x14ac:dyDescent="0.25">
      <c r="A23" s="11">
        <v>1966</v>
      </c>
      <c r="B23" s="35">
        <v>49164</v>
      </c>
    </row>
    <row r="24" spans="1:6" x14ac:dyDescent="0.25">
      <c r="A24" s="11">
        <v>1967</v>
      </c>
      <c r="B24" s="35">
        <v>49548</v>
      </c>
    </row>
    <row r="25" spans="1:6" x14ac:dyDescent="0.25">
      <c r="A25" s="11">
        <v>1968</v>
      </c>
      <c r="B25" s="35">
        <v>49915</v>
      </c>
    </row>
    <row r="26" spans="1:6" x14ac:dyDescent="0.25">
      <c r="A26" s="11">
        <v>1969</v>
      </c>
      <c r="B26" s="35">
        <v>50318</v>
      </c>
    </row>
    <row r="27" spans="1:6" x14ac:dyDescent="0.25">
      <c r="A27" s="11">
        <v>1970</v>
      </c>
      <c r="B27" s="35">
        <v>50772</v>
      </c>
    </row>
    <row r="28" spans="1:6" x14ac:dyDescent="0.25">
      <c r="A28" s="11">
        <v>1971</v>
      </c>
      <c r="B28" s="35">
        <v>51251</v>
      </c>
    </row>
    <row r="29" spans="1:6" x14ac:dyDescent="0.25">
      <c r="A29" s="11">
        <v>1972</v>
      </c>
      <c r="B29" s="35">
        <v>51701</v>
      </c>
    </row>
    <row r="30" spans="1:6" x14ac:dyDescent="0.25">
      <c r="A30" s="11">
        <v>1973</v>
      </c>
      <c r="B30" s="35">
        <v>52118</v>
      </c>
    </row>
    <row r="31" spans="1:6" x14ac:dyDescent="0.25">
      <c r="A31" s="11">
        <v>1974</v>
      </c>
      <c r="B31" s="35">
        <v>52460</v>
      </c>
    </row>
    <row r="32" spans="1:6" x14ac:dyDescent="0.25">
      <c r="A32" s="11">
        <v>1975</v>
      </c>
      <c r="B32" s="35">
        <v>52699</v>
      </c>
    </row>
    <row r="33" spans="1:2" x14ac:dyDescent="0.25">
      <c r="A33" s="11">
        <v>1976</v>
      </c>
      <c r="B33" s="35">
        <v>52909</v>
      </c>
    </row>
    <row r="34" spans="1:2" x14ac:dyDescent="0.25">
      <c r="A34" s="11">
        <v>1977</v>
      </c>
      <c r="B34" s="35">
        <v>53145</v>
      </c>
    </row>
    <row r="35" spans="1:2" x14ac:dyDescent="0.25">
      <c r="A35" s="11">
        <v>1978</v>
      </c>
      <c r="B35" s="35">
        <v>53376</v>
      </c>
    </row>
    <row r="36" spans="1:2" x14ac:dyDescent="0.25">
      <c r="A36" s="11">
        <v>1979</v>
      </c>
      <c r="B36" s="35">
        <v>53606</v>
      </c>
    </row>
    <row r="37" spans="1:2" x14ac:dyDescent="0.25">
      <c r="A37" s="11">
        <v>1980</v>
      </c>
      <c r="B37" s="35">
        <v>53880</v>
      </c>
    </row>
    <row r="38" spans="1:2" x14ac:dyDescent="0.25">
      <c r="A38" s="11">
        <v>1981</v>
      </c>
      <c r="B38" s="35">
        <v>54182</v>
      </c>
    </row>
    <row r="39" spans="1:2" x14ac:dyDescent="0.25">
      <c r="A39" s="11">
        <v>1982</v>
      </c>
      <c r="B39" s="35">
        <v>54492</v>
      </c>
    </row>
    <row r="40" spans="1:2" x14ac:dyDescent="0.25">
      <c r="A40" s="11">
        <v>1983</v>
      </c>
      <c r="B40" s="35">
        <v>54772</v>
      </c>
    </row>
    <row r="41" spans="1:2" x14ac:dyDescent="0.25">
      <c r="A41" s="11">
        <v>1984</v>
      </c>
      <c r="B41" s="35">
        <v>55026</v>
      </c>
    </row>
    <row r="42" spans="1:2" x14ac:dyDescent="0.25">
      <c r="A42" s="11">
        <v>1985</v>
      </c>
      <c r="B42" s="35">
        <v>55284</v>
      </c>
    </row>
    <row r="43" spans="1:2" x14ac:dyDescent="0.25">
      <c r="A43" s="11">
        <v>1986</v>
      </c>
      <c r="B43" s="35">
        <v>55547</v>
      </c>
    </row>
    <row r="44" spans="1:2" x14ac:dyDescent="0.25">
      <c r="A44" s="11">
        <v>1987</v>
      </c>
      <c r="B44" s="35">
        <v>55824</v>
      </c>
    </row>
    <row r="45" spans="1:2" x14ac:dyDescent="0.25">
      <c r="A45" s="11">
        <v>1988</v>
      </c>
      <c r="B45" s="35">
        <v>56118</v>
      </c>
    </row>
    <row r="46" spans="1:2" x14ac:dyDescent="0.25">
      <c r="A46" s="11">
        <v>1989</v>
      </c>
      <c r="B46" s="35">
        <v>56423</v>
      </c>
    </row>
    <row r="47" spans="1:2" x14ac:dyDescent="0.25">
      <c r="A47" s="11">
        <v>1990</v>
      </c>
      <c r="B47" s="35">
        <v>56709</v>
      </c>
    </row>
    <row r="48" spans="1:2" x14ac:dyDescent="0.25">
      <c r="A48" s="11">
        <v>1991</v>
      </c>
      <c r="B48" s="35">
        <v>58426</v>
      </c>
    </row>
    <row r="49" spans="1:2" x14ac:dyDescent="0.25">
      <c r="A49" s="11">
        <v>1992</v>
      </c>
      <c r="B49" s="35">
        <v>58712</v>
      </c>
    </row>
    <row r="50" spans="1:2" x14ac:dyDescent="0.25">
      <c r="A50" s="11">
        <v>1993</v>
      </c>
      <c r="B50" s="35">
        <v>58961</v>
      </c>
    </row>
    <row r="51" spans="1:2" x14ac:dyDescent="0.25">
      <c r="A51" s="11">
        <v>1994</v>
      </c>
      <c r="B51" s="35">
        <v>59175</v>
      </c>
    </row>
    <row r="52" spans="1:2" x14ac:dyDescent="0.25">
      <c r="A52" s="11">
        <v>1995</v>
      </c>
      <c r="B52" s="35">
        <v>59384</v>
      </c>
    </row>
    <row r="53" spans="1:2" x14ac:dyDescent="0.25">
      <c r="A53" s="11">
        <v>1996</v>
      </c>
      <c r="B53" s="35">
        <v>59589</v>
      </c>
    </row>
    <row r="54" spans="1:2" x14ac:dyDescent="0.25">
      <c r="A54" s="11">
        <v>1997</v>
      </c>
      <c r="B54" s="35">
        <v>59795</v>
      </c>
    </row>
    <row r="55" spans="1:2" x14ac:dyDescent="0.25">
      <c r="A55" s="11">
        <v>1998</v>
      </c>
      <c r="B55" s="35">
        <v>60011</v>
      </c>
    </row>
    <row r="56" spans="1:2" x14ac:dyDescent="0.25">
      <c r="A56" s="11">
        <v>1999</v>
      </c>
      <c r="B56" s="35">
        <v>60315</v>
      </c>
    </row>
    <row r="57" spans="1:2" x14ac:dyDescent="0.25">
      <c r="A57" s="11">
        <v>2000</v>
      </c>
      <c r="B57" s="35">
        <v>60725</v>
      </c>
    </row>
    <row r="58" spans="1:2" x14ac:dyDescent="0.25">
      <c r="A58" s="11">
        <v>2001</v>
      </c>
      <c r="B58" s="35">
        <v>61163</v>
      </c>
    </row>
    <row r="59" spans="1:2" x14ac:dyDescent="0.25">
      <c r="A59" s="11">
        <v>2002</v>
      </c>
      <c r="B59" s="35">
        <v>61605</v>
      </c>
    </row>
    <row r="60" spans="1:2" x14ac:dyDescent="0.25">
      <c r="A60" s="11">
        <v>2003</v>
      </c>
      <c r="B60" s="35">
        <v>62038</v>
      </c>
    </row>
    <row r="61" spans="1:2" x14ac:dyDescent="0.25">
      <c r="A61" s="11">
        <v>2004</v>
      </c>
      <c r="B61" s="35">
        <v>62491</v>
      </c>
    </row>
    <row r="62" spans="1:2" x14ac:dyDescent="0.25">
      <c r="A62" s="11">
        <v>2005</v>
      </c>
      <c r="B62" s="35">
        <v>62958</v>
      </c>
    </row>
    <row r="63" spans="1:2" x14ac:dyDescent="0.25">
      <c r="A63" s="11">
        <v>2006</v>
      </c>
      <c r="B63" s="35">
        <v>63393</v>
      </c>
    </row>
    <row r="64" spans="1:2" x14ac:dyDescent="0.25">
      <c r="A64" s="11">
        <v>2007</v>
      </c>
      <c r="B64" s="35">
        <v>63781</v>
      </c>
    </row>
    <row r="65" spans="1:2" x14ac:dyDescent="0.25">
      <c r="A65" s="11">
        <v>2008</v>
      </c>
      <c r="B65" s="35">
        <v>64133</v>
      </c>
    </row>
    <row r="66" spans="1:2" x14ac:dyDescent="0.25">
      <c r="A66" s="11">
        <v>2009</v>
      </c>
      <c r="B66" s="35">
        <v>64459</v>
      </c>
    </row>
    <row r="67" spans="1:2" x14ac:dyDescent="0.25">
      <c r="A67" s="11">
        <v>2010</v>
      </c>
      <c r="B67" s="35">
        <v>64773</v>
      </c>
    </row>
    <row r="68" spans="1:2" x14ac:dyDescent="0.25">
      <c r="A68" s="11">
        <v>2011</v>
      </c>
      <c r="B68" s="35">
        <v>65087</v>
      </c>
    </row>
    <row r="69" spans="1:2" x14ac:dyDescent="0.25">
      <c r="A69" s="11">
        <v>2012</v>
      </c>
      <c r="B69" s="35">
        <v>65403</v>
      </c>
    </row>
    <row r="70" spans="1:2" x14ac:dyDescent="0.25">
      <c r="A70" s="11">
        <v>2013</v>
      </c>
      <c r="B70" s="35">
        <v>65736</v>
      </c>
    </row>
    <row r="71" spans="1:2" x14ac:dyDescent="0.25">
      <c r="A71" s="11">
        <v>2014</v>
      </c>
      <c r="B71" s="35">
        <v>66277</v>
      </c>
    </row>
    <row r="72" spans="1:2" x14ac:dyDescent="0.25">
      <c r="A72" s="11">
        <v>2015</v>
      </c>
      <c r="B72" s="35">
        <v>66513</v>
      </c>
    </row>
    <row r="73" spans="1:2" x14ac:dyDescent="0.25">
      <c r="A73" s="11">
        <v>2016</v>
      </c>
      <c r="B73" s="35">
        <v>66686</v>
      </c>
    </row>
    <row r="74" spans="1:2" x14ac:dyDescent="0.25">
      <c r="A74" s="11">
        <v>2017</v>
      </c>
      <c r="B74" s="35">
        <v>66830</v>
      </c>
    </row>
    <row r="75" spans="1:2" x14ac:dyDescent="0.25">
      <c r="A75" s="11">
        <v>2018</v>
      </c>
      <c r="B75" s="35">
        <v>66942</v>
      </c>
    </row>
    <row r="76" spans="1:2" x14ac:dyDescent="0.25">
      <c r="A76" s="11">
        <v>2019</v>
      </c>
      <c r="B76" s="35">
        <v>66990</v>
      </c>
    </row>
    <row r="77" spans="1:2" x14ac:dyDescent="0.25">
      <c r="A77" s="11">
        <v>2020</v>
      </c>
      <c r="B77" s="35">
        <v>67064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AA48E-779E-40C0-89AF-5B4D7F3C0E50}">
  <dimension ref="A1:BF88"/>
  <sheetViews>
    <sheetView zoomScale="85" zoomScaleNormal="85" workbookViewId="0">
      <pane xSplit="1" ySplit="1" topLeftCell="B2" activePane="bottomRight" state="frozen"/>
      <selection pane="topRight" activeCell="B1" sqref="B1"/>
      <selection pane="bottomLeft" activeCell="A2" sqref="A2"/>
      <selection pane="bottomRight" activeCell="F37" sqref="F37"/>
    </sheetView>
  </sheetViews>
  <sheetFormatPr defaultColWidth="10.7109375" defaultRowHeight="15" x14ac:dyDescent="0.25"/>
  <cols>
    <col min="1" max="1" width="8" style="25" bestFit="1" customWidth="1"/>
    <col min="2" max="9" width="15.140625" style="22" customWidth="1"/>
    <col min="10" max="10" width="3" style="52" customWidth="1"/>
    <col min="11" max="15" width="12.7109375" style="22" customWidth="1"/>
    <col min="16" max="16384" width="10.7109375" style="22"/>
  </cols>
  <sheetData>
    <row r="1" spans="1:16" s="28" customFormat="1" ht="45" x14ac:dyDescent="0.25">
      <c r="A1" s="27" t="s">
        <v>0</v>
      </c>
      <c r="B1" s="20" t="s">
        <v>14</v>
      </c>
      <c r="C1" s="64" t="s">
        <v>15</v>
      </c>
      <c r="D1" s="64" t="s">
        <v>7</v>
      </c>
      <c r="E1" s="64" t="s">
        <v>16</v>
      </c>
      <c r="F1" s="64" t="s">
        <v>12</v>
      </c>
      <c r="G1" s="64" t="s">
        <v>5</v>
      </c>
      <c r="H1" s="64" t="s">
        <v>6</v>
      </c>
      <c r="I1" s="64" t="s">
        <v>8</v>
      </c>
      <c r="J1" s="47"/>
      <c r="K1" s="5" t="s">
        <v>22</v>
      </c>
      <c r="L1" s="5" t="s">
        <v>17</v>
      </c>
      <c r="M1" s="5" t="s">
        <v>23</v>
      </c>
      <c r="N1" s="5" t="s">
        <v>18</v>
      </c>
      <c r="O1" s="5" t="s">
        <v>19</v>
      </c>
    </row>
    <row r="2" spans="1:16" x14ac:dyDescent="0.25">
      <c r="A2" s="15">
        <v>1945</v>
      </c>
      <c r="B2" s="37">
        <f>1.99/5-C2</f>
        <v>0.38</v>
      </c>
      <c r="C2" s="37">
        <f>0.09/5</f>
        <v>1.7999999999999999E-2</v>
      </c>
      <c r="D2" s="37">
        <f>3.43/5</f>
        <v>0.68600000000000005</v>
      </c>
      <c r="E2" s="37">
        <f>1.03/5</f>
        <v>0.20600000000000002</v>
      </c>
      <c r="F2" s="37">
        <f>0.21/5</f>
        <v>4.1999999999999996E-2</v>
      </c>
      <c r="G2" s="37">
        <f>0.34/5</f>
        <v>6.8000000000000005E-2</v>
      </c>
      <c r="H2" s="37">
        <f>0.69/5</f>
        <v>0.13799999999999998</v>
      </c>
      <c r="I2" s="37">
        <f>0.1/5</f>
        <v>0.02</v>
      </c>
      <c r="J2" s="48"/>
    </row>
    <row r="3" spans="1:16" x14ac:dyDescent="0.25">
      <c r="A3" s="15">
        <v>1946</v>
      </c>
      <c r="B3" s="37">
        <f t="shared" ref="B3:B28" si="0">1.99/5-C3</f>
        <v>0.38</v>
      </c>
      <c r="C3" s="37">
        <f t="shared" ref="C3:C28" si="1">0.09/5</f>
        <v>1.7999999999999999E-2</v>
      </c>
      <c r="D3" s="37">
        <f t="shared" ref="D3:D28" si="2">3.43/5</f>
        <v>0.68600000000000005</v>
      </c>
      <c r="E3" s="37">
        <f t="shared" ref="E3:E28" si="3">1.03/5</f>
        <v>0.20600000000000002</v>
      </c>
      <c r="F3" s="37">
        <f t="shared" ref="F3:F22" si="4">0.21/5</f>
        <v>4.1999999999999996E-2</v>
      </c>
      <c r="G3" s="37">
        <f t="shared" ref="G3:G28" si="5">0.34/5</f>
        <v>6.8000000000000005E-2</v>
      </c>
      <c r="H3" s="37">
        <f t="shared" ref="H3:H28" si="6">0.69/5</f>
        <v>0.13799999999999998</v>
      </c>
      <c r="I3" s="37">
        <f t="shared" ref="I3:I28" si="7">0.1/5</f>
        <v>0.02</v>
      </c>
      <c r="J3" s="48"/>
    </row>
    <row r="4" spans="1:16" x14ac:dyDescent="0.25">
      <c r="A4" s="15">
        <v>1947</v>
      </c>
      <c r="B4" s="37">
        <f t="shared" si="0"/>
        <v>0.38</v>
      </c>
      <c r="C4" s="37">
        <f t="shared" si="1"/>
        <v>1.7999999999999999E-2</v>
      </c>
      <c r="D4" s="37">
        <f t="shared" si="2"/>
        <v>0.68600000000000005</v>
      </c>
      <c r="E4" s="37">
        <f t="shared" si="3"/>
        <v>0.20600000000000002</v>
      </c>
      <c r="F4" s="37">
        <f t="shared" si="4"/>
        <v>4.1999999999999996E-2</v>
      </c>
      <c r="G4" s="37">
        <f t="shared" si="5"/>
        <v>6.8000000000000005E-2</v>
      </c>
      <c r="H4" s="37">
        <f t="shared" si="6"/>
        <v>0.13799999999999998</v>
      </c>
      <c r="I4" s="37">
        <f t="shared" si="7"/>
        <v>0.02</v>
      </c>
      <c r="J4" s="48"/>
      <c r="K4" s="37">
        <f>3.57/5</f>
        <v>0.71399999999999997</v>
      </c>
      <c r="L4" s="55">
        <f>K4*0.05*1000</f>
        <v>35.700000000000003</v>
      </c>
      <c r="M4" s="37">
        <f>0.4/5</f>
        <v>0.08</v>
      </c>
      <c r="N4" s="55">
        <f>M4/278*1000</f>
        <v>0.28776978417266186</v>
      </c>
      <c r="O4" s="22">
        <v>0</v>
      </c>
      <c r="P4" s="23"/>
    </row>
    <row r="5" spans="1:16" x14ac:dyDescent="0.25">
      <c r="A5" s="15">
        <v>1948</v>
      </c>
      <c r="B5" s="37">
        <f t="shared" si="0"/>
        <v>0.38</v>
      </c>
      <c r="C5" s="37">
        <f t="shared" si="1"/>
        <v>1.7999999999999999E-2</v>
      </c>
      <c r="D5" s="37">
        <f t="shared" si="2"/>
        <v>0.68600000000000005</v>
      </c>
      <c r="E5" s="37">
        <f t="shared" si="3"/>
        <v>0.20600000000000002</v>
      </c>
      <c r="F5" s="37">
        <f t="shared" si="4"/>
        <v>4.1999999999999996E-2</v>
      </c>
      <c r="G5" s="37">
        <f t="shared" si="5"/>
        <v>6.8000000000000005E-2</v>
      </c>
      <c r="H5" s="37">
        <f t="shared" si="6"/>
        <v>0.13799999999999998</v>
      </c>
      <c r="I5" s="37">
        <f t="shared" si="7"/>
        <v>0.02</v>
      </c>
      <c r="J5" s="49"/>
      <c r="K5" s="37"/>
      <c r="M5" s="37"/>
      <c r="P5" s="23"/>
    </row>
    <row r="6" spans="1:16" x14ac:dyDescent="0.25">
      <c r="A6" s="15">
        <v>1949</v>
      </c>
      <c r="B6" s="37">
        <f t="shared" si="0"/>
        <v>0.38</v>
      </c>
      <c r="C6" s="37">
        <f t="shared" si="1"/>
        <v>1.7999999999999999E-2</v>
      </c>
      <c r="D6" s="37">
        <f t="shared" si="2"/>
        <v>0.68600000000000005</v>
      </c>
      <c r="E6" s="37">
        <f t="shared" si="3"/>
        <v>0.20600000000000002</v>
      </c>
      <c r="F6" s="37">
        <f t="shared" si="4"/>
        <v>4.1999999999999996E-2</v>
      </c>
      <c r="G6" s="37">
        <f t="shared" si="5"/>
        <v>6.8000000000000005E-2</v>
      </c>
      <c r="H6" s="37">
        <f t="shared" si="6"/>
        <v>0.13799999999999998</v>
      </c>
      <c r="I6" s="37">
        <f t="shared" si="7"/>
        <v>0.02</v>
      </c>
      <c r="J6" s="49"/>
      <c r="K6" s="37"/>
      <c r="M6" s="37"/>
      <c r="P6" s="23"/>
    </row>
    <row r="7" spans="1:16" x14ac:dyDescent="0.25">
      <c r="A7" s="15">
        <v>1950</v>
      </c>
      <c r="B7" s="37">
        <f t="shared" si="0"/>
        <v>0.38</v>
      </c>
      <c r="C7" s="37">
        <f t="shared" si="1"/>
        <v>1.7999999999999999E-2</v>
      </c>
      <c r="D7" s="37">
        <f t="shared" si="2"/>
        <v>0.68600000000000005</v>
      </c>
      <c r="E7" s="37">
        <f t="shared" si="3"/>
        <v>0.20600000000000002</v>
      </c>
      <c r="F7" s="37">
        <f t="shared" si="4"/>
        <v>4.1999999999999996E-2</v>
      </c>
      <c r="G7" s="37">
        <f t="shared" si="5"/>
        <v>6.8000000000000005E-2</v>
      </c>
      <c r="H7" s="37">
        <f t="shared" si="6"/>
        <v>0.13799999999999998</v>
      </c>
      <c r="I7" s="37">
        <f t="shared" si="7"/>
        <v>0.02</v>
      </c>
      <c r="J7" s="49"/>
      <c r="K7" s="37">
        <f>3.31/5</f>
        <v>0.66200000000000003</v>
      </c>
      <c r="L7" s="55">
        <f>K7*0.05*1000</f>
        <v>33.1</v>
      </c>
      <c r="M7" s="37">
        <f>0.5/5</f>
        <v>0.1</v>
      </c>
      <c r="N7" s="55">
        <f>M7/278*1000</f>
        <v>0.35971223021582732</v>
      </c>
      <c r="O7" s="22">
        <v>0</v>
      </c>
      <c r="P7" s="23"/>
    </row>
    <row r="8" spans="1:16" x14ac:dyDescent="0.25">
      <c r="A8" s="15">
        <v>1951</v>
      </c>
      <c r="B8" s="37">
        <f t="shared" si="0"/>
        <v>0.38</v>
      </c>
      <c r="C8" s="37">
        <f t="shared" si="1"/>
        <v>1.7999999999999999E-2</v>
      </c>
      <c r="D8" s="37">
        <f t="shared" si="2"/>
        <v>0.68600000000000005</v>
      </c>
      <c r="E8" s="37">
        <f t="shared" si="3"/>
        <v>0.20600000000000002</v>
      </c>
      <c r="F8" s="37">
        <f t="shared" si="4"/>
        <v>4.1999999999999996E-2</v>
      </c>
      <c r="G8" s="37">
        <f t="shared" si="5"/>
        <v>6.8000000000000005E-2</v>
      </c>
      <c r="H8" s="37">
        <f t="shared" si="6"/>
        <v>0.13799999999999998</v>
      </c>
      <c r="I8" s="37">
        <f t="shared" si="7"/>
        <v>0.02</v>
      </c>
      <c r="J8" s="49"/>
      <c r="K8" s="37"/>
      <c r="M8" s="37"/>
      <c r="P8" s="23"/>
    </row>
    <row r="9" spans="1:16" x14ac:dyDescent="0.25">
      <c r="A9" s="15">
        <v>1952</v>
      </c>
      <c r="B9" s="37">
        <f t="shared" si="0"/>
        <v>0.38</v>
      </c>
      <c r="C9" s="37">
        <f t="shared" si="1"/>
        <v>1.7999999999999999E-2</v>
      </c>
      <c r="D9" s="37">
        <f t="shared" si="2"/>
        <v>0.68600000000000005</v>
      </c>
      <c r="E9" s="37">
        <f t="shared" si="3"/>
        <v>0.20600000000000002</v>
      </c>
      <c r="F9" s="37">
        <f t="shared" si="4"/>
        <v>4.1999999999999996E-2</v>
      </c>
      <c r="G9" s="37">
        <f t="shared" si="5"/>
        <v>6.8000000000000005E-2</v>
      </c>
      <c r="H9" s="37">
        <f t="shared" si="6"/>
        <v>0.13799999999999998</v>
      </c>
      <c r="I9" s="37">
        <f t="shared" si="7"/>
        <v>0.02</v>
      </c>
      <c r="J9" s="49"/>
      <c r="K9" s="37"/>
      <c r="M9" s="37"/>
      <c r="P9" s="23"/>
    </row>
    <row r="10" spans="1:16" x14ac:dyDescent="0.25">
      <c r="A10" s="15">
        <v>1953</v>
      </c>
      <c r="B10" s="37">
        <f t="shared" si="0"/>
        <v>0.38</v>
      </c>
      <c r="C10" s="37">
        <f t="shared" si="1"/>
        <v>1.7999999999999999E-2</v>
      </c>
      <c r="D10" s="37">
        <f t="shared" si="2"/>
        <v>0.68600000000000005</v>
      </c>
      <c r="E10" s="37">
        <f t="shared" si="3"/>
        <v>0.20600000000000002</v>
      </c>
      <c r="F10" s="37">
        <f t="shared" si="4"/>
        <v>4.1999999999999996E-2</v>
      </c>
      <c r="G10" s="37">
        <f t="shared" si="5"/>
        <v>6.8000000000000005E-2</v>
      </c>
      <c r="H10" s="37">
        <f t="shared" si="6"/>
        <v>0.13799999999999998</v>
      </c>
      <c r="I10" s="37">
        <f t="shared" si="7"/>
        <v>0.02</v>
      </c>
      <c r="J10" s="49"/>
      <c r="K10" s="37"/>
      <c r="M10" s="37"/>
      <c r="P10" s="23"/>
    </row>
    <row r="11" spans="1:16" x14ac:dyDescent="0.25">
      <c r="A11" s="15">
        <v>1954</v>
      </c>
      <c r="B11" s="37">
        <f t="shared" si="0"/>
        <v>0.38</v>
      </c>
      <c r="C11" s="37">
        <v>1.7999999999999999E-2</v>
      </c>
      <c r="D11" s="37">
        <v>0.68600000000000005</v>
      </c>
      <c r="E11" s="37">
        <v>0.20600000000000002</v>
      </c>
      <c r="F11" s="37">
        <v>4.1999999999999996E-2</v>
      </c>
      <c r="G11" s="37">
        <v>6.8000000000000005E-2</v>
      </c>
      <c r="H11" s="37">
        <v>0.13799999999999998</v>
      </c>
      <c r="I11" s="37">
        <v>0.02</v>
      </c>
      <c r="J11" s="49"/>
      <c r="K11" s="37"/>
      <c r="M11" s="37"/>
      <c r="P11" s="23"/>
    </row>
    <row r="12" spans="1:16" x14ac:dyDescent="0.25">
      <c r="A12" s="15">
        <v>1955</v>
      </c>
      <c r="B12" s="37">
        <f t="shared" si="0"/>
        <v>0.38</v>
      </c>
      <c r="C12" s="37">
        <f t="shared" si="1"/>
        <v>1.7999999999999999E-2</v>
      </c>
      <c r="D12" s="37">
        <f t="shared" si="2"/>
        <v>0.68600000000000005</v>
      </c>
      <c r="E12" s="37">
        <f t="shared" si="3"/>
        <v>0.20600000000000002</v>
      </c>
      <c r="F12" s="37">
        <f t="shared" si="4"/>
        <v>4.1999999999999996E-2</v>
      </c>
      <c r="G12" s="37">
        <f t="shared" si="5"/>
        <v>6.8000000000000005E-2</v>
      </c>
      <c r="H12" s="37">
        <f t="shared" si="6"/>
        <v>0.13799999999999998</v>
      </c>
      <c r="I12" s="37">
        <f t="shared" si="7"/>
        <v>0.02</v>
      </c>
      <c r="J12" s="49"/>
      <c r="K12" s="37"/>
      <c r="M12" s="37"/>
      <c r="P12" s="23"/>
    </row>
    <row r="13" spans="1:16" x14ac:dyDescent="0.25">
      <c r="A13" s="15">
        <v>1956</v>
      </c>
      <c r="B13" s="37">
        <f t="shared" si="0"/>
        <v>0.38</v>
      </c>
      <c r="C13" s="37">
        <f t="shared" si="1"/>
        <v>1.7999999999999999E-2</v>
      </c>
      <c r="D13" s="37">
        <f t="shared" si="2"/>
        <v>0.68600000000000005</v>
      </c>
      <c r="E13" s="37">
        <f t="shared" si="3"/>
        <v>0.20600000000000002</v>
      </c>
      <c r="F13" s="37">
        <f t="shared" si="4"/>
        <v>4.1999999999999996E-2</v>
      </c>
      <c r="G13" s="37">
        <f t="shared" si="5"/>
        <v>6.8000000000000005E-2</v>
      </c>
      <c r="H13" s="37">
        <f t="shared" si="6"/>
        <v>0.13799999999999998</v>
      </c>
      <c r="I13" s="37">
        <f t="shared" si="7"/>
        <v>0.02</v>
      </c>
      <c r="J13" s="49"/>
      <c r="K13" s="37"/>
      <c r="M13" s="37"/>
      <c r="P13" s="23"/>
    </row>
    <row r="14" spans="1:16" x14ac:dyDescent="0.25">
      <c r="A14" s="15">
        <v>1957</v>
      </c>
      <c r="B14" s="37">
        <v>0.38</v>
      </c>
      <c r="C14" s="37">
        <v>1.7999999999999999E-2</v>
      </c>
      <c r="D14" s="37">
        <v>0.68600000000000005</v>
      </c>
      <c r="E14" s="37">
        <v>0.20600000000000002</v>
      </c>
      <c r="F14" s="37">
        <v>4.1999999999999996E-2</v>
      </c>
      <c r="G14" s="37">
        <v>6.8000000000000005E-2</v>
      </c>
      <c r="H14" s="37">
        <v>0.13799999999999998</v>
      </c>
      <c r="I14" s="37">
        <v>0.02</v>
      </c>
      <c r="J14" s="49"/>
      <c r="K14" s="37"/>
      <c r="M14" s="37"/>
      <c r="P14" s="23"/>
    </row>
    <row r="15" spans="1:16" x14ac:dyDescent="0.25">
      <c r="A15" s="15">
        <v>1958</v>
      </c>
      <c r="B15" s="37">
        <f t="shared" si="0"/>
        <v>0.38</v>
      </c>
      <c r="C15" s="37">
        <f t="shared" si="1"/>
        <v>1.7999999999999999E-2</v>
      </c>
      <c r="D15" s="37">
        <f t="shared" si="2"/>
        <v>0.68600000000000005</v>
      </c>
      <c r="E15" s="37">
        <f t="shared" si="3"/>
        <v>0.20600000000000002</v>
      </c>
      <c r="F15" s="37">
        <f t="shared" si="4"/>
        <v>4.1999999999999996E-2</v>
      </c>
      <c r="G15" s="37">
        <f t="shared" si="5"/>
        <v>6.8000000000000005E-2</v>
      </c>
      <c r="H15" s="37">
        <f t="shared" si="6"/>
        <v>0.13799999999999998</v>
      </c>
      <c r="I15" s="37">
        <f t="shared" si="7"/>
        <v>0.02</v>
      </c>
      <c r="J15" s="49"/>
      <c r="K15" s="37"/>
      <c r="M15" s="37"/>
      <c r="P15" s="23"/>
    </row>
    <row r="16" spans="1:16" x14ac:dyDescent="0.25">
      <c r="A16" s="15">
        <v>1959</v>
      </c>
      <c r="B16" s="37">
        <f t="shared" si="0"/>
        <v>0.38</v>
      </c>
      <c r="C16" s="37">
        <f t="shared" si="1"/>
        <v>1.7999999999999999E-2</v>
      </c>
      <c r="D16" s="37">
        <f t="shared" si="2"/>
        <v>0.68600000000000005</v>
      </c>
      <c r="E16" s="37">
        <f t="shared" si="3"/>
        <v>0.20600000000000002</v>
      </c>
      <c r="F16" s="37">
        <f t="shared" si="4"/>
        <v>4.1999999999999996E-2</v>
      </c>
      <c r="G16" s="37">
        <f t="shared" si="5"/>
        <v>6.8000000000000005E-2</v>
      </c>
      <c r="H16" s="37">
        <f t="shared" si="6"/>
        <v>0.13799999999999998</v>
      </c>
      <c r="I16" s="37">
        <f t="shared" si="7"/>
        <v>0.02</v>
      </c>
      <c r="J16" s="49"/>
      <c r="K16" s="37"/>
      <c r="M16" s="37"/>
      <c r="P16" s="23"/>
    </row>
    <row r="17" spans="1:16" x14ac:dyDescent="0.25">
      <c r="A17" s="15">
        <v>1960</v>
      </c>
      <c r="B17" s="37">
        <f t="shared" si="0"/>
        <v>0.38</v>
      </c>
      <c r="C17" s="37">
        <f t="shared" si="1"/>
        <v>1.7999999999999999E-2</v>
      </c>
      <c r="D17" s="37">
        <f t="shared" si="2"/>
        <v>0.68600000000000005</v>
      </c>
      <c r="E17" s="37">
        <f t="shared" si="3"/>
        <v>0.20600000000000002</v>
      </c>
      <c r="F17" s="37">
        <f t="shared" si="4"/>
        <v>4.1999999999999996E-2</v>
      </c>
      <c r="G17" s="37">
        <f t="shared" si="5"/>
        <v>6.8000000000000005E-2</v>
      </c>
      <c r="H17" s="37">
        <f t="shared" si="6"/>
        <v>0.13799999999999998</v>
      </c>
      <c r="I17" s="37">
        <f t="shared" si="7"/>
        <v>0.02</v>
      </c>
      <c r="J17" s="49"/>
      <c r="K17" s="37">
        <f>2.85/5</f>
        <v>0.57000000000000006</v>
      </c>
      <c r="L17" s="55">
        <f>K17*0.05*1000</f>
        <v>28.500000000000004</v>
      </c>
      <c r="M17" s="37">
        <f>0.6/5</f>
        <v>0.12</v>
      </c>
      <c r="N17" s="55">
        <f>M17/278*1000</f>
        <v>0.43165467625899279</v>
      </c>
      <c r="O17" s="22">
        <v>0</v>
      </c>
      <c r="P17" s="23"/>
    </row>
    <row r="18" spans="1:16" x14ac:dyDescent="0.25">
      <c r="A18" s="15">
        <v>1961</v>
      </c>
      <c r="B18" s="37">
        <f t="shared" si="0"/>
        <v>0.38</v>
      </c>
      <c r="C18" s="37">
        <f t="shared" si="1"/>
        <v>1.7999999999999999E-2</v>
      </c>
      <c r="D18" s="37">
        <f t="shared" si="2"/>
        <v>0.68600000000000005</v>
      </c>
      <c r="E18" s="37">
        <f t="shared" si="3"/>
        <v>0.20600000000000002</v>
      </c>
      <c r="F18" s="37">
        <f t="shared" si="4"/>
        <v>4.1999999999999996E-2</v>
      </c>
      <c r="G18" s="37">
        <f t="shared" si="5"/>
        <v>6.8000000000000005E-2</v>
      </c>
      <c r="H18" s="37">
        <f t="shared" si="6"/>
        <v>0.13799999999999998</v>
      </c>
      <c r="I18" s="37">
        <f t="shared" si="7"/>
        <v>0.02</v>
      </c>
      <c r="J18" s="49"/>
      <c r="K18" s="37"/>
      <c r="M18" s="37"/>
      <c r="P18" s="23"/>
    </row>
    <row r="19" spans="1:16" x14ac:dyDescent="0.25">
      <c r="A19" s="15">
        <v>1962</v>
      </c>
      <c r="B19" s="37">
        <f t="shared" si="0"/>
        <v>0.38</v>
      </c>
      <c r="C19" s="37">
        <f t="shared" si="1"/>
        <v>1.7999999999999999E-2</v>
      </c>
      <c r="D19" s="37">
        <f t="shared" si="2"/>
        <v>0.68600000000000005</v>
      </c>
      <c r="E19" s="37">
        <f t="shared" si="3"/>
        <v>0.20600000000000002</v>
      </c>
      <c r="F19" s="37">
        <f t="shared" si="4"/>
        <v>4.1999999999999996E-2</v>
      </c>
      <c r="G19" s="37">
        <f t="shared" si="5"/>
        <v>6.8000000000000005E-2</v>
      </c>
      <c r="H19" s="37">
        <f t="shared" si="6"/>
        <v>0.13799999999999998</v>
      </c>
      <c r="I19" s="37">
        <f t="shared" si="7"/>
        <v>0.02</v>
      </c>
      <c r="J19" s="49"/>
      <c r="K19" s="37"/>
      <c r="M19" s="37"/>
      <c r="P19" s="23"/>
    </row>
    <row r="20" spans="1:16" x14ac:dyDescent="0.25">
      <c r="A20" s="15">
        <v>1963</v>
      </c>
      <c r="B20" s="37">
        <f t="shared" si="0"/>
        <v>0.38</v>
      </c>
      <c r="C20" s="37">
        <f t="shared" si="1"/>
        <v>1.7999999999999999E-2</v>
      </c>
      <c r="D20" s="37">
        <f t="shared" si="2"/>
        <v>0.68600000000000005</v>
      </c>
      <c r="E20" s="37">
        <f t="shared" si="3"/>
        <v>0.20600000000000002</v>
      </c>
      <c r="F20" s="37">
        <f t="shared" si="4"/>
        <v>4.1999999999999996E-2</v>
      </c>
      <c r="G20" s="37">
        <f t="shared" si="5"/>
        <v>6.8000000000000005E-2</v>
      </c>
      <c r="H20" s="37">
        <f t="shared" si="6"/>
        <v>0.13799999999999998</v>
      </c>
      <c r="I20" s="37">
        <f t="shared" si="7"/>
        <v>0.02</v>
      </c>
      <c r="J20" s="49"/>
      <c r="K20" s="37"/>
      <c r="M20" s="37"/>
      <c r="P20" s="23"/>
    </row>
    <row r="21" spans="1:16" x14ac:dyDescent="0.25">
      <c r="A21" s="15">
        <v>1964</v>
      </c>
      <c r="B21" s="37">
        <f t="shared" si="0"/>
        <v>0.38</v>
      </c>
      <c r="C21" s="37">
        <f t="shared" si="1"/>
        <v>1.7999999999999999E-2</v>
      </c>
      <c r="D21" s="37">
        <f t="shared" si="2"/>
        <v>0.68600000000000005</v>
      </c>
      <c r="E21" s="37">
        <f t="shared" si="3"/>
        <v>0.20600000000000002</v>
      </c>
      <c r="F21" s="37">
        <f t="shared" si="4"/>
        <v>4.1999999999999996E-2</v>
      </c>
      <c r="G21" s="37">
        <f t="shared" si="5"/>
        <v>6.8000000000000005E-2</v>
      </c>
      <c r="H21" s="37">
        <f t="shared" si="6"/>
        <v>0.13799999999999998</v>
      </c>
      <c r="I21" s="37">
        <f t="shared" si="7"/>
        <v>0.02</v>
      </c>
      <c r="J21" s="49"/>
      <c r="K21" s="37"/>
      <c r="M21" s="37"/>
      <c r="P21" s="23"/>
    </row>
    <row r="22" spans="1:16" x14ac:dyDescent="0.25">
      <c r="A22" s="15">
        <v>1965</v>
      </c>
      <c r="B22" s="37">
        <f t="shared" si="0"/>
        <v>0.38</v>
      </c>
      <c r="C22" s="37">
        <f t="shared" si="1"/>
        <v>1.7999999999999999E-2</v>
      </c>
      <c r="D22" s="37">
        <f t="shared" si="2"/>
        <v>0.68600000000000005</v>
      </c>
      <c r="E22" s="37">
        <f t="shared" si="3"/>
        <v>0.20600000000000002</v>
      </c>
      <c r="F22" s="37">
        <f t="shared" si="4"/>
        <v>4.1999999999999996E-2</v>
      </c>
      <c r="G22" s="37">
        <f t="shared" si="5"/>
        <v>6.8000000000000005E-2</v>
      </c>
      <c r="H22" s="37">
        <f t="shared" si="6"/>
        <v>0.13799999999999998</v>
      </c>
      <c r="I22" s="37">
        <f t="shared" si="7"/>
        <v>0.02</v>
      </c>
      <c r="J22" s="49"/>
      <c r="K22" s="37"/>
      <c r="M22" s="37"/>
      <c r="P22" s="23"/>
    </row>
    <row r="23" spans="1:16" x14ac:dyDescent="0.25">
      <c r="A23" s="15">
        <v>1966</v>
      </c>
      <c r="B23" s="37">
        <f t="shared" si="0"/>
        <v>0.38</v>
      </c>
      <c r="C23" s="37">
        <f t="shared" si="1"/>
        <v>1.7999999999999999E-2</v>
      </c>
      <c r="D23" s="37">
        <f t="shared" si="2"/>
        <v>0.68600000000000005</v>
      </c>
      <c r="E23" s="37">
        <f t="shared" si="3"/>
        <v>0.20600000000000002</v>
      </c>
      <c r="F23" s="37">
        <f>0.07/5</f>
        <v>1.4000000000000002E-2</v>
      </c>
      <c r="G23" s="37">
        <f t="shared" si="5"/>
        <v>6.8000000000000005E-2</v>
      </c>
      <c r="H23" s="37">
        <f t="shared" si="6"/>
        <v>0.13799999999999998</v>
      </c>
      <c r="I23" s="37">
        <f t="shared" si="7"/>
        <v>0.02</v>
      </c>
      <c r="J23" s="49"/>
      <c r="K23" s="37"/>
      <c r="M23" s="37"/>
      <c r="P23" s="23"/>
    </row>
    <row r="24" spans="1:16" x14ac:dyDescent="0.25">
      <c r="A24" s="15">
        <v>1967</v>
      </c>
      <c r="B24" s="37">
        <f t="shared" si="0"/>
        <v>0.38</v>
      </c>
      <c r="C24" s="37">
        <f t="shared" si="1"/>
        <v>1.7999999999999999E-2</v>
      </c>
      <c r="D24" s="37">
        <f t="shared" si="2"/>
        <v>0.68600000000000005</v>
      </c>
      <c r="E24" s="37">
        <f t="shared" si="3"/>
        <v>0.20600000000000002</v>
      </c>
      <c r="F24" s="37">
        <f t="shared" ref="F24:F28" si="8">0.07/5</f>
        <v>1.4000000000000002E-2</v>
      </c>
      <c r="G24" s="37">
        <f t="shared" si="5"/>
        <v>6.8000000000000005E-2</v>
      </c>
      <c r="H24" s="37">
        <f t="shared" si="6"/>
        <v>0.13799999999999998</v>
      </c>
      <c r="I24" s="37">
        <f t="shared" si="7"/>
        <v>0.02</v>
      </c>
      <c r="J24" s="49"/>
      <c r="K24" s="37"/>
      <c r="M24" s="37"/>
      <c r="P24" s="23"/>
    </row>
    <row r="25" spans="1:16" x14ac:dyDescent="0.25">
      <c r="A25" s="15">
        <v>1968</v>
      </c>
      <c r="B25" s="37">
        <f t="shared" si="0"/>
        <v>0.38</v>
      </c>
      <c r="C25" s="37">
        <f t="shared" si="1"/>
        <v>1.7999999999999999E-2</v>
      </c>
      <c r="D25" s="37">
        <f t="shared" si="2"/>
        <v>0.68600000000000005</v>
      </c>
      <c r="E25" s="37">
        <f t="shared" si="3"/>
        <v>0.20600000000000002</v>
      </c>
      <c r="F25" s="37">
        <f t="shared" si="8"/>
        <v>1.4000000000000002E-2</v>
      </c>
      <c r="G25" s="37">
        <f t="shared" si="5"/>
        <v>6.8000000000000005E-2</v>
      </c>
      <c r="H25" s="37">
        <f t="shared" si="6"/>
        <v>0.13799999999999998</v>
      </c>
      <c r="I25" s="37">
        <f t="shared" si="7"/>
        <v>0.02</v>
      </c>
      <c r="J25" s="49"/>
      <c r="K25" s="37"/>
      <c r="M25" s="37"/>
      <c r="P25" s="23"/>
    </row>
    <row r="26" spans="1:16" x14ac:dyDescent="0.25">
      <c r="A26" s="15">
        <v>1969</v>
      </c>
      <c r="B26" s="37">
        <f t="shared" si="0"/>
        <v>0.38</v>
      </c>
      <c r="C26" s="37">
        <f t="shared" si="1"/>
        <v>1.7999999999999999E-2</v>
      </c>
      <c r="D26" s="37">
        <f t="shared" si="2"/>
        <v>0.68600000000000005</v>
      </c>
      <c r="E26" s="37">
        <f t="shared" si="3"/>
        <v>0.20600000000000002</v>
      </c>
      <c r="F26" s="37">
        <f t="shared" si="8"/>
        <v>1.4000000000000002E-2</v>
      </c>
      <c r="G26" s="37">
        <f t="shared" si="5"/>
        <v>6.8000000000000005E-2</v>
      </c>
      <c r="H26" s="37">
        <f t="shared" si="6"/>
        <v>0.13799999999999998</v>
      </c>
      <c r="I26" s="37">
        <f t="shared" si="7"/>
        <v>0.02</v>
      </c>
      <c r="J26" s="49"/>
      <c r="K26" s="37"/>
      <c r="M26" s="37"/>
      <c r="P26" s="23"/>
    </row>
    <row r="27" spans="1:16" x14ac:dyDescent="0.25">
      <c r="A27" s="15">
        <v>1970</v>
      </c>
      <c r="B27" s="37">
        <f t="shared" si="0"/>
        <v>0.38</v>
      </c>
      <c r="C27" s="37">
        <f t="shared" si="1"/>
        <v>1.7999999999999999E-2</v>
      </c>
      <c r="D27" s="37">
        <f t="shared" si="2"/>
        <v>0.68600000000000005</v>
      </c>
      <c r="E27" s="37">
        <f t="shared" si="3"/>
        <v>0.20600000000000002</v>
      </c>
      <c r="F27" s="37">
        <f t="shared" si="8"/>
        <v>1.4000000000000002E-2</v>
      </c>
      <c r="G27" s="37">
        <f t="shared" si="5"/>
        <v>6.8000000000000005E-2</v>
      </c>
      <c r="H27" s="37">
        <f t="shared" si="6"/>
        <v>0.13799999999999998</v>
      </c>
      <c r="I27" s="37">
        <f t="shared" si="7"/>
        <v>0.02</v>
      </c>
      <c r="J27" s="49"/>
      <c r="K27" s="37">
        <f>2.11/5</f>
        <v>0.42199999999999999</v>
      </c>
      <c r="L27" s="55">
        <f>K27*0.05*1000</f>
        <v>21.1</v>
      </c>
      <c r="M27" s="37">
        <f>1/5</f>
        <v>0.2</v>
      </c>
      <c r="N27" s="55">
        <f>M27/278*1000</f>
        <v>0.71942446043165464</v>
      </c>
      <c r="O27" s="21">
        <v>2.1743999999999999</v>
      </c>
      <c r="P27" s="23"/>
    </row>
    <row r="28" spans="1:16" x14ac:dyDescent="0.25">
      <c r="A28" s="15">
        <v>1971</v>
      </c>
      <c r="B28" s="37">
        <f t="shared" si="0"/>
        <v>0.38</v>
      </c>
      <c r="C28" s="37">
        <f t="shared" si="1"/>
        <v>1.7999999999999999E-2</v>
      </c>
      <c r="D28" s="37">
        <f t="shared" si="2"/>
        <v>0.68600000000000005</v>
      </c>
      <c r="E28" s="37">
        <f t="shared" si="3"/>
        <v>0.20600000000000002</v>
      </c>
      <c r="F28" s="37">
        <f t="shared" si="8"/>
        <v>1.4000000000000002E-2</v>
      </c>
      <c r="G28" s="37">
        <f t="shared" si="5"/>
        <v>6.8000000000000005E-2</v>
      </c>
      <c r="H28" s="37">
        <f t="shared" si="6"/>
        <v>0.13799999999999998</v>
      </c>
      <c r="I28" s="37">
        <f t="shared" si="7"/>
        <v>0.02</v>
      </c>
      <c r="J28" s="49"/>
      <c r="K28" s="37"/>
      <c r="M28" s="37"/>
      <c r="P28" s="23"/>
    </row>
    <row r="29" spans="1:16" x14ac:dyDescent="0.25">
      <c r="A29" s="15">
        <v>1972</v>
      </c>
      <c r="B29" s="37">
        <v>0.38</v>
      </c>
      <c r="C29" s="37">
        <v>1.7999999999999999E-2</v>
      </c>
      <c r="D29" s="37">
        <v>0.68600000000000005</v>
      </c>
      <c r="E29" s="37">
        <v>0.20600000000000002</v>
      </c>
      <c r="F29" s="37">
        <v>1.4000000000000002E-2</v>
      </c>
      <c r="G29" s="37">
        <v>6.8000000000000005E-2</v>
      </c>
      <c r="H29" s="37">
        <v>0.13799999999999998</v>
      </c>
      <c r="I29" s="37">
        <v>0.02</v>
      </c>
      <c r="J29" s="49"/>
      <c r="K29" s="37"/>
      <c r="M29" s="37"/>
      <c r="P29" s="23"/>
    </row>
    <row r="30" spans="1:16" x14ac:dyDescent="0.25">
      <c r="A30" s="15">
        <v>1973</v>
      </c>
      <c r="B30" s="23"/>
      <c r="C30" s="23"/>
      <c r="D30" s="23"/>
      <c r="E30" s="23"/>
      <c r="F30" s="23"/>
      <c r="G30" s="23"/>
      <c r="H30" s="23"/>
      <c r="I30" s="23"/>
      <c r="J30" s="49"/>
      <c r="K30" s="37"/>
      <c r="M30" s="37"/>
      <c r="P30" s="23"/>
    </row>
    <row r="31" spans="1:16" x14ac:dyDescent="0.25">
      <c r="A31" s="15">
        <v>1974</v>
      </c>
      <c r="B31" s="23"/>
      <c r="C31" s="23"/>
      <c r="D31" s="23"/>
      <c r="E31" s="23"/>
      <c r="F31" s="23"/>
      <c r="G31" s="23"/>
      <c r="H31" s="23"/>
      <c r="I31" s="23"/>
      <c r="J31" s="49"/>
      <c r="K31" s="37"/>
      <c r="M31" s="37"/>
      <c r="P31" s="23"/>
    </row>
    <row r="32" spans="1:16" x14ac:dyDescent="0.25">
      <c r="A32" s="15">
        <v>1975</v>
      </c>
      <c r="J32" s="49"/>
      <c r="K32" s="37">
        <f>1.81/5</f>
        <v>0.36199999999999999</v>
      </c>
      <c r="L32" s="55">
        <f>K32*0.05*1000</f>
        <v>18.100000000000001</v>
      </c>
      <c r="M32" s="37">
        <f>1/5</f>
        <v>0.2</v>
      </c>
      <c r="N32" s="55">
        <f>M32/278*1000</f>
        <v>0.71942446043165464</v>
      </c>
      <c r="P32" s="23"/>
    </row>
    <row r="33" spans="1:16" x14ac:dyDescent="0.25">
      <c r="A33" s="15">
        <v>1976</v>
      </c>
      <c r="B33" s="23"/>
      <c r="C33" s="23"/>
      <c r="D33" s="23"/>
      <c r="E33" s="23"/>
      <c r="F33" s="23"/>
      <c r="G33" s="23"/>
      <c r="H33" s="23"/>
      <c r="I33" s="23"/>
      <c r="J33" s="49"/>
      <c r="K33" s="37"/>
      <c r="M33" s="37"/>
      <c r="P33" s="23"/>
    </row>
    <row r="34" spans="1:16" x14ac:dyDescent="0.25">
      <c r="A34" s="15">
        <v>1977</v>
      </c>
      <c r="B34" s="23"/>
      <c r="C34" s="23"/>
      <c r="D34" s="23"/>
      <c r="E34" s="23"/>
      <c r="F34" s="23"/>
      <c r="G34" s="23"/>
      <c r="H34" s="23"/>
      <c r="I34" s="23"/>
      <c r="J34" s="49"/>
      <c r="K34" s="37"/>
      <c r="L34" s="55"/>
      <c r="M34" s="37"/>
      <c r="N34" s="55"/>
      <c r="P34" s="23"/>
    </row>
    <row r="35" spans="1:16" x14ac:dyDescent="0.25">
      <c r="A35" s="15">
        <v>1978</v>
      </c>
      <c r="B35" s="23"/>
      <c r="C35" s="23"/>
      <c r="D35" s="23"/>
      <c r="E35" s="23"/>
      <c r="F35" s="23"/>
      <c r="G35" s="23"/>
      <c r="H35" s="23"/>
      <c r="I35" s="23"/>
      <c r="J35" s="49"/>
      <c r="P35" s="23"/>
    </row>
    <row r="36" spans="1:16" x14ac:dyDescent="0.25">
      <c r="A36" s="15">
        <v>1979</v>
      </c>
      <c r="B36" s="23"/>
      <c r="C36" s="23"/>
      <c r="D36" s="23"/>
      <c r="E36" s="23"/>
      <c r="F36" s="23"/>
      <c r="G36" s="23"/>
      <c r="H36" s="23"/>
      <c r="I36" s="23"/>
      <c r="J36" s="49"/>
      <c r="P36" s="23"/>
    </row>
    <row r="37" spans="1:16" x14ac:dyDescent="0.25">
      <c r="A37" s="15">
        <v>1980</v>
      </c>
      <c r="B37" s="23"/>
      <c r="C37" s="23"/>
      <c r="D37" s="23"/>
      <c r="E37" s="23"/>
      <c r="F37" s="23"/>
      <c r="G37" s="23"/>
      <c r="H37" s="23"/>
      <c r="I37" s="23"/>
      <c r="J37" s="49"/>
      <c r="P37" s="23"/>
    </row>
    <row r="38" spans="1:16" x14ac:dyDescent="0.25">
      <c r="A38" s="15">
        <v>1981</v>
      </c>
      <c r="B38" s="23"/>
      <c r="C38" s="23"/>
      <c r="D38" s="23"/>
      <c r="E38" s="23"/>
      <c r="F38" s="23"/>
      <c r="G38" s="23"/>
      <c r="H38" s="23"/>
      <c r="I38" s="23"/>
      <c r="J38" s="49"/>
      <c r="O38" s="21">
        <v>4.7478000000000007</v>
      </c>
      <c r="P38" s="23"/>
    </row>
    <row r="39" spans="1:16" x14ac:dyDescent="0.25">
      <c r="A39" s="15">
        <v>1982</v>
      </c>
      <c r="B39" s="23"/>
      <c r="C39" s="23"/>
      <c r="D39" s="23"/>
      <c r="E39" s="23"/>
      <c r="F39" s="23"/>
      <c r="G39" s="23"/>
      <c r="H39" s="23"/>
      <c r="I39" s="23"/>
      <c r="J39" s="49"/>
      <c r="P39" s="23"/>
    </row>
    <row r="40" spans="1:16" x14ac:dyDescent="0.25">
      <c r="A40" s="15">
        <v>1983</v>
      </c>
      <c r="B40" s="23"/>
      <c r="C40" s="23"/>
      <c r="D40" s="23"/>
      <c r="E40" s="23"/>
      <c r="F40" s="23"/>
      <c r="G40" s="23"/>
      <c r="H40" s="23"/>
      <c r="I40" s="23"/>
      <c r="J40" s="49"/>
      <c r="P40" s="23"/>
    </row>
    <row r="41" spans="1:16" x14ac:dyDescent="0.25">
      <c r="A41" s="15">
        <v>1984</v>
      </c>
      <c r="B41" s="23"/>
      <c r="C41" s="23"/>
      <c r="D41" s="23"/>
      <c r="E41" s="23"/>
      <c r="F41" s="23"/>
      <c r="G41" s="23"/>
      <c r="H41" s="23"/>
      <c r="I41" s="23"/>
      <c r="J41" s="49"/>
      <c r="P41" s="23"/>
    </row>
    <row r="42" spans="1:16" x14ac:dyDescent="0.25">
      <c r="A42" s="15">
        <v>1985</v>
      </c>
      <c r="B42" s="37"/>
      <c r="C42" s="37"/>
      <c r="D42" s="37"/>
      <c r="E42" s="37"/>
      <c r="F42" s="37"/>
      <c r="G42" s="37"/>
      <c r="H42" s="37"/>
      <c r="I42" s="37"/>
      <c r="J42" s="49"/>
      <c r="P42" s="23"/>
    </row>
    <row r="43" spans="1:16" x14ac:dyDescent="0.25">
      <c r="A43" s="15">
        <v>1986</v>
      </c>
      <c r="B43" s="23"/>
      <c r="C43" s="23"/>
      <c r="D43" s="23"/>
      <c r="E43" s="23"/>
      <c r="F43" s="23"/>
      <c r="G43" s="23"/>
      <c r="H43" s="23"/>
      <c r="I43" s="23"/>
      <c r="J43" s="49"/>
      <c r="P43" s="23"/>
    </row>
    <row r="44" spans="1:16" x14ac:dyDescent="0.25">
      <c r="A44" s="15">
        <v>1987</v>
      </c>
      <c r="J44" s="49"/>
      <c r="P44" s="23"/>
    </row>
    <row r="45" spans="1:16" x14ac:dyDescent="0.25">
      <c r="A45" s="15">
        <v>1988</v>
      </c>
      <c r="J45" s="49"/>
    </row>
    <row r="46" spans="1:16" x14ac:dyDescent="0.25">
      <c r="A46" s="15">
        <v>1989</v>
      </c>
      <c r="B46" s="23"/>
      <c r="C46" s="23"/>
      <c r="D46" s="23"/>
      <c r="E46" s="23"/>
      <c r="F46" s="23"/>
      <c r="G46" s="23"/>
      <c r="H46" s="23"/>
      <c r="I46" s="23"/>
      <c r="J46" s="49"/>
    </row>
    <row r="47" spans="1:16" x14ac:dyDescent="0.25">
      <c r="A47" s="15">
        <v>1990</v>
      </c>
      <c r="B47" s="23"/>
      <c r="C47" s="23"/>
      <c r="D47" s="23"/>
      <c r="E47" s="23"/>
      <c r="F47" s="23"/>
      <c r="G47" s="23"/>
      <c r="H47" s="23"/>
      <c r="I47" s="23"/>
      <c r="J47" s="49"/>
    </row>
    <row r="48" spans="1:16" x14ac:dyDescent="0.25">
      <c r="A48" s="15">
        <v>1991</v>
      </c>
      <c r="B48" s="23"/>
      <c r="C48" s="23"/>
      <c r="D48" s="23"/>
      <c r="E48" s="23"/>
      <c r="F48" s="23"/>
      <c r="G48" s="23"/>
      <c r="H48" s="23"/>
      <c r="I48" s="23"/>
      <c r="J48" s="50"/>
    </row>
    <row r="49" spans="1:10" x14ac:dyDescent="0.25">
      <c r="A49" s="15">
        <v>1992</v>
      </c>
      <c r="B49" s="23"/>
      <c r="C49" s="23"/>
      <c r="D49" s="23"/>
      <c r="E49" s="23"/>
      <c r="F49" s="23"/>
      <c r="G49" s="23"/>
      <c r="H49" s="23"/>
      <c r="I49" s="23"/>
      <c r="J49" s="48"/>
    </row>
    <row r="50" spans="1:10" x14ac:dyDescent="0.25">
      <c r="A50" s="15">
        <v>1993</v>
      </c>
      <c r="B50" s="23"/>
      <c r="C50" s="23"/>
      <c r="D50" s="23"/>
      <c r="E50" s="23"/>
      <c r="F50" s="23"/>
      <c r="G50" s="23"/>
      <c r="H50" s="23"/>
      <c r="I50" s="23"/>
      <c r="J50" s="48"/>
    </row>
    <row r="51" spans="1:10" x14ac:dyDescent="0.25">
      <c r="A51" s="15">
        <v>1994</v>
      </c>
      <c r="B51" s="23"/>
      <c r="C51" s="23"/>
      <c r="D51" s="23"/>
      <c r="E51" s="23"/>
      <c r="F51" s="23"/>
      <c r="G51" s="23"/>
      <c r="H51" s="23"/>
      <c r="I51" s="23"/>
      <c r="J51" s="48"/>
    </row>
    <row r="52" spans="1:10" x14ac:dyDescent="0.25">
      <c r="A52" s="15">
        <v>1995</v>
      </c>
      <c r="B52" s="23"/>
      <c r="C52" s="23"/>
      <c r="D52" s="23"/>
      <c r="E52" s="23"/>
      <c r="F52" s="23"/>
      <c r="G52" s="23"/>
      <c r="H52" s="23"/>
      <c r="I52" s="23"/>
      <c r="J52" s="48"/>
    </row>
    <row r="53" spans="1:10" x14ac:dyDescent="0.25">
      <c r="A53" s="15">
        <v>1996</v>
      </c>
      <c r="B53" s="23"/>
      <c r="C53" s="23"/>
      <c r="D53" s="23"/>
      <c r="E53" s="23"/>
      <c r="F53" s="23"/>
      <c r="G53" s="23"/>
      <c r="H53" s="23"/>
      <c r="I53" s="23"/>
      <c r="J53" s="48"/>
    </row>
    <row r="54" spans="1:10" x14ac:dyDescent="0.25">
      <c r="A54" s="15">
        <v>1997</v>
      </c>
      <c r="B54" s="23"/>
      <c r="C54" s="23"/>
      <c r="D54" s="23"/>
      <c r="E54" s="23"/>
      <c r="F54" s="23"/>
      <c r="G54" s="23"/>
      <c r="H54" s="23"/>
      <c r="I54" s="23"/>
      <c r="J54" s="51"/>
    </row>
    <row r="55" spans="1:10" x14ac:dyDescent="0.25">
      <c r="A55" s="15">
        <v>1998</v>
      </c>
      <c r="B55" s="23"/>
      <c r="C55" s="23"/>
      <c r="D55" s="23"/>
      <c r="E55" s="23"/>
      <c r="F55" s="23"/>
      <c r="G55" s="23"/>
      <c r="H55" s="23"/>
      <c r="I55" s="23"/>
      <c r="J55" s="51"/>
    </row>
    <row r="56" spans="1:10" x14ac:dyDescent="0.25">
      <c r="A56" s="15">
        <v>1999</v>
      </c>
      <c r="B56" s="23"/>
      <c r="C56" s="23"/>
      <c r="D56" s="23"/>
      <c r="E56" s="23"/>
      <c r="F56" s="23"/>
      <c r="G56" s="23"/>
      <c r="H56" s="23"/>
      <c r="I56" s="23"/>
      <c r="J56" s="51"/>
    </row>
    <row r="57" spans="1:10" x14ac:dyDescent="0.25">
      <c r="A57" s="15">
        <v>2000</v>
      </c>
      <c r="B57" s="23"/>
      <c r="C57" s="23"/>
      <c r="D57" s="23"/>
      <c r="E57" s="23"/>
      <c r="F57" s="23"/>
      <c r="G57" s="23"/>
      <c r="H57" s="23"/>
      <c r="I57" s="23"/>
      <c r="J57" s="51"/>
    </row>
    <row r="58" spans="1:10" x14ac:dyDescent="0.25">
      <c r="A58" s="15">
        <v>2001</v>
      </c>
      <c r="B58" s="23"/>
      <c r="C58" s="23"/>
      <c r="D58" s="23"/>
      <c r="E58" s="23"/>
      <c r="F58" s="23"/>
      <c r="G58" s="23"/>
      <c r="H58" s="23"/>
      <c r="I58" s="23"/>
      <c r="J58" s="51"/>
    </row>
    <row r="59" spans="1:10" x14ac:dyDescent="0.25">
      <c r="A59" s="15">
        <v>2002</v>
      </c>
      <c r="B59" s="23"/>
      <c r="C59" s="23"/>
      <c r="D59" s="23"/>
      <c r="E59" s="23"/>
      <c r="F59" s="23"/>
      <c r="G59" s="23"/>
      <c r="H59" s="23"/>
      <c r="I59" s="23"/>
      <c r="J59" s="51"/>
    </row>
    <row r="60" spans="1:10" x14ac:dyDescent="0.25">
      <c r="A60" s="15">
        <v>2003</v>
      </c>
      <c r="B60" s="23"/>
      <c r="C60" s="23"/>
      <c r="D60" s="23"/>
      <c r="E60" s="23"/>
      <c r="F60" s="23"/>
      <c r="G60" s="23"/>
      <c r="H60" s="23"/>
      <c r="I60" s="23"/>
      <c r="J60" s="51"/>
    </row>
    <row r="61" spans="1:10" x14ac:dyDescent="0.25">
      <c r="A61" s="15">
        <v>2004</v>
      </c>
      <c r="B61" s="23"/>
      <c r="C61" s="23"/>
      <c r="D61" s="23"/>
      <c r="E61" s="23"/>
      <c r="F61" s="23"/>
      <c r="G61" s="23"/>
      <c r="H61" s="23"/>
      <c r="I61" s="23"/>
      <c r="J61" s="51"/>
    </row>
    <row r="62" spans="1:10" x14ac:dyDescent="0.25">
      <c r="A62" s="15">
        <v>2005</v>
      </c>
      <c r="B62" s="23"/>
      <c r="C62" s="23"/>
      <c r="D62" s="23"/>
      <c r="E62" s="23"/>
      <c r="F62" s="23"/>
      <c r="G62" s="23"/>
      <c r="H62" s="23"/>
      <c r="I62" s="23"/>
      <c r="J62" s="51"/>
    </row>
    <row r="63" spans="1:10" x14ac:dyDescent="0.25">
      <c r="A63" s="15">
        <v>2006</v>
      </c>
      <c r="B63" s="23"/>
      <c r="C63" s="23"/>
      <c r="D63" s="23"/>
      <c r="E63" s="23"/>
      <c r="F63" s="23"/>
      <c r="G63" s="23"/>
      <c r="H63" s="23"/>
      <c r="I63" s="23"/>
      <c r="J63" s="51"/>
    </row>
    <row r="64" spans="1:10" x14ac:dyDescent="0.25">
      <c r="A64" s="15">
        <v>2007</v>
      </c>
      <c r="B64" s="23"/>
      <c r="C64" s="23"/>
      <c r="D64" s="23"/>
      <c r="E64" s="23"/>
      <c r="F64" s="23"/>
      <c r="G64" s="23"/>
      <c r="H64" s="23"/>
      <c r="I64" s="23"/>
      <c r="J64" s="51"/>
    </row>
    <row r="65" spans="1:58" x14ac:dyDescent="0.25">
      <c r="A65" s="15">
        <v>2008</v>
      </c>
      <c r="B65" s="23"/>
      <c r="C65" s="23"/>
      <c r="D65" s="23"/>
      <c r="E65" s="23"/>
      <c r="F65" s="23"/>
      <c r="G65" s="23"/>
      <c r="H65" s="23"/>
      <c r="I65" s="23"/>
    </row>
    <row r="66" spans="1:58" x14ac:dyDescent="0.25">
      <c r="A66" s="15">
        <v>2009</v>
      </c>
    </row>
    <row r="67" spans="1:58" x14ac:dyDescent="0.25">
      <c r="A67" s="15">
        <v>2010</v>
      </c>
      <c r="B67" s="23"/>
      <c r="C67" s="23"/>
      <c r="D67" s="23"/>
      <c r="E67" s="23"/>
      <c r="F67" s="23"/>
      <c r="G67" s="23"/>
      <c r="H67" s="23"/>
      <c r="I67" s="36"/>
      <c r="J67" s="48"/>
    </row>
    <row r="68" spans="1:58" x14ac:dyDescent="0.25">
      <c r="A68" s="15">
        <v>2011</v>
      </c>
      <c r="J68" s="51"/>
    </row>
    <row r="69" spans="1:58" x14ac:dyDescent="0.25">
      <c r="A69" s="15">
        <v>2012</v>
      </c>
      <c r="B69" s="23"/>
      <c r="C69" s="23"/>
      <c r="D69" s="23"/>
      <c r="E69" s="23"/>
      <c r="F69" s="23"/>
      <c r="G69" s="23"/>
      <c r="H69" s="23"/>
      <c r="I69" s="23"/>
      <c r="J69" s="51"/>
    </row>
    <row r="70" spans="1:58" x14ac:dyDescent="0.25">
      <c r="A70" s="15">
        <v>2013</v>
      </c>
      <c r="B70" s="23"/>
      <c r="C70" s="23"/>
      <c r="D70" s="23"/>
      <c r="E70" s="23"/>
      <c r="F70" s="23"/>
      <c r="G70" s="23"/>
      <c r="H70" s="23"/>
      <c r="I70" s="23"/>
      <c r="J70" s="51"/>
    </row>
    <row r="71" spans="1:58" x14ac:dyDescent="0.25">
      <c r="A71" s="15">
        <v>2014</v>
      </c>
      <c r="B71" s="23"/>
      <c r="C71" s="23"/>
      <c r="D71" s="23"/>
      <c r="E71" s="23"/>
      <c r="F71" s="23"/>
      <c r="G71" s="23"/>
      <c r="H71" s="23"/>
      <c r="I71" s="23"/>
      <c r="J71" s="51"/>
    </row>
    <row r="72" spans="1:58" x14ac:dyDescent="0.25">
      <c r="A72" s="15">
        <v>2015</v>
      </c>
      <c r="B72" s="23"/>
      <c r="C72" s="23"/>
      <c r="D72" s="23"/>
      <c r="E72" s="23"/>
      <c r="F72" s="23"/>
      <c r="G72" s="23"/>
      <c r="H72" s="23"/>
      <c r="I72" s="23"/>
      <c r="J72" s="51"/>
    </row>
    <row r="73" spans="1:58" x14ac:dyDescent="0.25">
      <c r="A73" s="15">
        <v>2016</v>
      </c>
      <c r="B73" s="23"/>
      <c r="C73" s="23"/>
      <c r="D73" s="23"/>
      <c r="E73" s="23"/>
      <c r="F73" s="23"/>
      <c r="G73" s="23"/>
      <c r="H73" s="23"/>
      <c r="I73" s="23"/>
      <c r="J73" s="51"/>
    </row>
    <row r="74" spans="1:58" x14ac:dyDescent="0.25">
      <c r="A74" s="15">
        <v>2017</v>
      </c>
      <c r="B74" s="23"/>
      <c r="C74" s="23"/>
      <c r="D74" s="23"/>
      <c r="E74" s="23"/>
      <c r="F74" s="23"/>
      <c r="G74" s="23"/>
      <c r="H74" s="23"/>
      <c r="I74" s="23"/>
      <c r="J74" s="51"/>
    </row>
    <row r="75" spans="1:58" x14ac:dyDescent="0.25">
      <c r="A75" s="15">
        <v>2018</v>
      </c>
      <c r="B75" s="23"/>
      <c r="C75" s="23"/>
      <c r="D75" s="23"/>
      <c r="E75" s="23"/>
      <c r="F75" s="23"/>
      <c r="G75" s="23"/>
      <c r="H75" s="23"/>
      <c r="I75" s="23"/>
      <c r="J75" s="51"/>
    </row>
    <row r="76" spans="1:58" x14ac:dyDescent="0.25">
      <c r="A76" s="15">
        <v>2019</v>
      </c>
      <c r="B76" s="23"/>
      <c r="C76" s="23"/>
      <c r="D76" s="23"/>
      <c r="E76" s="23"/>
      <c r="F76" s="23"/>
      <c r="G76" s="23"/>
      <c r="H76" s="23"/>
      <c r="I76" s="36"/>
      <c r="J76" s="51"/>
    </row>
    <row r="77" spans="1:58" x14ac:dyDescent="0.25">
      <c r="A77" s="15">
        <v>2020</v>
      </c>
      <c r="B77" s="23"/>
      <c r="C77" s="23"/>
      <c r="D77" s="23"/>
      <c r="E77" s="23"/>
      <c r="F77" s="23"/>
      <c r="G77" s="23"/>
      <c r="H77" s="23"/>
      <c r="I77" s="23"/>
      <c r="J77" s="51"/>
    </row>
    <row r="78" spans="1:58" s="26" customFormat="1" x14ac:dyDescent="0.25">
      <c r="A78" s="25"/>
      <c r="B78" s="24"/>
      <c r="C78" s="24"/>
      <c r="D78" s="24"/>
      <c r="E78" s="24"/>
      <c r="F78" s="24"/>
      <c r="G78" s="24"/>
      <c r="H78" s="24"/>
      <c r="I78" s="24"/>
      <c r="J78" s="51"/>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row>
    <row r="79" spans="1:58" s="26" customFormat="1" x14ac:dyDescent="0.25">
      <c r="A79" s="25"/>
      <c r="B79" s="22"/>
      <c r="C79" s="22"/>
      <c r="D79" s="22"/>
      <c r="E79" s="22"/>
      <c r="F79" s="22"/>
      <c r="G79" s="22"/>
      <c r="H79" s="22"/>
      <c r="I79" s="22"/>
      <c r="J79" s="5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row>
    <row r="80" spans="1:58" s="26" customFormat="1" x14ac:dyDescent="0.25">
      <c r="A80" s="25"/>
      <c r="B80" s="22"/>
      <c r="C80" s="22"/>
      <c r="D80" s="22"/>
      <c r="E80" s="22"/>
      <c r="F80" s="22"/>
      <c r="G80" s="22"/>
      <c r="H80" s="22"/>
      <c r="I80" s="22"/>
      <c r="J80" s="5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row>
    <row r="87" spans="1:58" s="26" customFormat="1" x14ac:dyDescent="0.25">
      <c r="A87" s="25"/>
      <c r="B87" s="22"/>
      <c r="C87" s="22"/>
      <c r="D87" s="22"/>
      <c r="E87" s="22"/>
      <c r="F87" s="22"/>
      <c r="G87" s="22"/>
      <c r="H87" s="22"/>
      <c r="I87" s="22"/>
      <c r="J87" s="5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row>
    <row r="88" spans="1:58" s="26" customFormat="1" x14ac:dyDescent="0.25">
      <c r="A88" s="25"/>
      <c r="B88" s="22"/>
      <c r="C88" s="22"/>
      <c r="D88" s="22"/>
      <c r="E88" s="22"/>
      <c r="F88" s="22"/>
      <c r="G88" s="22"/>
      <c r="H88" s="22"/>
      <c r="I88" s="22"/>
      <c r="J88" s="5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3A8A3-A812-4831-9B9C-082F2B0CDB10}">
  <dimension ref="A1:BQ88"/>
  <sheetViews>
    <sheetView zoomScale="85" zoomScaleNormal="85" workbookViewId="0">
      <pane xSplit="1" ySplit="1" topLeftCell="F2" activePane="bottomRight" state="frozen"/>
      <selection pane="topRight" activeCell="B1" sqref="B1"/>
      <selection pane="bottomLeft" activeCell="A2" sqref="A2"/>
      <selection pane="bottomRight" activeCell="F14" sqref="F14"/>
    </sheetView>
  </sheetViews>
  <sheetFormatPr defaultColWidth="10.7109375" defaultRowHeight="15" x14ac:dyDescent="0.25"/>
  <cols>
    <col min="1" max="1" width="8" style="25" bestFit="1" customWidth="1"/>
    <col min="2" max="9" width="15.140625" style="22" customWidth="1"/>
    <col min="10" max="10" width="4.42578125" style="44" customWidth="1"/>
    <col min="11" max="14" width="14.140625" style="1" customWidth="1"/>
    <col min="15" max="15" width="12.7109375" style="22" customWidth="1"/>
    <col min="16" max="16384" width="10.7109375" style="22"/>
  </cols>
  <sheetData>
    <row r="1" spans="1:18" s="28" customFormat="1" ht="45" x14ac:dyDescent="0.25">
      <c r="A1" s="27" t="s">
        <v>0</v>
      </c>
      <c r="B1" s="20" t="s">
        <v>14</v>
      </c>
      <c r="C1" s="20" t="s">
        <v>15</v>
      </c>
      <c r="D1" s="20" t="s">
        <v>7</v>
      </c>
      <c r="E1" s="20" t="s">
        <v>16</v>
      </c>
      <c r="F1" s="20" t="s">
        <v>12</v>
      </c>
      <c r="G1" s="20" t="s">
        <v>5</v>
      </c>
      <c r="H1" s="20" t="s">
        <v>6</v>
      </c>
      <c r="I1" s="20" t="s">
        <v>8</v>
      </c>
      <c r="J1" s="41"/>
      <c r="K1" s="5" t="s">
        <v>22</v>
      </c>
      <c r="L1" s="5" t="s">
        <v>17</v>
      </c>
      <c r="M1" s="5" t="s">
        <v>23</v>
      </c>
      <c r="N1" s="5" t="s">
        <v>18</v>
      </c>
      <c r="O1" s="5" t="s">
        <v>19</v>
      </c>
    </row>
    <row r="2" spans="1:18" x14ac:dyDescent="0.25">
      <c r="A2" s="15">
        <v>1945</v>
      </c>
      <c r="B2" s="39">
        <f>6.17/15-C2</f>
        <v>5.8666666666666645E-2</v>
      </c>
      <c r="C2" s="39">
        <f>5.29/15</f>
        <v>0.35266666666666668</v>
      </c>
      <c r="D2" s="39">
        <f>8.12/15</f>
        <v>0.54133333333333333</v>
      </c>
      <c r="E2" s="39">
        <f>2.68/15</f>
        <v>0.17866666666666667</v>
      </c>
      <c r="F2" s="39">
        <f>0.24/15</f>
        <v>1.6E-2</v>
      </c>
      <c r="G2" s="40">
        <f>1.46/15</f>
        <v>9.7333333333333327E-2</v>
      </c>
      <c r="H2" s="1">
        <f>1.62/15</f>
        <v>0.10800000000000001</v>
      </c>
      <c r="I2" s="40">
        <f>0.41/15</f>
        <v>2.7333333333333331E-2</v>
      </c>
      <c r="J2" s="42"/>
      <c r="K2" s="32"/>
      <c r="L2" s="32"/>
      <c r="M2" s="32"/>
      <c r="N2" s="32"/>
    </row>
    <row r="3" spans="1:18" x14ac:dyDescent="0.25">
      <c r="A3" s="15">
        <v>1946</v>
      </c>
      <c r="B3" s="39">
        <f t="shared" ref="B3:B22" si="0">6.17/15-C3</f>
        <v>5.8666666666666645E-2</v>
      </c>
      <c r="C3" s="39">
        <f t="shared" ref="C3:C22" si="1">5.29/15</f>
        <v>0.35266666666666668</v>
      </c>
      <c r="D3" s="39">
        <f t="shared" ref="D3:D22" si="2">8.12/15</f>
        <v>0.54133333333333333</v>
      </c>
      <c r="E3" s="39">
        <f t="shared" ref="E3:E22" si="3">2.68/15</f>
        <v>0.17866666666666667</v>
      </c>
      <c r="F3" s="39">
        <f t="shared" ref="F3:F22" si="4">0.24/15</f>
        <v>1.6E-2</v>
      </c>
      <c r="G3" s="40">
        <f t="shared" ref="G3:G22" si="5">1.46/15</f>
        <v>9.7333333333333327E-2</v>
      </c>
      <c r="H3" s="1">
        <f t="shared" ref="H3:H22" si="6">1.62/15</f>
        <v>0.10800000000000001</v>
      </c>
      <c r="I3" s="40">
        <f t="shared" ref="I3:I22" si="7">0.41/15</f>
        <v>2.7333333333333331E-2</v>
      </c>
      <c r="J3" s="42"/>
      <c r="K3" s="32"/>
      <c r="L3" s="32"/>
      <c r="M3" s="32"/>
      <c r="N3" s="32"/>
    </row>
    <row r="4" spans="1:18" x14ac:dyDescent="0.25">
      <c r="A4" s="15">
        <v>1947</v>
      </c>
      <c r="B4" s="39">
        <f t="shared" si="0"/>
        <v>5.8666666666666645E-2</v>
      </c>
      <c r="C4" s="39">
        <f t="shared" si="1"/>
        <v>0.35266666666666668</v>
      </c>
      <c r="D4" s="39">
        <f t="shared" si="2"/>
        <v>0.54133333333333333</v>
      </c>
      <c r="E4" s="39">
        <f t="shared" si="3"/>
        <v>0.17866666666666667</v>
      </c>
      <c r="F4" s="39">
        <f t="shared" si="4"/>
        <v>1.6E-2</v>
      </c>
      <c r="G4" s="40">
        <f t="shared" si="5"/>
        <v>9.7333333333333327E-2</v>
      </c>
      <c r="H4" s="1">
        <f t="shared" si="6"/>
        <v>0.10800000000000001</v>
      </c>
      <c r="I4" s="40">
        <f t="shared" si="7"/>
        <v>2.7333333333333331E-2</v>
      </c>
      <c r="J4" s="42"/>
      <c r="K4" s="32">
        <f>19.39/15</f>
        <v>1.2926666666666666</v>
      </c>
      <c r="L4" s="55">
        <f>K4*0.05*1000</f>
        <v>64.63333333333334</v>
      </c>
      <c r="M4" s="32">
        <f>10.05/15</f>
        <v>0.67</v>
      </c>
      <c r="N4" s="55">
        <f>M4/278*1000</f>
        <v>2.4100719424460433</v>
      </c>
      <c r="O4" s="22">
        <v>0</v>
      </c>
      <c r="Q4" s="37"/>
      <c r="R4" s="37"/>
    </row>
    <row r="5" spans="1:18" x14ac:dyDescent="0.25">
      <c r="A5" s="15">
        <v>1948</v>
      </c>
      <c r="B5" s="39">
        <f t="shared" si="0"/>
        <v>5.8666666666666645E-2</v>
      </c>
      <c r="C5" s="39">
        <f t="shared" si="1"/>
        <v>0.35266666666666668</v>
      </c>
      <c r="D5" s="39">
        <f t="shared" si="2"/>
        <v>0.54133333333333333</v>
      </c>
      <c r="E5" s="39">
        <f t="shared" si="3"/>
        <v>0.17866666666666667</v>
      </c>
      <c r="F5" s="39">
        <f t="shared" si="4"/>
        <v>1.6E-2</v>
      </c>
      <c r="G5" s="40">
        <f t="shared" si="5"/>
        <v>9.7333333333333327E-2</v>
      </c>
      <c r="H5" s="1">
        <f t="shared" si="6"/>
        <v>0.10800000000000001</v>
      </c>
      <c r="I5" s="40">
        <f t="shared" si="7"/>
        <v>2.7333333333333331E-2</v>
      </c>
      <c r="J5" s="42"/>
      <c r="K5" s="32"/>
      <c r="L5" s="54"/>
      <c r="M5" s="32"/>
      <c r="N5" s="32"/>
      <c r="Q5" s="37"/>
      <c r="R5" s="37"/>
    </row>
    <row r="6" spans="1:18" x14ac:dyDescent="0.25">
      <c r="A6" s="15">
        <v>1949</v>
      </c>
      <c r="B6" s="39">
        <f t="shared" si="0"/>
        <v>5.8666666666666645E-2</v>
      </c>
      <c r="C6" s="39">
        <f t="shared" si="1"/>
        <v>0.35266666666666668</v>
      </c>
      <c r="D6" s="39">
        <f t="shared" si="2"/>
        <v>0.54133333333333333</v>
      </c>
      <c r="E6" s="39">
        <f t="shared" si="3"/>
        <v>0.17866666666666667</v>
      </c>
      <c r="F6" s="39">
        <f t="shared" si="4"/>
        <v>1.6E-2</v>
      </c>
      <c r="G6" s="40">
        <f t="shared" si="5"/>
        <v>9.7333333333333327E-2</v>
      </c>
      <c r="H6" s="1">
        <f t="shared" si="6"/>
        <v>0.10800000000000001</v>
      </c>
      <c r="I6" s="40">
        <f t="shared" si="7"/>
        <v>2.7333333333333331E-2</v>
      </c>
      <c r="J6" s="42"/>
      <c r="K6" s="32"/>
      <c r="L6" s="54"/>
      <c r="M6" s="32"/>
      <c r="N6" s="32"/>
      <c r="Q6" s="37"/>
      <c r="R6" s="37"/>
    </row>
    <row r="7" spans="1:18" x14ac:dyDescent="0.25">
      <c r="A7" s="15">
        <v>1950</v>
      </c>
      <c r="B7" s="39">
        <f t="shared" si="0"/>
        <v>5.8666666666666645E-2</v>
      </c>
      <c r="C7" s="39">
        <f t="shared" si="1"/>
        <v>0.35266666666666668</v>
      </c>
      <c r="D7" s="39">
        <f t="shared" si="2"/>
        <v>0.54133333333333333</v>
      </c>
      <c r="E7" s="39">
        <f t="shared" si="3"/>
        <v>0.17866666666666667</v>
      </c>
      <c r="F7" s="39">
        <f t="shared" si="4"/>
        <v>1.6E-2</v>
      </c>
      <c r="G7" s="40">
        <f t="shared" si="5"/>
        <v>9.7333333333333327E-2</v>
      </c>
      <c r="H7" s="1">
        <f t="shared" si="6"/>
        <v>0.10800000000000001</v>
      </c>
      <c r="I7" s="40">
        <f t="shared" si="7"/>
        <v>2.7333333333333331E-2</v>
      </c>
      <c r="J7" s="42"/>
      <c r="K7" s="32">
        <f>16.15/15</f>
        <v>1.0766666666666667</v>
      </c>
      <c r="L7" s="55">
        <f>K7*0.05*1000</f>
        <v>53.833333333333336</v>
      </c>
      <c r="M7" s="32">
        <f>7.5/15</f>
        <v>0.5</v>
      </c>
      <c r="N7" s="55">
        <f>M7/278*1000</f>
        <v>1.7985611510791368</v>
      </c>
      <c r="O7" s="22">
        <v>0</v>
      </c>
      <c r="Q7" s="37"/>
      <c r="R7" s="37"/>
    </row>
    <row r="8" spans="1:18" x14ac:dyDescent="0.25">
      <c r="A8" s="15">
        <v>1951</v>
      </c>
      <c r="B8" s="39">
        <f t="shared" si="0"/>
        <v>5.8666666666666645E-2</v>
      </c>
      <c r="C8" s="39">
        <f t="shared" si="1"/>
        <v>0.35266666666666668</v>
      </c>
      <c r="D8" s="39">
        <f t="shared" si="2"/>
        <v>0.54133333333333333</v>
      </c>
      <c r="E8" s="39">
        <f t="shared" si="3"/>
        <v>0.17866666666666667</v>
      </c>
      <c r="F8" s="39">
        <f t="shared" si="4"/>
        <v>1.6E-2</v>
      </c>
      <c r="G8" s="40">
        <f t="shared" si="5"/>
        <v>9.7333333333333327E-2</v>
      </c>
      <c r="H8" s="1">
        <f t="shared" si="6"/>
        <v>0.10800000000000001</v>
      </c>
      <c r="I8" s="40">
        <f t="shared" si="7"/>
        <v>2.7333333333333331E-2</v>
      </c>
      <c r="J8" s="42"/>
      <c r="K8" s="32"/>
      <c r="L8" s="32"/>
      <c r="M8" s="32"/>
      <c r="N8" s="32"/>
      <c r="Q8" s="37"/>
      <c r="R8" s="37"/>
    </row>
    <row r="9" spans="1:18" x14ac:dyDescent="0.25">
      <c r="A9" s="15">
        <v>1952</v>
      </c>
      <c r="B9" s="39">
        <f t="shared" si="0"/>
        <v>5.8666666666666645E-2</v>
      </c>
      <c r="C9" s="39">
        <f t="shared" si="1"/>
        <v>0.35266666666666668</v>
      </c>
      <c r="D9" s="39">
        <f t="shared" si="2"/>
        <v>0.54133333333333333</v>
      </c>
      <c r="E9" s="39">
        <f t="shared" si="3"/>
        <v>0.17866666666666667</v>
      </c>
      <c r="F9" s="39">
        <f t="shared" si="4"/>
        <v>1.6E-2</v>
      </c>
      <c r="G9" s="40">
        <f t="shared" si="5"/>
        <v>9.7333333333333327E-2</v>
      </c>
      <c r="H9" s="1">
        <f t="shared" si="6"/>
        <v>0.10800000000000001</v>
      </c>
      <c r="I9" s="40">
        <f t="shared" si="7"/>
        <v>2.7333333333333331E-2</v>
      </c>
      <c r="J9" s="42"/>
      <c r="K9" s="32"/>
      <c r="L9" s="32"/>
      <c r="M9" s="32"/>
      <c r="N9" s="32"/>
      <c r="Q9" s="37"/>
      <c r="R9" s="37"/>
    </row>
    <row r="10" spans="1:18" x14ac:dyDescent="0.25">
      <c r="A10" s="15">
        <v>1953</v>
      </c>
      <c r="B10" s="39">
        <f t="shared" si="0"/>
        <v>5.8666666666666645E-2</v>
      </c>
      <c r="C10" s="39">
        <f t="shared" si="1"/>
        <v>0.35266666666666668</v>
      </c>
      <c r="D10" s="39">
        <f t="shared" si="2"/>
        <v>0.54133333333333333</v>
      </c>
      <c r="E10" s="39">
        <f t="shared" si="3"/>
        <v>0.17866666666666667</v>
      </c>
      <c r="F10" s="39">
        <f t="shared" si="4"/>
        <v>1.6E-2</v>
      </c>
      <c r="G10" s="40">
        <f t="shared" si="5"/>
        <v>9.7333333333333327E-2</v>
      </c>
      <c r="H10" s="1">
        <f t="shared" si="6"/>
        <v>0.10800000000000001</v>
      </c>
      <c r="I10" s="40">
        <f t="shared" si="7"/>
        <v>2.7333333333333331E-2</v>
      </c>
      <c r="J10" s="42"/>
      <c r="K10" s="32"/>
      <c r="L10" s="32"/>
      <c r="M10" s="32"/>
      <c r="N10" s="32"/>
      <c r="Q10" s="37"/>
      <c r="R10" s="37"/>
    </row>
    <row r="11" spans="1:18" x14ac:dyDescent="0.25">
      <c r="A11" s="15">
        <v>1954</v>
      </c>
      <c r="B11" s="39">
        <f t="shared" si="0"/>
        <v>5.8666666666666645E-2</v>
      </c>
      <c r="C11" s="39">
        <f t="shared" si="1"/>
        <v>0.35266666666666668</v>
      </c>
      <c r="D11" s="39">
        <f t="shared" si="2"/>
        <v>0.54133333333333333</v>
      </c>
      <c r="E11" s="39">
        <f t="shared" si="3"/>
        <v>0.17866666666666667</v>
      </c>
      <c r="F11" s="39">
        <f t="shared" si="4"/>
        <v>1.6E-2</v>
      </c>
      <c r="G11" s="40">
        <f t="shared" si="5"/>
        <v>9.7333333333333327E-2</v>
      </c>
      <c r="H11" s="1">
        <f t="shared" si="6"/>
        <v>0.10800000000000001</v>
      </c>
      <c r="I11" s="40">
        <f t="shared" si="7"/>
        <v>2.7333333333333331E-2</v>
      </c>
      <c r="J11" s="42"/>
      <c r="K11" s="32"/>
      <c r="L11" s="32"/>
      <c r="M11" s="32"/>
      <c r="N11" s="32"/>
      <c r="Q11" s="37"/>
      <c r="R11" s="37"/>
    </row>
    <row r="12" spans="1:18" x14ac:dyDescent="0.25">
      <c r="A12" s="15">
        <v>1955</v>
      </c>
      <c r="B12" s="39">
        <f t="shared" si="0"/>
        <v>5.8666666666666645E-2</v>
      </c>
      <c r="C12" s="39">
        <f t="shared" si="1"/>
        <v>0.35266666666666668</v>
      </c>
      <c r="D12" s="39">
        <f t="shared" si="2"/>
        <v>0.54133333333333333</v>
      </c>
      <c r="E12" s="39">
        <f t="shared" si="3"/>
        <v>0.17866666666666667</v>
      </c>
      <c r="F12" s="39">
        <f t="shared" si="4"/>
        <v>1.6E-2</v>
      </c>
      <c r="G12" s="40">
        <f t="shared" si="5"/>
        <v>9.7333333333333327E-2</v>
      </c>
      <c r="H12" s="1">
        <f t="shared" si="6"/>
        <v>0.10800000000000001</v>
      </c>
      <c r="I12" s="40">
        <f t="shared" si="7"/>
        <v>2.7333333333333331E-2</v>
      </c>
      <c r="J12" s="42"/>
      <c r="K12" s="32"/>
      <c r="L12" s="32"/>
      <c r="M12" s="32"/>
      <c r="N12" s="32"/>
      <c r="Q12" s="37"/>
      <c r="R12" s="37"/>
    </row>
    <row r="13" spans="1:18" x14ac:dyDescent="0.25">
      <c r="A13" s="15">
        <v>1956</v>
      </c>
      <c r="B13" s="39">
        <f t="shared" si="0"/>
        <v>5.8666666666666645E-2</v>
      </c>
      <c r="C13" s="39">
        <f t="shared" si="1"/>
        <v>0.35266666666666668</v>
      </c>
      <c r="D13" s="39">
        <f t="shared" si="2"/>
        <v>0.54133333333333333</v>
      </c>
      <c r="E13" s="39">
        <f t="shared" si="3"/>
        <v>0.17866666666666667</v>
      </c>
      <c r="F13" s="39">
        <f t="shared" si="4"/>
        <v>1.6E-2</v>
      </c>
      <c r="G13" s="40">
        <f t="shared" si="5"/>
        <v>9.7333333333333327E-2</v>
      </c>
      <c r="H13" s="1">
        <f t="shared" si="6"/>
        <v>0.10800000000000001</v>
      </c>
      <c r="I13" s="40">
        <f t="shared" si="7"/>
        <v>2.7333333333333331E-2</v>
      </c>
      <c r="J13" s="42"/>
      <c r="K13" s="32"/>
      <c r="L13" s="32"/>
      <c r="M13" s="32"/>
      <c r="N13" s="32"/>
      <c r="Q13" s="37"/>
      <c r="R13" s="37"/>
    </row>
    <row r="14" spans="1:18" x14ac:dyDescent="0.25">
      <c r="A14" s="15">
        <v>1957</v>
      </c>
      <c r="B14" s="39">
        <f t="shared" si="0"/>
        <v>5.8666666666666645E-2</v>
      </c>
      <c r="C14" s="39">
        <f t="shared" si="1"/>
        <v>0.35266666666666668</v>
      </c>
      <c r="D14" s="39">
        <f t="shared" si="2"/>
        <v>0.54133333333333333</v>
      </c>
      <c r="E14" s="39">
        <f t="shared" si="3"/>
        <v>0.17866666666666667</v>
      </c>
      <c r="F14" s="39">
        <f t="shared" si="4"/>
        <v>1.6E-2</v>
      </c>
      <c r="G14" s="40">
        <f t="shared" si="5"/>
        <v>9.7333333333333327E-2</v>
      </c>
      <c r="H14" s="1">
        <f t="shared" si="6"/>
        <v>0.10800000000000001</v>
      </c>
      <c r="I14" s="40">
        <f t="shared" si="7"/>
        <v>2.7333333333333331E-2</v>
      </c>
      <c r="J14" s="42"/>
      <c r="K14" s="32"/>
      <c r="L14" s="32"/>
      <c r="M14" s="32"/>
      <c r="N14" s="32"/>
      <c r="Q14" s="37"/>
      <c r="R14" s="37"/>
    </row>
    <row r="15" spans="1:18" x14ac:dyDescent="0.25">
      <c r="A15" s="15">
        <v>1958</v>
      </c>
      <c r="B15" s="39">
        <f t="shared" si="0"/>
        <v>5.8666666666666645E-2</v>
      </c>
      <c r="C15" s="39">
        <f t="shared" si="1"/>
        <v>0.35266666666666668</v>
      </c>
      <c r="D15" s="39">
        <f t="shared" si="2"/>
        <v>0.54133333333333333</v>
      </c>
      <c r="E15" s="39">
        <f t="shared" si="3"/>
        <v>0.17866666666666667</v>
      </c>
      <c r="F15" s="39">
        <f t="shared" si="4"/>
        <v>1.6E-2</v>
      </c>
      <c r="G15" s="40">
        <f t="shared" si="5"/>
        <v>9.7333333333333327E-2</v>
      </c>
      <c r="H15" s="1">
        <f t="shared" si="6"/>
        <v>0.10800000000000001</v>
      </c>
      <c r="I15" s="40">
        <f t="shared" si="7"/>
        <v>2.7333333333333331E-2</v>
      </c>
      <c r="J15" s="42"/>
      <c r="K15" s="32"/>
      <c r="L15" s="32"/>
      <c r="M15" s="32"/>
      <c r="N15" s="32"/>
      <c r="Q15" s="37"/>
      <c r="R15" s="37"/>
    </row>
    <row r="16" spans="1:18" x14ac:dyDescent="0.25">
      <c r="A16" s="15">
        <v>1959</v>
      </c>
      <c r="B16" s="39">
        <f t="shared" si="0"/>
        <v>5.8666666666666645E-2</v>
      </c>
      <c r="C16" s="39">
        <f t="shared" si="1"/>
        <v>0.35266666666666668</v>
      </c>
      <c r="D16" s="39">
        <f t="shared" si="2"/>
        <v>0.54133333333333333</v>
      </c>
      <c r="E16" s="39">
        <f t="shared" si="3"/>
        <v>0.17866666666666667</v>
      </c>
      <c r="F16" s="39">
        <f t="shared" si="4"/>
        <v>1.6E-2</v>
      </c>
      <c r="G16" s="40">
        <f t="shared" si="5"/>
        <v>9.7333333333333327E-2</v>
      </c>
      <c r="H16" s="1">
        <f t="shared" si="6"/>
        <v>0.10800000000000001</v>
      </c>
      <c r="I16" s="40">
        <f t="shared" si="7"/>
        <v>2.7333333333333331E-2</v>
      </c>
      <c r="J16" s="42"/>
      <c r="K16" s="32"/>
      <c r="L16" s="32"/>
      <c r="M16" s="32"/>
      <c r="N16" s="32"/>
      <c r="Q16" s="37"/>
      <c r="R16" s="37"/>
    </row>
    <row r="17" spans="1:18" x14ac:dyDescent="0.25">
      <c r="A17" s="15">
        <v>1960</v>
      </c>
      <c r="B17" s="39">
        <f t="shared" si="0"/>
        <v>5.8666666666666645E-2</v>
      </c>
      <c r="C17" s="39">
        <f t="shared" si="1"/>
        <v>0.35266666666666668</v>
      </c>
      <c r="D17" s="39">
        <f t="shared" si="2"/>
        <v>0.54133333333333333</v>
      </c>
      <c r="E17" s="39">
        <f t="shared" si="3"/>
        <v>0.17866666666666667</v>
      </c>
      <c r="F17" s="39">
        <f t="shared" si="4"/>
        <v>1.6E-2</v>
      </c>
      <c r="G17" s="40">
        <f t="shared" si="5"/>
        <v>9.7333333333333327E-2</v>
      </c>
      <c r="H17" s="1">
        <f t="shared" si="6"/>
        <v>0.10800000000000001</v>
      </c>
      <c r="I17" s="40">
        <f t="shared" si="7"/>
        <v>2.7333333333333331E-2</v>
      </c>
      <c r="J17" s="42"/>
      <c r="K17" s="32">
        <f>9.3/15</f>
        <v>0.62</v>
      </c>
      <c r="L17" s="55">
        <f>K17*0.05*1000</f>
        <v>31</v>
      </c>
      <c r="M17" s="32">
        <f>5.24/15</f>
        <v>0.34933333333333333</v>
      </c>
      <c r="N17" s="55">
        <f>M17/278*1000</f>
        <v>1.2565947242206235</v>
      </c>
      <c r="O17" s="22">
        <v>0</v>
      </c>
      <c r="Q17" s="37"/>
      <c r="R17" s="37"/>
    </row>
    <row r="18" spans="1:18" x14ac:dyDescent="0.25">
      <c r="A18" s="15">
        <v>1961</v>
      </c>
      <c r="B18" s="39">
        <f t="shared" si="0"/>
        <v>5.8666666666666645E-2</v>
      </c>
      <c r="C18" s="39">
        <f t="shared" si="1"/>
        <v>0.35266666666666668</v>
      </c>
      <c r="D18" s="39">
        <f t="shared" si="2"/>
        <v>0.54133333333333333</v>
      </c>
      <c r="E18" s="39">
        <f t="shared" si="3"/>
        <v>0.17866666666666667</v>
      </c>
      <c r="F18" s="39">
        <f t="shared" si="4"/>
        <v>1.6E-2</v>
      </c>
      <c r="G18" s="40">
        <f t="shared" si="5"/>
        <v>9.7333333333333327E-2</v>
      </c>
      <c r="H18" s="1">
        <f t="shared" si="6"/>
        <v>0.10800000000000001</v>
      </c>
      <c r="I18" s="40">
        <f t="shared" si="7"/>
        <v>2.7333333333333331E-2</v>
      </c>
      <c r="J18" s="42"/>
      <c r="K18" s="32"/>
      <c r="L18" s="32"/>
      <c r="M18" s="32"/>
      <c r="N18" s="32"/>
      <c r="Q18" s="37"/>
      <c r="R18" s="37"/>
    </row>
    <row r="19" spans="1:18" x14ac:dyDescent="0.25">
      <c r="A19" s="15">
        <v>1962</v>
      </c>
      <c r="B19" s="39">
        <f t="shared" si="0"/>
        <v>5.8666666666666645E-2</v>
      </c>
      <c r="C19" s="39">
        <f t="shared" si="1"/>
        <v>0.35266666666666668</v>
      </c>
      <c r="D19" s="39">
        <f t="shared" si="2"/>
        <v>0.54133333333333333</v>
      </c>
      <c r="E19" s="39">
        <f t="shared" si="3"/>
        <v>0.17866666666666667</v>
      </c>
      <c r="F19" s="39">
        <f t="shared" si="4"/>
        <v>1.6E-2</v>
      </c>
      <c r="G19" s="40">
        <f t="shared" si="5"/>
        <v>9.7333333333333327E-2</v>
      </c>
      <c r="H19" s="1">
        <f t="shared" si="6"/>
        <v>0.10800000000000001</v>
      </c>
      <c r="I19" s="40">
        <f t="shared" si="7"/>
        <v>2.7333333333333331E-2</v>
      </c>
      <c r="J19" s="42"/>
      <c r="K19" s="32"/>
      <c r="L19" s="32"/>
      <c r="M19" s="32"/>
      <c r="N19" s="32"/>
      <c r="Q19" s="37"/>
      <c r="R19" s="37"/>
    </row>
    <row r="20" spans="1:18" x14ac:dyDescent="0.25">
      <c r="A20" s="15">
        <v>1963</v>
      </c>
      <c r="B20" s="39">
        <f t="shared" si="0"/>
        <v>5.8666666666666645E-2</v>
      </c>
      <c r="C20" s="39">
        <f t="shared" si="1"/>
        <v>0.35266666666666668</v>
      </c>
      <c r="D20" s="39">
        <f t="shared" si="2"/>
        <v>0.54133333333333333</v>
      </c>
      <c r="E20" s="39">
        <f t="shared" si="3"/>
        <v>0.17866666666666667</v>
      </c>
      <c r="F20" s="39">
        <f t="shared" si="4"/>
        <v>1.6E-2</v>
      </c>
      <c r="G20" s="40">
        <f t="shared" si="5"/>
        <v>9.7333333333333327E-2</v>
      </c>
      <c r="H20" s="1">
        <f t="shared" si="6"/>
        <v>0.10800000000000001</v>
      </c>
      <c r="I20" s="40">
        <f t="shared" si="7"/>
        <v>2.7333333333333331E-2</v>
      </c>
      <c r="J20" s="42"/>
      <c r="K20" s="32"/>
      <c r="L20" s="32"/>
      <c r="M20" s="32"/>
      <c r="N20" s="32"/>
      <c r="Q20" s="37"/>
      <c r="R20" s="37"/>
    </row>
    <row r="21" spans="1:18" x14ac:dyDescent="0.25">
      <c r="A21" s="15">
        <v>1964</v>
      </c>
      <c r="B21" s="39">
        <f t="shared" si="0"/>
        <v>5.8666666666666645E-2</v>
      </c>
      <c r="C21" s="39">
        <f t="shared" si="1"/>
        <v>0.35266666666666668</v>
      </c>
      <c r="D21" s="39">
        <f t="shared" si="2"/>
        <v>0.54133333333333333</v>
      </c>
      <c r="E21" s="39">
        <f t="shared" si="3"/>
        <v>0.17866666666666667</v>
      </c>
      <c r="F21" s="39">
        <f t="shared" si="4"/>
        <v>1.6E-2</v>
      </c>
      <c r="G21" s="40">
        <f t="shared" si="5"/>
        <v>9.7333333333333327E-2</v>
      </c>
      <c r="H21" s="1">
        <f t="shared" si="6"/>
        <v>0.10800000000000001</v>
      </c>
      <c r="I21" s="40">
        <f t="shared" si="7"/>
        <v>2.7333333333333331E-2</v>
      </c>
      <c r="J21" s="42"/>
      <c r="K21" s="32"/>
      <c r="L21" s="32"/>
      <c r="M21" s="32"/>
      <c r="N21" s="32"/>
      <c r="Q21" s="37"/>
      <c r="R21" s="37"/>
    </row>
    <row r="22" spans="1:18" x14ac:dyDescent="0.25">
      <c r="A22" s="15">
        <v>1965</v>
      </c>
      <c r="B22" s="39">
        <f t="shared" si="0"/>
        <v>5.8666666666666645E-2</v>
      </c>
      <c r="C22" s="39">
        <f t="shared" si="1"/>
        <v>0.35266666666666668</v>
      </c>
      <c r="D22" s="39">
        <f t="shared" si="2"/>
        <v>0.54133333333333333</v>
      </c>
      <c r="E22" s="39">
        <f t="shared" si="3"/>
        <v>0.17866666666666667</v>
      </c>
      <c r="F22" s="39">
        <f t="shared" si="4"/>
        <v>1.6E-2</v>
      </c>
      <c r="G22" s="40">
        <f t="shared" si="5"/>
        <v>9.7333333333333327E-2</v>
      </c>
      <c r="H22" s="1">
        <f t="shared" si="6"/>
        <v>0.10800000000000001</v>
      </c>
      <c r="I22" s="40">
        <f t="shared" si="7"/>
        <v>2.7333333333333331E-2</v>
      </c>
      <c r="J22" s="42"/>
      <c r="K22" s="32"/>
      <c r="L22" s="32"/>
      <c r="M22" s="32"/>
      <c r="N22" s="32"/>
      <c r="Q22" s="37"/>
      <c r="R22" s="37"/>
    </row>
    <row r="23" spans="1:18" x14ac:dyDescent="0.25">
      <c r="A23" s="15">
        <v>1966</v>
      </c>
      <c r="B23" s="39">
        <f t="shared" ref="B23:B30" si="8">5.39/15-C23</f>
        <v>5.1333333333333342E-2</v>
      </c>
      <c r="C23" s="39">
        <f>4.62/15</f>
        <v>0.308</v>
      </c>
      <c r="D23" s="39">
        <f t="shared" ref="D23:D50" si="9">6.83/15</f>
        <v>0.45533333333333331</v>
      </c>
      <c r="E23" s="39">
        <f>2.12/15</f>
        <v>0.14133333333333334</v>
      </c>
      <c r="F23" s="39">
        <f>0.2/15</f>
        <v>1.3333333333333334E-2</v>
      </c>
      <c r="G23" s="40">
        <f>0.91/15</f>
        <v>6.0666666666666667E-2</v>
      </c>
      <c r="H23" s="40">
        <f>1.71/15</f>
        <v>0.114</v>
      </c>
      <c r="I23" s="40">
        <f>0.82/15</f>
        <v>5.4666666666666662E-2</v>
      </c>
      <c r="J23" s="42"/>
      <c r="K23" s="32"/>
      <c r="L23" s="32"/>
      <c r="M23" s="32"/>
      <c r="N23" s="32"/>
      <c r="Q23" s="37"/>
      <c r="R23" s="37"/>
    </row>
    <row r="24" spans="1:18" x14ac:dyDescent="0.25">
      <c r="A24" s="15">
        <v>1967</v>
      </c>
      <c r="B24" s="39">
        <f t="shared" si="8"/>
        <v>5.1333333333333342E-2</v>
      </c>
      <c r="C24" s="39">
        <f t="shared" ref="C24:C50" si="10">4.62/15</f>
        <v>0.308</v>
      </c>
      <c r="D24" s="39">
        <f t="shared" si="9"/>
        <v>0.45533333333333331</v>
      </c>
      <c r="E24" s="39">
        <f t="shared" ref="E24:E50" si="11">2.12/15</f>
        <v>0.14133333333333334</v>
      </c>
      <c r="F24" s="39">
        <f t="shared" ref="F24:F31" si="12">0.2/15</f>
        <v>1.3333333333333334E-2</v>
      </c>
      <c r="G24" s="40">
        <f t="shared" ref="G24:G50" si="13">0.91/15</f>
        <v>6.0666666666666667E-2</v>
      </c>
      <c r="H24" s="40">
        <f t="shared" ref="H24:H50" si="14">1.71/15</f>
        <v>0.114</v>
      </c>
      <c r="I24" s="40">
        <f t="shared" ref="I24:I50" si="15">0.82/15</f>
        <v>5.4666666666666662E-2</v>
      </c>
      <c r="J24" s="42"/>
      <c r="K24" s="32"/>
      <c r="L24" s="32"/>
      <c r="M24" s="32"/>
      <c r="N24" s="32"/>
      <c r="Q24" s="37"/>
      <c r="R24" s="37"/>
    </row>
    <row r="25" spans="1:18" x14ac:dyDescent="0.25">
      <c r="A25" s="15">
        <v>1968</v>
      </c>
      <c r="B25" s="39">
        <f t="shared" si="8"/>
        <v>5.1333333333333342E-2</v>
      </c>
      <c r="C25" s="39">
        <f t="shared" si="10"/>
        <v>0.308</v>
      </c>
      <c r="D25" s="39">
        <f t="shared" si="9"/>
        <v>0.45533333333333331</v>
      </c>
      <c r="E25" s="39">
        <f t="shared" si="11"/>
        <v>0.14133333333333334</v>
      </c>
      <c r="F25" s="39">
        <f t="shared" si="12"/>
        <v>1.3333333333333334E-2</v>
      </c>
      <c r="G25" s="40">
        <f t="shared" si="13"/>
        <v>6.0666666666666667E-2</v>
      </c>
      <c r="H25" s="40">
        <f t="shared" si="14"/>
        <v>0.114</v>
      </c>
      <c r="I25" s="40">
        <f t="shared" si="15"/>
        <v>5.4666666666666662E-2</v>
      </c>
      <c r="J25" s="42"/>
      <c r="K25" s="32"/>
      <c r="L25" s="32"/>
      <c r="M25" s="32"/>
      <c r="N25" s="32"/>
      <c r="Q25" s="37"/>
      <c r="R25" s="37"/>
    </row>
    <row r="26" spans="1:18" x14ac:dyDescent="0.25">
      <c r="A26" s="15">
        <v>1969</v>
      </c>
      <c r="B26" s="39">
        <f t="shared" si="8"/>
        <v>5.1333333333333342E-2</v>
      </c>
      <c r="C26" s="39">
        <f t="shared" si="10"/>
        <v>0.308</v>
      </c>
      <c r="D26" s="39">
        <f t="shared" si="9"/>
        <v>0.45533333333333331</v>
      </c>
      <c r="E26" s="39">
        <f t="shared" si="11"/>
        <v>0.14133333333333334</v>
      </c>
      <c r="F26" s="39">
        <f t="shared" si="12"/>
        <v>1.3333333333333334E-2</v>
      </c>
      <c r="G26" s="40">
        <f t="shared" si="13"/>
        <v>6.0666666666666667E-2</v>
      </c>
      <c r="H26" s="40">
        <f t="shared" si="14"/>
        <v>0.114</v>
      </c>
      <c r="I26" s="40">
        <f t="shared" si="15"/>
        <v>5.4666666666666662E-2</v>
      </c>
      <c r="J26" s="42"/>
      <c r="K26" s="32"/>
      <c r="L26" s="32"/>
      <c r="M26" s="32"/>
      <c r="N26" s="32"/>
      <c r="Q26" s="37"/>
      <c r="R26" s="37"/>
    </row>
    <row r="27" spans="1:18" x14ac:dyDescent="0.25">
      <c r="A27" s="15">
        <v>1970</v>
      </c>
      <c r="B27" s="39">
        <f t="shared" si="8"/>
        <v>5.1333333333333342E-2</v>
      </c>
      <c r="C27" s="39">
        <f t="shared" si="10"/>
        <v>0.308</v>
      </c>
      <c r="D27" s="39">
        <f t="shared" si="9"/>
        <v>0.45533333333333331</v>
      </c>
      <c r="E27" s="39">
        <f t="shared" si="11"/>
        <v>0.14133333333333334</v>
      </c>
      <c r="F27" s="39">
        <f t="shared" si="12"/>
        <v>1.3333333333333334E-2</v>
      </c>
      <c r="G27" s="40">
        <f t="shared" si="13"/>
        <v>6.0666666666666667E-2</v>
      </c>
      <c r="H27" s="40">
        <f t="shared" si="14"/>
        <v>0.114</v>
      </c>
      <c r="I27" s="40">
        <f t="shared" si="15"/>
        <v>5.4666666666666662E-2</v>
      </c>
      <c r="J27" s="42"/>
      <c r="K27" s="32">
        <f>6.74/15</f>
        <v>0.44933333333333336</v>
      </c>
      <c r="L27" s="55">
        <f>K27*0.05*1000</f>
        <v>22.466666666666669</v>
      </c>
      <c r="M27" s="32">
        <f>5.4/15</f>
        <v>0.36000000000000004</v>
      </c>
      <c r="N27" s="55">
        <f>M27/278*1000</f>
        <v>1.2949640287769786</v>
      </c>
      <c r="O27" s="21">
        <v>2.1743999999999999</v>
      </c>
      <c r="Q27" s="37"/>
      <c r="R27" s="37"/>
    </row>
    <row r="28" spans="1:18" x14ac:dyDescent="0.25">
      <c r="A28" s="15">
        <v>1971</v>
      </c>
      <c r="B28" s="39">
        <f t="shared" si="8"/>
        <v>5.1333333333333342E-2</v>
      </c>
      <c r="C28" s="39">
        <f t="shared" si="10"/>
        <v>0.308</v>
      </c>
      <c r="D28" s="39">
        <f t="shared" si="9"/>
        <v>0.45533333333333331</v>
      </c>
      <c r="E28" s="39">
        <f t="shared" si="11"/>
        <v>0.14133333333333334</v>
      </c>
      <c r="F28" s="39">
        <f t="shared" si="12"/>
        <v>1.3333333333333334E-2</v>
      </c>
      <c r="G28" s="40">
        <f t="shared" si="13"/>
        <v>6.0666666666666667E-2</v>
      </c>
      <c r="H28" s="40">
        <f t="shared" si="14"/>
        <v>0.114</v>
      </c>
      <c r="I28" s="40">
        <f t="shared" si="15"/>
        <v>5.4666666666666662E-2</v>
      </c>
      <c r="J28" s="42"/>
      <c r="K28" s="32"/>
      <c r="L28" s="32"/>
      <c r="M28" s="32"/>
      <c r="N28" s="32"/>
      <c r="Q28" s="37"/>
      <c r="R28" s="37"/>
    </row>
    <row r="29" spans="1:18" x14ac:dyDescent="0.25">
      <c r="A29" s="15">
        <v>1972</v>
      </c>
      <c r="B29" s="39">
        <f t="shared" si="8"/>
        <v>5.1333333333333342E-2</v>
      </c>
      <c r="C29" s="39">
        <f t="shared" si="10"/>
        <v>0.308</v>
      </c>
      <c r="D29" s="39">
        <f t="shared" si="9"/>
        <v>0.45533333333333331</v>
      </c>
      <c r="E29" s="39">
        <f t="shared" si="11"/>
        <v>0.14133333333333334</v>
      </c>
      <c r="F29" s="39">
        <f t="shared" si="12"/>
        <v>1.3333333333333334E-2</v>
      </c>
      <c r="G29" s="40">
        <f t="shared" si="13"/>
        <v>6.0666666666666667E-2</v>
      </c>
      <c r="H29" s="40">
        <f t="shared" si="14"/>
        <v>0.114</v>
      </c>
      <c r="I29" s="40">
        <f t="shared" si="15"/>
        <v>5.4666666666666662E-2</v>
      </c>
      <c r="J29" s="42"/>
      <c r="K29" s="32"/>
      <c r="L29" s="32"/>
      <c r="M29" s="32"/>
      <c r="N29" s="32"/>
      <c r="Q29" s="37"/>
      <c r="R29" s="37"/>
    </row>
    <row r="30" spans="1:18" x14ac:dyDescent="0.25">
      <c r="A30" s="15">
        <v>1973</v>
      </c>
      <c r="B30" s="39">
        <f t="shared" si="8"/>
        <v>5.1333333333333342E-2</v>
      </c>
      <c r="C30" s="39">
        <f t="shared" si="10"/>
        <v>0.308</v>
      </c>
      <c r="D30" s="39">
        <f t="shared" si="9"/>
        <v>0.45533333333333331</v>
      </c>
      <c r="E30" s="39">
        <f t="shared" si="11"/>
        <v>0.14133333333333334</v>
      </c>
      <c r="F30" s="39">
        <f t="shared" si="12"/>
        <v>1.3333333333333334E-2</v>
      </c>
      <c r="G30" s="40">
        <f t="shared" si="13"/>
        <v>6.0666666666666667E-2</v>
      </c>
      <c r="H30" s="40">
        <f t="shared" si="14"/>
        <v>0.114</v>
      </c>
      <c r="I30" s="40">
        <f t="shared" si="15"/>
        <v>5.4666666666666662E-2</v>
      </c>
      <c r="J30" s="42"/>
      <c r="K30" s="32"/>
      <c r="L30" s="32"/>
      <c r="M30" s="32"/>
      <c r="N30" s="32"/>
      <c r="Q30" s="37"/>
      <c r="R30" s="37"/>
    </row>
    <row r="31" spans="1:18" x14ac:dyDescent="0.25">
      <c r="A31" s="15">
        <v>1974</v>
      </c>
      <c r="B31" s="39">
        <f>5.39/15-C31</f>
        <v>5.1333333333333342E-2</v>
      </c>
      <c r="C31" s="39">
        <f t="shared" si="10"/>
        <v>0.308</v>
      </c>
      <c r="D31" s="39">
        <f t="shared" si="9"/>
        <v>0.45533333333333331</v>
      </c>
      <c r="E31" s="39">
        <f t="shared" si="11"/>
        <v>0.14133333333333334</v>
      </c>
      <c r="F31" s="39">
        <f t="shared" si="12"/>
        <v>1.3333333333333334E-2</v>
      </c>
      <c r="G31" s="40">
        <f t="shared" si="13"/>
        <v>6.0666666666666667E-2</v>
      </c>
      <c r="H31" s="40">
        <f t="shared" si="14"/>
        <v>0.114</v>
      </c>
      <c r="I31" s="40">
        <f t="shared" si="15"/>
        <v>5.4666666666666662E-2</v>
      </c>
      <c r="J31" s="42"/>
      <c r="K31" s="32"/>
      <c r="L31" s="32"/>
      <c r="M31" s="32"/>
      <c r="N31" s="32"/>
      <c r="Q31" s="37"/>
      <c r="R31" s="37"/>
    </row>
    <row r="32" spans="1:18" x14ac:dyDescent="0.25">
      <c r="A32" s="15">
        <v>1975</v>
      </c>
      <c r="B32" s="39">
        <f>5.39/15-C32</f>
        <v>5.1333333333333342E-2</v>
      </c>
      <c r="C32" s="39">
        <f t="shared" si="10"/>
        <v>0.308</v>
      </c>
      <c r="D32" s="39">
        <f t="shared" si="9"/>
        <v>0.45533333333333331</v>
      </c>
      <c r="E32" s="39">
        <f t="shared" si="11"/>
        <v>0.14133333333333334</v>
      </c>
      <c r="F32" s="39">
        <f>0.2/15</f>
        <v>1.3333333333333334E-2</v>
      </c>
      <c r="G32" s="40">
        <f t="shared" si="13"/>
        <v>6.0666666666666667E-2</v>
      </c>
      <c r="H32" s="40">
        <f t="shared" si="14"/>
        <v>0.114</v>
      </c>
      <c r="I32" s="40">
        <f t="shared" si="15"/>
        <v>5.4666666666666662E-2</v>
      </c>
      <c r="J32" s="42"/>
      <c r="K32" s="32">
        <f>5.53/15</f>
        <v>0.3686666666666667</v>
      </c>
      <c r="L32" s="55">
        <f>K32*0.05*1000</f>
        <v>18.433333333333337</v>
      </c>
      <c r="M32" s="32">
        <f>5.42/15</f>
        <v>0.36133333333333334</v>
      </c>
      <c r="N32" s="55">
        <f>M32/278*1000</f>
        <v>1.2997601918465229</v>
      </c>
      <c r="Q32" s="37"/>
      <c r="R32" s="37"/>
    </row>
    <row r="33" spans="1:18" x14ac:dyDescent="0.25">
      <c r="A33" s="15">
        <v>1976</v>
      </c>
      <c r="B33" s="39">
        <f t="shared" ref="B33:B47" si="16">5.39/15-C33</f>
        <v>5.1333333333333342E-2</v>
      </c>
      <c r="C33" s="39">
        <f t="shared" si="10"/>
        <v>0.308</v>
      </c>
      <c r="D33" s="39">
        <f t="shared" si="9"/>
        <v>0.45533333333333331</v>
      </c>
      <c r="E33" s="39">
        <f t="shared" si="11"/>
        <v>0.14133333333333334</v>
      </c>
      <c r="F33" s="39">
        <f t="shared" ref="F33:F50" si="17">0.2/15</f>
        <v>1.3333333333333334E-2</v>
      </c>
      <c r="G33" s="40">
        <f t="shared" si="13"/>
        <v>6.0666666666666667E-2</v>
      </c>
      <c r="H33" s="40">
        <f t="shared" si="14"/>
        <v>0.114</v>
      </c>
      <c r="I33" s="40">
        <f t="shared" si="15"/>
        <v>5.4666666666666662E-2</v>
      </c>
      <c r="J33" s="43"/>
      <c r="Q33" s="37"/>
      <c r="R33" s="37"/>
    </row>
    <row r="34" spans="1:18" x14ac:dyDescent="0.25">
      <c r="A34" s="15">
        <v>1977</v>
      </c>
      <c r="B34" s="39">
        <f t="shared" si="16"/>
        <v>5.1333333333333342E-2</v>
      </c>
      <c r="C34" s="39">
        <f t="shared" si="10"/>
        <v>0.308</v>
      </c>
      <c r="D34" s="39">
        <f t="shared" si="9"/>
        <v>0.45533333333333331</v>
      </c>
      <c r="E34" s="39">
        <f t="shared" si="11"/>
        <v>0.14133333333333334</v>
      </c>
      <c r="F34" s="39">
        <f t="shared" si="17"/>
        <v>1.3333333333333334E-2</v>
      </c>
      <c r="G34" s="40">
        <f t="shared" si="13"/>
        <v>6.0666666666666667E-2</v>
      </c>
      <c r="H34" s="40">
        <f t="shared" si="14"/>
        <v>0.114</v>
      </c>
      <c r="I34" s="40">
        <f t="shared" si="15"/>
        <v>5.4666666666666662E-2</v>
      </c>
      <c r="J34" s="43"/>
      <c r="Q34" s="37"/>
      <c r="R34" s="37"/>
    </row>
    <row r="35" spans="1:18" x14ac:dyDescent="0.25">
      <c r="A35" s="15">
        <v>1978</v>
      </c>
      <c r="B35" s="39">
        <f t="shared" si="16"/>
        <v>5.1333333333333342E-2</v>
      </c>
      <c r="C35" s="39">
        <f t="shared" si="10"/>
        <v>0.308</v>
      </c>
      <c r="D35" s="39">
        <f t="shared" si="9"/>
        <v>0.45533333333333331</v>
      </c>
      <c r="E35" s="39">
        <f t="shared" si="11"/>
        <v>0.14133333333333334</v>
      </c>
      <c r="F35" s="39">
        <f t="shared" si="17"/>
        <v>1.3333333333333334E-2</v>
      </c>
      <c r="G35" s="40">
        <f t="shared" si="13"/>
        <v>6.0666666666666667E-2</v>
      </c>
      <c r="H35" s="40">
        <f t="shared" si="14"/>
        <v>0.114</v>
      </c>
      <c r="I35" s="40">
        <f t="shared" si="15"/>
        <v>5.4666666666666662E-2</v>
      </c>
    </row>
    <row r="36" spans="1:18" x14ac:dyDescent="0.25">
      <c r="A36" s="15">
        <v>1979</v>
      </c>
      <c r="B36" s="39">
        <f t="shared" si="16"/>
        <v>5.1333333333333342E-2</v>
      </c>
      <c r="C36" s="39">
        <f t="shared" si="10"/>
        <v>0.308</v>
      </c>
      <c r="D36" s="39">
        <f t="shared" si="9"/>
        <v>0.45533333333333331</v>
      </c>
      <c r="E36" s="39">
        <f t="shared" si="11"/>
        <v>0.14133333333333334</v>
      </c>
      <c r="F36" s="39">
        <f t="shared" si="17"/>
        <v>1.3333333333333334E-2</v>
      </c>
      <c r="G36" s="40">
        <f t="shared" si="13"/>
        <v>6.0666666666666667E-2</v>
      </c>
      <c r="H36" s="40">
        <f t="shared" si="14"/>
        <v>0.114</v>
      </c>
      <c r="I36" s="40">
        <f t="shared" si="15"/>
        <v>5.4666666666666662E-2</v>
      </c>
    </row>
    <row r="37" spans="1:18" x14ac:dyDescent="0.25">
      <c r="A37" s="15">
        <v>1980</v>
      </c>
      <c r="B37" s="39">
        <f t="shared" si="16"/>
        <v>5.1333333333333342E-2</v>
      </c>
      <c r="C37" s="39">
        <f t="shared" si="10"/>
        <v>0.308</v>
      </c>
      <c r="D37" s="39">
        <f t="shared" si="9"/>
        <v>0.45533333333333331</v>
      </c>
      <c r="E37" s="39">
        <f t="shared" si="11"/>
        <v>0.14133333333333334</v>
      </c>
      <c r="F37" s="39">
        <f t="shared" si="17"/>
        <v>1.3333333333333334E-2</v>
      </c>
      <c r="G37" s="40">
        <f t="shared" si="13"/>
        <v>6.0666666666666667E-2</v>
      </c>
      <c r="H37" s="40">
        <f t="shared" si="14"/>
        <v>0.114</v>
      </c>
      <c r="I37" s="40">
        <f t="shared" si="15"/>
        <v>5.4666666666666662E-2</v>
      </c>
    </row>
    <row r="38" spans="1:18" x14ac:dyDescent="0.25">
      <c r="A38" s="15">
        <v>1981</v>
      </c>
      <c r="B38" s="39">
        <f t="shared" si="16"/>
        <v>5.1333333333333342E-2</v>
      </c>
      <c r="C38" s="39">
        <f t="shared" si="10"/>
        <v>0.308</v>
      </c>
      <c r="D38" s="39">
        <f t="shared" si="9"/>
        <v>0.45533333333333331</v>
      </c>
      <c r="E38" s="39">
        <f t="shared" si="11"/>
        <v>0.14133333333333334</v>
      </c>
      <c r="F38" s="39">
        <f t="shared" si="17"/>
        <v>1.3333333333333334E-2</v>
      </c>
      <c r="G38" s="40">
        <f t="shared" si="13"/>
        <v>6.0666666666666667E-2</v>
      </c>
      <c r="H38" s="40">
        <f t="shared" si="14"/>
        <v>0.114</v>
      </c>
      <c r="I38" s="40">
        <f t="shared" si="15"/>
        <v>5.4666666666666662E-2</v>
      </c>
      <c r="O38" s="21">
        <v>4.7478000000000007</v>
      </c>
    </row>
    <row r="39" spans="1:18" x14ac:dyDescent="0.25">
      <c r="A39" s="15">
        <v>1982</v>
      </c>
      <c r="B39" s="39">
        <f t="shared" si="16"/>
        <v>5.1333333333333342E-2</v>
      </c>
      <c r="C39" s="39">
        <f t="shared" si="10"/>
        <v>0.308</v>
      </c>
      <c r="D39" s="39">
        <f t="shared" si="9"/>
        <v>0.45533333333333331</v>
      </c>
      <c r="E39" s="39">
        <f t="shared" si="11"/>
        <v>0.14133333333333334</v>
      </c>
      <c r="F39" s="39">
        <f t="shared" si="17"/>
        <v>1.3333333333333334E-2</v>
      </c>
      <c r="G39" s="40">
        <f t="shared" si="13"/>
        <v>6.0666666666666667E-2</v>
      </c>
      <c r="H39" s="40">
        <f t="shared" si="14"/>
        <v>0.114</v>
      </c>
      <c r="I39" s="40">
        <f t="shared" si="15"/>
        <v>5.4666666666666662E-2</v>
      </c>
    </row>
    <row r="40" spans="1:18" x14ac:dyDescent="0.25">
      <c r="A40" s="15">
        <v>1983</v>
      </c>
      <c r="B40" s="39">
        <f t="shared" si="16"/>
        <v>5.1333333333333342E-2</v>
      </c>
      <c r="C40" s="39">
        <f t="shared" si="10"/>
        <v>0.308</v>
      </c>
      <c r="D40" s="39">
        <f t="shared" si="9"/>
        <v>0.45533333333333331</v>
      </c>
      <c r="E40" s="39">
        <f t="shared" si="11"/>
        <v>0.14133333333333334</v>
      </c>
      <c r="F40" s="39">
        <f t="shared" si="17"/>
        <v>1.3333333333333334E-2</v>
      </c>
      <c r="G40" s="40">
        <f t="shared" si="13"/>
        <v>6.0666666666666667E-2</v>
      </c>
      <c r="H40" s="40">
        <f t="shared" si="14"/>
        <v>0.114</v>
      </c>
      <c r="I40" s="40">
        <f t="shared" si="15"/>
        <v>5.4666666666666662E-2</v>
      </c>
    </row>
    <row r="41" spans="1:18" x14ac:dyDescent="0.25">
      <c r="A41" s="15">
        <v>1984</v>
      </c>
      <c r="B41" s="39">
        <f t="shared" si="16"/>
        <v>5.1333333333333342E-2</v>
      </c>
      <c r="C41" s="39">
        <f t="shared" si="10"/>
        <v>0.308</v>
      </c>
      <c r="D41" s="39">
        <f t="shared" si="9"/>
        <v>0.45533333333333331</v>
      </c>
      <c r="E41" s="39">
        <f t="shared" si="11"/>
        <v>0.14133333333333334</v>
      </c>
      <c r="F41" s="39">
        <f t="shared" si="17"/>
        <v>1.3333333333333334E-2</v>
      </c>
      <c r="G41" s="40">
        <f t="shared" si="13"/>
        <v>6.0666666666666667E-2</v>
      </c>
      <c r="H41" s="40">
        <f t="shared" si="14"/>
        <v>0.114</v>
      </c>
      <c r="I41" s="40">
        <f t="shared" si="15"/>
        <v>5.4666666666666662E-2</v>
      </c>
    </row>
    <row r="42" spans="1:18" x14ac:dyDescent="0.25">
      <c r="A42" s="15">
        <v>1985</v>
      </c>
      <c r="B42" s="39">
        <f t="shared" si="16"/>
        <v>5.1333333333333342E-2</v>
      </c>
      <c r="C42" s="39">
        <f t="shared" si="10"/>
        <v>0.308</v>
      </c>
      <c r="D42" s="39">
        <f t="shared" si="9"/>
        <v>0.45533333333333331</v>
      </c>
      <c r="E42" s="39">
        <f t="shared" si="11"/>
        <v>0.14133333333333334</v>
      </c>
      <c r="F42" s="39">
        <f t="shared" si="17"/>
        <v>1.3333333333333334E-2</v>
      </c>
      <c r="G42" s="40">
        <f t="shared" si="13"/>
        <v>6.0666666666666667E-2</v>
      </c>
      <c r="H42" s="40">
        <f t="shared" si="14"/>
        <v>0.114</v>
      </c>
      <c r="I42" s="40">
        <f t="shared" si="15"/>
        <v>5.4666666666666662E-2</v>
      </c>
    </row>
    <row r="43" spans="1:18" x14ac:dyDescent="0.25">
      <c r="A43" s="15">
        <v>1986</v>
      </c>
      <c r="B43" s="39">
        <f t="shared" si="16"/>
        <v>5.1333333333333342E-2</v>
      </c>
      <c r="C43" s="39">
        <f t="shared" si="10"/>
        <v>0.308</v>
      </c>
      <c r="D43" s="39">
        <f t="shared" si="9"/>
        <v>0.45533333333333331</v>
      </c>
      <c r="E43" s="39">
        <f t="shared" si="11"/>
        <v>0.14133333333333334</v>
      </c>
      <c r="F43" s="39">
        <f t="shared" si="17"/>
        <v>1.3333333333333334E-2</v>
      </c>
      <c r="G43" s="40">
        <f t="shared" si="13"/>
        <v>6.0666666666666667E-2</v>
      </c>
      <c r="H43" s="40">
        <f t="shared" si="14"/>
        <v>0.114</v>
      </c>
      <c r="I43" s="40">
        <f t="shared" si="15"/>
        <v>5.4666666666666662E-2</v>
      </c>
    </row>
    <row r="44" spans="1:18" x14ac:dyDescent="0.25">
      <c r="A44" s="15">
        <v>1987</v>
      </c>
      <c r="B44" s="39">
        <f t="shared" si="16"/>
        <v>5.1333333333333342E-2</v>
      </c>
      <c r="C44" s="39">
        <f t="shared" si="10"/>
        <v>0.308</v>
      </c>
      <c r="D44" s="39">
        <f t="shared" si="9"/>
        <v>0.45533333333333331</v>
      </c>
      <c r="E44" s="39">
        <f t="shared" si="11"/>
        <v>0.14133333333333334</v>
      </c>
      <c r="F44" s="39">
        <f t="shared" si="17"/>
        <v>1.3333333333333334E-2</v>
      </c>
      <c r="G44" s="40">
        <f t="shared" si="13"/>
        <v>6.0666666666666667E-2</v>
      </c>
      <c r="H44" s="40">
        <f t="shared" si="14"/>
        <v>0.114</v>
      </c>
      <c r="I44" s="40">
        <f t="shared" si="15"/>
        <v>5.4666666666666662E-2</v>
      </c>
    </row>
    <row r="45" spans="1:18" x14ac:dyDescent="0.25">
      <c r="A45" s="15">
        <v>1988</v>
      </c>
      <c r="B45" s="39">
        <f t="shared" si="16"/>
        <v>5.1333333333333342E-2</v>
      </c>
      <c r="C45" s="39">
        <f t="shared" si="10"/>
        <v>0.308</v>
      </c>
      <c r="D45" s="39">
        <f t="shared" si="9"/>
        <v>0.45533333333333331</v>
      </c>
      <c r="E45" s="39">
        <f t="shared" si="11"/>
        <v>0.14133333333333334</v>
      </c>
      <c r="F45" s="39">
        <f t="shared" si="17"/>
        <v>1.3333333333333334E-2</v>
      </c>
      <c r="G45" s="40">
        <f t="shared" si="13"/>
        <v>6.0666666666666667E-2</v>
      </c>
      <c r="H45" s="40">
        <f t="shared" si="14"/>
        <v>0.114</v>
      </c>
      <c r="I45" s="40">
        <f t="shared" si="15"/>
        <v>5.4666666666666662E-2</v>
      </c>
    </row>
    <row r="46" spans="1:18" x14ac:dyDescent="0.25">
      <c r="A46" s="15">
        <v>1989</v>
      </c>
      <c r="B46" s="39">
        <f t="shared" si="16"/>
        <v>5.1333333333333342E-2</v>
      </c>
      <c r="C46" s="39">
        <f t="shared" si="10"/>
        <v>0.308</v>
      </c>
      <c r="D46" s="39">
        <f t="shared" si="9"/>
        <v>0.45533333333333331</v>
      </c>
      <c r="E46" s="39">
        <f t="shared" si="11"/>
        <v>0.14133333333333334</v>
      </c>
      <c r="F46" s="39">
        <f t="shared" si="17"/>
        <v>1.3333333333333334E-2</v>
      </c>
      <c r="G46" s="40">
        <f t="shared" si="13"/>
        <v>6.0666666666666667E-2</v>
      </c>
      <c r="H46" s="40">
        <f t="shared" si="14"/>
        <v>0.114</v>
      </c>
      <c r="I46" s="40">
        <f t="shared" si="15"/>
        <v>5.4666666666666662E-2</v>
      </c>
    </row>
    <row r="47" spans="1:18" x14ac:dyDescent="0.25">
      <c r="A47" s="15">
        <v>1990</v>
      </c>
      <c r="B47" s="39">
        <f t="shared" si="16"/>
        <v>5.1333333333333342E-2</v>
      </c>
      <c r="C47" s="39">
        <f t="shared" si="10"/>
        <v>0.308</v>
      </c>
      <c r="D47" s="39">
        <f t="shared" si="9"/>
        <v>0.45533333333333331</v>
      </c>
      <c r="E47" s="39">
        <f t="shared" si="11"/>
        <v>0.14133333333333334</v>
      </c>
      <c r="F47" s="39">
        <f t="shared" si="17"/>
        <v>1.3333333333333334E-2</v>
      </c>
      <c r="G47" s="40">
        <f t="shared" si="13"/>
        <v>6.0666666666666667E-2</v>
      </c>
      <c r="H47" s="40">
        <f t="shared" si="14"/>
        <v>0.114</v>
      </c>
      <c r="I47" s="40">
        <f t="shared" si="15"/>
        <v>5.4666666666666662E-2</v>
      </c>
    </row>
    <row r="48" spans="1:18" x14ac:dyDescent="0.25">
      <c r="A48" s="15">
        <v>1991</v>
      </c>
      <c r="B48" s="39">
        <f t="shared" ref="B48:B50" si="18">5.39/15-C48</f>
        <v>5.1333333333333342E-2</v>
      </c>
      <c r="C48" s="39">
        <f t="shared" si="10"/>
        <v>0.308</v>
      </c>
      <c r="D48" s="39">
        <f t="shared" si="9"/>
        <v>0.45533333333333331</v>
      </c>
      <c r="E48" s="39">
        <f t="shared" si="11"/>
        <v>0.14133333333333334</v>
      </c>
      <c r="F48" s="39">
        <f t="shared" si="17"/>
        <v>1.3333333333333334E-2</v>
      </c>
      <c r="G48" s="40">
        <f t="shared" si="13"/>
        <v>6.0666666666666667E-2</v>
      </c>
      <c r="H48" s="40">
        <f t="shared" si="14"/>
        <v>0.114</v>
      </c>
      <c r="I48" s="40">
        <f t="shared" si="15"/>
        <v>5.4666666666666662E-2</v>
      </c>
    </row>
    <row r="49" spans="1:12" x14ac:dyDescent="0.25">
      <c r="A49" s="15">
        <v>1992</v>
      </c>
      <c r="B49" s="39">
        <f t="shared" si="18"/>
        <v>5.1333333333333342E-2</v>
      </c>
      <c r="C49" s="39">
        <f t="shared" si="10"/>
        <v>0.308</v>
      </c>
      <c r="D49" s="39">
        <f t="shared" si="9"/>
        <v>0.45533333333333331</v>
      </c>
      <c r="E49" s="39">
        <f t="shared" si="11"/>
        <v>0.14133333333333334</v>
      </c>
      <c r="F49" s="39">
        <f t="shared" si="17"/>
        <v>1.3333333333333334E-2</v>
      </c>
      <c r="G49" s="40">
        <f t="shared" si="13"/>
        <v>6.0666666666666667E-2</v>
      </c>
      <c r="H49" s="40">
        <f t="shared" si="14"/>
        <v>0.114</v>
      </c>
      <c r="I49" s="40">
        <f t="shared" si="15"/>
        <v>5.4666666666666662E-2</v>
      </c>
      <c r="J49" s="45"/>
      <c r="K49" s="12"/>
      <c r="L49" s="12"/>
    </row>
    <row r="50" spans="1:12" x14ac:dyDescent="0.25">
      <c r="A50" s="15">
        <v>1993</v>
      </c>
      <c r="B50" s="39">
        <f t="shared" si="18"/>
        <v>5.1333333333333342E-2</v>
      </c>
      <c r="C50" s="39">
        <f t="shared" si="10"/>
        <v>0.308</v>
      </c>
      <c r="D50" s="39">
        <f t="shared" si="9"/>
        <v>0.45533333333333331</v>
      </c>
      <c r="E50" s="39">
        <f t="shared" si="11"/>
        <v>0.14133333333333334</v>
      </c>
      <c r="F50" s="39">
        <f t="shared" si="17"/>
        <v>1.3333333333333334E-2</v>
      </c>
      <c r="G50" s="40">
        <f t="shared" si="13"/>
        <v>6.0666666666666667E-2</v>
      </c>
      <c r="H50" s="40">
        <f t="shared" si="14"/>
        <v>0.114</v>
      </c>
      <c r="I50" s="40">
        <f t="shared" si="15"/>
        <v>5.4666666666666662E-2</v>
      </c>
      <c r="J50" s="46"/>
    </row>
    <row r="51" spans="1:12" x14ac:dyDescent="0.25">
      <c r="A51" s="15">
        <v>1994</v>
      </c>
      <c r="B51" s="23"/>
      <c r="C51" s="23"/>
      <c r="D51" s="23"/>
      <c r="E51" s="23"/>
      <c r="F51" s="23"/>
      <c r="G51" s="23"/>
      <c r="H51" s="23"/>
      <c r="I51" s="23"/>
      <c r="J51" s="46"/>
    </row>
    <row r="52" spans="1:12" x14ac:dyDescent="0.25">
      <c r="A52" s="15">
        <v>1995</v>
      </c>
      <c r="B52" s="23"/>
      <c r="C52" s="23"/>
      <c r="D52" s="23"/>
      <c r="E52" s="23"/>
      <c r="F52" s="23"/>
      <c r="G52" s="23"/>
      <c r="H52" s="23"/>
      <c r="I52" s="23"/>
      <c r="J52" s="46"/>
    </row>
    <row r="53" spans="1:12" x14ac:dyDescent="0.25">
      <c r="A53" s="15">
        <v>1996</v>
      </c>
      <c r="B53" s="23"/>
      <c r="C53" s="23"/>
      <c r="D53" s="23"/>
      <c r="E53" s="23"/>
      <c r="F53" s="23"/>
      <c r="G53" s="23"/>
      <c r="H53" s="23"/>
      <c r="I53" s="23"/>
      <c r="J53" s="46"/>
    </row>
    <row r="54" spans="1:12" x14ac:dyDescent="0.25">
      <c r="A54" s="15">
        <v>1997</v>
      </c>
      <c r="B54" s="23"/>
      <c r="C54" s="23"/>
      <c r="D54" s="23"/>
      <c r="E54" s="23"/>
      <c r="F54" s="23"/>
      <c r="G54" s="23"/>
      <c r="H54" s="23"/>
      <c r="I54" s="23"/>
      <c r="J54" s="46"/>
    </row>
    <row r="55" spans="1:12" x14ac:dyDescent="0.25">
      <c r="A55" s="15">
        <v>1998</v>
      </c>
      <c r="B55" s="23"/>
      <c r="C55" s="23"/>
      <c r="D55" s="23"/>
      <c r="E55" s="23"/>
      <c r="F55" s="23"/>
      <c r="G55" s="23"/>
      <c r="H55" s="23"/>
      <c r="I55" s="23"/>
      <c r="J55" s="46"/>
    </row>
    <row r="56" spans="1:12" x14ac:dyDescent="0.25">
      <c r="A56" s="15">
        <v>1999</v>
      </c>
      <c r="B56" s="23"/>
      <c r="C56" s="23"/>
      <c r="D56" s="23"/>
      <c r="E56" s="23"/>
      <c r="F56" s="23"/>
      <c r="G56" s="23"/>
      <c r="H56" s="23"/>
      <c r="I56" s="23"/>
      <c r="J56" s="46"/>
    </row>
    <row r="57" spans="1:12" x14ac:dyDescent="0.25">
      <c r="A57" s="15">
        <v>2000</v>
      </c>
      <c r="B57" s="23"/>
      <c r="C57" s="23"/>
      <c r="D57" s="23"/>
      <c r="E57" s="23"/>
      <c r="F57" s="23"/>
      <c r="G57" s="23"/>
      <c r="H57" s="23"/>
      <c r="I57" s="23"/>
      <c r="J57" s="46"/>
    </row>
    <row r="58" spans="1:12" x14ac:dyDescent="0.25">
      <c r="A58" s="15">
        <v>2001</v>
      </c>
      <c r="B58" s="23"/>
      <c r="C58" s="23"/>
      <c r="D58" s="23"/>
      <c r="E58" s="23"/>
      <c r="F58" s="23"/>
      <c r="G58" s="23"/>
      <c r="H58" s="23"/>
      <c r="I58" s="23"/>
      <c r="J58" s="46"/>
    </row>
    <row r="59" spans="1:12" x14ac:dyDescent="0.25">
      <c r="A59" s="15">
        <v>2002</v>
      </c>
      <c r="B59" s="23"/>
      <c r="C59" s="23"/>
      <c r="D59" s="23"/>
      <c r="E59" s="23"/>
      <c r="F59" s="23"/>
      <c r="G59" s="23"/>
      <c r="H59" s="23"/>
      <c r="I59" s="23"/>
      <c r="J59" s="46"/>
    </row>
    <row r="60" spans="1:12" x14ac:dyDescent="0.25">
      <c r="A60" s="15">
        <v>2003</v>
      </c>
      <c r="B60" s="23"/>
      <c r="C60" s="23"/>
      <c r="D60" s="23"/>
      <c r="E60" s="23"/>
      <c r="F60" s="23"/>
      <c r="G60" s="23"/>
      <c r="H60" s="23"/>
      <c r="I60" s="23"/>
      <c r="J60" s="46"/>
    </row>
    <row r="61" spans="1:12" x14ac:dyDescent="0.25">
      <c r="A61" s="15">
        <v>2004</v>
      </c>
      <c r="B61" s="23"/>
      <c r="C61" s="23"/>
      <c r="D61" s="23"/>
      <c r="E61" s="23"/>
      <c r="F61" s="23"/>
      <c r="G61" s="23"/>
      <c r="H61" s="23"/>
      <c r="I61" s="23"/>
      <c r="J61" s="46"/>
    </row>
    <row r="62" spans="1:12" x14ac:dyDescent="0.25">
      <c r="A62" s="15">
        <v>2005</v>
      </c>
      <c r="B62" s="23"/>
      <c r="C62" s="23"/>
      <c r="D62" s="23"/>
      <c r="E62" s="23"/>
      <c r="F62" s="23"/>
      <c r="G62" s="23"/>
      <c r="H62" s="23"/>
      <c r="I62" s="23"/>
      <c r="J62" s="46"/>
    </row>
    <row r="63" spans="1:12" x14ac:dyDescent="0.25">
      <c r="A63" s="15">
        <v>2006</v>
      </c>
      <c r="B63" s="23"/>
      <c r="C63" s="23"/>
      <c r="D63" s="23"/>
      <c r="E63" s="23"/>
      <c r="F63" s="23"/>
      <c r="G63" s="23"/>
      <c r="H63" s="23"/>
      <c r="I63" s="23"/>
      <c r="J63" s="46"/>
    </row>
    <row r="64" spans="1:12" x14ac:dyDescent="0.25">
      <c r="A64" s="15">
        <v>2007</v>
      </c>
      <c r="B64" s="23"/>
      <c r="C64" s="23"/>
      <c r="D64" s="23"/>
      <c r="E64" s="23"/>
      <c r="F64" s="23"/>
      <c r="G64" s="23"/>
      <c r="H64" s="23"/>
      <c r="I64" s="23"/>
      <c r="J64" s="46"/>
    </row>
    <row r="65" spans="1:69" x14ac:dyDescent="0.25">
      <c r="A65" s="15">
        <v>2008</v>
      </c>
      <c r="B65" s="23"/>
      <c r="C65" s="23"/>
      <c r="D65" s="23"/>
      <c r="E65" s="23"/>
      <c r="F65" s="23"/>
      <c r="G65" s="23"/>
      <c r="H65" s="23"/>
      <c r="I65" s="23"/>
    </row>
    <row r="66" spans="1:69" x14ac:dyDescent="0.25">
      <c r="A66" s="15">
        <v>2009</v>
      </c>
    </row>
    <row r="67" spans="1:69" x14ac:dyDescent="0.25">
      <c r="A67" s="15">
        <v>2010</v>
      </c>
      <c r="B67" s="23"/>
      <c r="C67" s="23"/>
      <c r="D67" s="23"/>
      <c r="E67" s="23"/>
      <c r="F67" s="23"/>
      <c r="G67" s="23"/>
      <c r="H67" s="23"/>
      <c r="I67" s="36"/>
    </row>
    <row r="68" spans="1:69" x14ac:dyDescent="0.25">
      <c r="A68" s="15">
        <v>2011</v>
      </c>
    </row>
    <row r="69" spans="1:69" x14ac:dyDescent="0.25">
      <c r="A69" s="15">
        <v>2012</v>
      </c>
      <c r="B69" s="23"/>
      <c r="C69" s="23"/>
      <c r="D69" s="23"/>
      <c r="E69" s="23"/>
      <c r="F69" s="23"/>
      <c r="G69" s="23"/>
      <c r="H69" s="23"/>
      <c r="I69" s="23"/>
    </row>
    <row r="70" spans="1:69" x14ac:dyDescent="0.25">
      <c r="A70" s="15">
        <v>2013</v>
      </c>
      <c r="B70" s="23"/>
      <c r="C70" s="23"/>
      <c r="D70" s="23"/>
      <c r="E70" s="23"/>
      <c r="F70" s="23"/>
      <c r="G70" s="23"/>
      <c r="H70" s="23"/>
      <c r="I70" s="23"/>
    </row>
    <row r="71" spans="1:69" x14ac:dyDescent="0.25">
      <c r="A71" s="15">
        <v>2014</v>
      </c>
      <c r="B71" s="23"/>
      <c r="C71" s="23"/>
      <c r="D71" s="23"/>
      <c r="E71" s="23"/>
      <c r="F71" s="23"/>
      <c r="G71" s="23"/>
      <c r="H71" s="23"/>
      <c r="I71" s="23"/>
    </row>
    <row r="72" spans="1:69" x14ac:dyDescent="0.25">
      <c r="A72" s="15">
        <v>2015</v>
      </c>
      <c r="B72" s="23"/>
      <c r="C72" s="23"/>
      <c r="D72" s="23"/>
      <c r="E72" s="23"/>
      <c r="F72" s="23"/>
      <c r="G72" s="23"/>
      <c r="H72" s="23"/>
      <c r="I72" s="23"/>
    </row>
    <row r="73" spans="1:69" x14ac:dyDescent="0.25">
      <c r="A73" s="15">
        <v>2016</v>
      </c>
      <c r="B73" s="23"/>
      <c r="C73" s="23"/>
      <c r="D73" s="23"/>
      <c r="E73" s="23"/>
      <c r="F73" s="23"/>
      <c r="G73" s="23"/>
      <c r="H73" s="23"/>
      <c r="I73" s="23"/>
    </row>
    <row r="74" spans="1:69" x14ac:dyDescent="0.25">
      <c r="A74" s="15">
        <v>2017</v>
      </c>
      <c r="B74" s="23"/>
      <c r="C74" s="23"/>
      <c r="D74" s="23"/>
      <c r="E74" s="23"/>
      <c r="F74" s="23"/>
      <c r="G74" s="23"/>
      <c r="H74" s="23"/>
      <c r="I74" s="23"/>
    </row>
    <row r="75" spans="1:69" x14ac:dyDescent="0.25">
      <c r="A75" s="15">
        <v>2018</v>
      </c>
      <c r="B75" s="23"/>
      <c r="C75" s="23"/>
      <c r="D75" s="23"/>
      <c r="E75" s="23"/>
      <c r="F75" s="23"/>
      <c r="G75" s="23"/>
      <c r="H75" s="23"/>
      <c r="I75" s="23"/>
    </row>
    <row r="76" spans="1:69" x14ac:dyDescent="0.25">
      <c r="A76" s="15">
        <v>2019</v>
      </c>
      <c r="B76" s="23"/>
      <c r="C76" s="23"/>
      <c r="D76" s="23"/>
      <c r="E76" s="23"/>
      <c r="F76" s="23"/>
      <c r="G76" s="23"/>
      <c r="H76" s="23"/>
      <c r="I76" s="36"/>
    </row>
    <row r="77" spans="1:69" x14ac:dyDescent="0.25">
      <c r="A77" s="15">
        <v>2020</v>
      </c>
      <c r="B77" s="23"/>
      <c r="C77" s="23"/>
      <c r="D77" s="23"/>
      <c r="E77" s="23"/>
      <c r="F77" s="23"/>
      <c r="G77" s="23"/>
      <c r="H77" s="23"/>
      <c r="I77" s="23"/>
    </row>
    <row r="78" spans="1:69" s="26" customFormat="1" x14ac:dyDescent="0.25">
      <c r="A78" s="25"/>
      <c r="B78" s="24"/>
      <c r="C78" s="24"/>
      <c r="D78" s="24"/>
      <c r="E78" s="24"/>
      <c r="F78" s="24"/>
      <c r="G78" s="24"/>
      <c r="H78" s="24"/>
      <c r="I78" s="24"/>
      <c r="J78" s="44"/>
      <c r="K78" s="1"/>
      <c r="L78" s="1"/>
      <c r="M78" s="1"/>
      <c r="N78" s="1"/>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row>
    <row r="79" spans="1:69" s="26" customFormat="1" x14ac:dyDescent="0.25">
      <c r="A79" s="25"/>
      <c r="B79" s="22"/>
      <c r="C79" s="22"/>
      <c r="D79" s="22"/>
      <c r="E79" s="22"/>
      <c r="F79" s="22"/>
      <c r="G79" s="22"/>
      <c r="H79" s="22"/>
      <c r="I79" s="22"/>
      <c r="J79" s="44"/>
      <c r="K79" s="1"/>
      <c r="L79" s="1"/>
      <c r="M79" s="1"/>
      <c r="N79" s="1"/>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row>
    <row r="80" spans="1:69" s="26" customFormat="1" x14ac:dyDescent="0.25">
      <c r="A80" s="25"/>
      <c r="B80" s="22"/>
      <c r="C80" s="22"/>
      <c r="D80" s="22"/>
      <c r="E80" s="22"/>
      <c r="F80" s="22"/>
      <c r="G80" s="22"/>
      <c r="H80" s="22"/>
      <c r="I80" s="22"/>
      <c r="J80" s="44"/>
      <c r="K80" s="1"/>
      <c r="L80" s="1"/>
      <c r="M80" s="1"/>
      <c r="N80" s="1"/>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row>
    <row r="87" spans="1:69" s="26" customFormat="1" x14ac:dyDescent="0.25">
      <c r="A87" s="25"/>
      <c r="B87" s="22"/>
      <c r="C87" s="22"/>
      <c r="D87" s="22"/>
      <c r="E87" s="22"/>
      <c r="F87" s="22"/>
      <c r="G87" s="22"/>
      <c r="H87" s="22"/>
      <c r="I87" s="22"/>
      <c r="J87" s="44"/>
      <c r="K87" s="1"/>
      <c r="L87" s="1"/>
      <c r="M87" s="1"/>
      <c r="N87" s="1"/>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row>
    <row r="88" spans="1:69" s="26" customFormat="1" x14ac:dyDescent="0.25">
      <c r="A88" s="25"/>
      <c r="B88" s="22"/>
      <c r="C88" s="22"/>
      <c r="D88" s="22"/>
      <c r="E88" s="22"/>
      <c r="F88" s="22"/>
      <c r="G88" s="22"/>
      <c r="H88" s="22"/>
      <c r="I88" s="22"/>
      <c r="J88" s="44"/>
      <c r="K88" s="1"/>
      <c r="L88" s="1"/>
      <c r="M88" s="1"/>
      <c r="N88" s="1"/>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D97B3-9416-45F1-8919-6CB0D3F82407}">
  <dimension ref="A1:BR88"/>
  <sheetViews>
    <sheetView zoomScale="70" zoomScaleNormal="70" workbookViewId="0">
      <pane xSplit="1" ySplit="1" topLeftCell="B2" activePane="bottomRight" state="frozen"/>
      <selection pane="topRight" activeCell="B1" sqref="B1"/>
      <selection pane="bottomLeft" activeCell="A2" sqref="A2"/>
      <selection pane="bottomRight" activeCell="E7" sqref="E7"/>
    </sheetView>
  </sheetViews>
  <sheetFormatPr defaultColWidth="10.7109375" defaultRowHeight="15" x14ac:dyDescent="0.25"/>
  <cols>
    <col min="1" max="1" width="8" style="25" bestFit="1" customWidth="1"/>
    <col min="2" max="9" width="15.140625" style="22" customWidth="1"/>
    <col min="10" max="16384" width="10.7109375" style="22"/>
  </cols>
  <sheetData>
    <row r="1" spans="1:11" s="28" customFormat="1" ht="45" x14ac:dyDescent="0.25">
      <c r="A1" s="27" t="s">
        <v>0</v>
      </c>
      <c r="B1" s="20" t="s">
        <v>14</v>
      </c>
      <c r="C1" s="64" t="s">
        <v>15</v>
      </c>
      <c r="D1" s="64" t="s">
        <v>7</v>
      </c>
      <c r="E1" s="64" t="s">
        <v>16</v>
      </c>
      <c r="F1" s="64" t="s">
        <v>12</v>
      </c>
      <c r="G1" s="64" t="s">
        <v>5</v>
      </c>
      <c r="H1" s="64" t="s">
        <v>6</v>
      </c>
      <c r="I1" s="64" t="s">
        <v>8</v>
      </c>
    </row>
    <row r="2" spans="1:11" x14ac:dyDescent="0.25">
      <c r="A2" s="15">
        <v>1945</v>
      </c>
      <c r="B2" s="23"/>
      <c r="C2" s="23"/>
      <c r="D2" s="23"/>
      <c r="E2" s="23"/>
      <c r="F2" s="23"/>
      <c r="G2" s="23"/>
      <c r="H2" s="23"/>
      <c r="I2" s="23"/>
    </row>
    <row r="3" spans="1:11" x14ac:dyDescent="0.25">
      <c r="A3" s="15">
        <v>1946</v>
      </c>
      <c r="B3" s="23"/>
      <c r="C3" s="23"/>
      <c r="D3" s="23"/>
      <c r="E3" s="23"/>
      <c r="F3" s="23"/>
      <c r="G3" s="23"/>
      <c r="H3" s="23"/>
      <c r="I3" s="23"/>
    </row>
    <row r="4" spans="1:11" x14ac:dyDescent="0.25">
      <c r="A4" s="15">
        <v>1947</v>
      </c>
      <c r="B4" s="23"/>
      <c r="C4" s="23"/>
      <c r="D4" s="23"/>
      <c r="E4" s="23"/>
      <c r="F4" s="23"/>
      <c r="G4" s="23"/>
      <c r="H4" s="23"/>
      <c r="I4" s="23"/>
    </row>
    <row r="5" spans="1:11" x14ac:dyDescent="0.25">
      <c r="A5" s="15">
        <v>1948</v>
      </c>
      <c r="B5" s="23"/>
      <c r="C5" s="23"/>
      <c r="D5" s="23"/>
      <c r="E5" s="23"/>
      <c r="F5" s="23"/>
      <c r="G5" s="23"/>
      <c r="H5" s="23"/>
      <c r="I5" s="23"/>
    </row>
    <row r="6" spans="1:11" x14ac:dyDescent="0.25">
      <c r="A6" s="15">
        <v>1949</v>
      </c>
      <c r="B6" s="23"/>
      <c r="C6" s="23"/>
      <c r="D6" s="23"/>
      <c r="E6" s="23"/>
      <c r="F6" s="23"/>
      <c r="G6" s="23"/>
      <c r="H6" s="23"/>
      <c r="I6" s="23"/>
    </row>
    <row r="7" spans="1:11" x14ac:dyDescent="0.25">
      <c r="A7" s="15">
        <v>1950</v>
      </c>
      <c r="B7" s="23">
        <f>(prod!$F7*MatEnergy_PlateGlass!B7)+((prod!$H7+prod!$J7)*MatEnergy_WindowGlass!B7)</f>
        <v>0.29764145658263302</v>
      </c>
      <c r="C7" s="23">
        <f>(prod!$F7*MatEnergy_PlateGlass!C7)+((prod!$H7+prod!$J7)*MatEnergy_WindowGlass!C7)</f>
        <v>0.10377591036414564</v>
      </c>
      <c r="D7" s="23">
        <f>(prod!$F7*MatEnergy_PlateGlass!D7)+((prod!$H7+prod!$J7)*MatEnergy_WindowGlass!D7)</f>
        <v>0.64892156862745087</v>
      </c>
      <c r="E7" s="23">
        <f>(prod!$F7*MatEnergy_PlateGlass!E7)+((prod!$H7+prod!$J7)*MatEnergy_WindowGlass!E7)</f>
        <v>0.19899439775910366</v>
      </c>
      <c r="F7" s="23">
        <f>(prod!$F7*MatEnergy_PlateGlass!F7)+((prod!$H7+prod!$J7)*MatEnergy_WindowGlass!F7)</f>
        <v>3.5336134453781504E-2</v>
      </c>
      <c r="G7" s="23">
        <f>(prod!$F7*MatEnergy_PlateGlass!G7)+((prod!$H7+prod!$J7)*MatEnergy_WindowGlass!G7)</f>
        <v>7.5518207282913155E-2</v>
      </c>
      <c r="H7" s="23">
        <f>(prod!$F7*MatEnergy_PlateGlass!H7)+((prod!$H7+prod!$J7)*MatEnergy_WindowGlass!H7)</f>
        <v>0.13031092436974787</v>
      </c>
      <c r="I7" s="23">
        <f>(prod!$F7*MatEnergy_PlateGlass!I7)+((prod!$H7+prod!$J7)*MatEnergy_WindowGlass!I7)</f>
        <v>2.1879551820728288E-2</v>
      </c>
      <c r="J7" s="23"/>
      <c r="K7" s="23"/>
    </row>
    <row r="8" spans="1:11" x14ac:dyDescent="0.25">
      <c r="A8" s="15">
        <v>1951</v>
      </c>
      <c r="B8" s="23">
        <f>(prod!$F8*MatEnergy_PlateGlass!B8)+((prod!$H8+prod!$J8)*MatEnergy_WindowGlass!B8)</f>
        <v>0.30338212842388862</v>
      </c>
      <c r="C8" s="23">
        <f>(prod!$F8*MatEnergy_PlateGlass!C8)+((prod!$H8+prod!$J8)*MatEnergy_WindowGlass!C8)</f>
        <v>9.7797036371800636E-2</v>
      </c>
      <c r="D8" s="23">
        <f>(prod!$F8*MatEnergy_PlateGlass!D8)+((prod!$H8+prod!$J8)*MatEnergy_WindowGlass!D8)</f>
        <v>0.65150606196677152</v>
      </c>
      <c r="E8" s="23">
        <f>(prod!$F8*MatEnergy_PlateGlass!E8)+((prod!$H8+prod!$J8)*MatEnergy_WindowGlass!E8)</f>
        <v>0.19948271216883701</v>
      </c>
      <c r="F8" s="23">
        <f>(prod!$F8*MatEnergy_PlateGlass!F8)+((prod!$H8+prod!$J8)*MatEnergy_WindowGlass!F8)</f>
        <v>3.5800628648405927E-2</v>
      </c>
      <c r="G8" s="23">
        <f>(prod!$F8*MatEnergy_PlateGlass!G8)+((prod!$H8+prod!$J8)*MatEnergy_WindowGlass!G8)</f>
        <v>7.4994162550516386E-2</v>
      </c>
      <c r="H8" s="23">
        <f>(prod!$F8*MatEnergy_PlateGlass!H8)+((prod!$H8+prod!$J8)*MatEnergy_WindowGlass!H8)</f>
        <v>0.13084687920969915</v>
      </c>
      <c r="I8" s="23">
        <f>(prod!$F8*MatEnergy_PlateGlass!I8)+((prod!$H8+prod!$J8)*MatEnergy_WindowGlass!I8)</f>
        <v>2.1748540637629099E-2</v>
      </c>
      <c r="K8" s="23"/>
    </row>
    <row r="9" spans="1:11" x14ac:dyDescent="0.25">
      <c r="A9" s="15">
        <v>1952</v>
      </c>
      <c r="B9" s="23">
        <f>(prod!$F9*MatEnergy_PlateGlass!B9)+((prod!$H9+prod!$J9)*MatEnergy_WindowGlass!B9)</f>
        <v>0.28172164231036884</v>
      </c>
      <c r="C9" s="23">
        <f>(prod!$F9*MatEnergy_PlateGlass!C9)+((prod!$H9+prod!$J9)*MatEnergy_WindowGlass!C9)</f>
        <v>0.12035629784272792</v>
      </c>
      <c r="D9" s="23">
        <f>(prod!$F9*MatEnergy_PlateGlass!D9)+((prod!$H9+prod!$J9)*MatEnergy_WindowGlass!D9)</f>
        <v>0.64175434933890052</v>
      </c>
      <c r="E9" s="23">
        <f>(prod!$F9*MatEnergy_PlateGlass!E9)+((prod!$H9+prod!$J9)*MatEnergy_WindowGlass!E9)</f>
        <v>0.19764022268615172</v>
      </c>
      <c r="F9" s="23">
        <f>(prod!$F9*MatEnergy_PlateGlass!F9)+((prod!$H9+prod!$J9)*MatEnergy_WindowGlass!F9)</f>
        <v>3.4048016701461375E-2</v>
      </c>
      <c r="G9" s="23">
        <f>(prod!$F9*MatEnergy_PlateGlass!G9)+((prod!$H9+prod!$J9)*MatEnergy_WindowGlass!G9)</f>
        <v>7.6971468336812815E-2</v>
      </c>
      <c r="H9" s="23">
        <f>(prod!$F9*MatEnergy_PlateGlass!H9)+((prod!$H9+prod!$J9)*MatEnergy_WindowGlass!H9)</f>
        <v>0.12882463465553234</v>
      </c>
      <c r="I9" s="23">
        <f>(prod!$F9*MatEnergy_PlateGlass!I9)+((prod!$H9+prod!$J9)*MatEnergy_WindowGlass!I9)</f>
        <v>2.2242867084203199E-2</v>
      </c>
      <c r="K9" s="23"/>
    </row>
    <row r="10" spans="1:11" x14ac:dyDescent="0.25">
      <c r="A10" s="15">
        <v>1953</v>
      </c>
      <c r="B10" s="23">
        <f>(prod!$F10*MatEnergy_PlateGlass!B10)+((prod!$H10+prod!$J10)*MatEnergy_WindowGlass!B10)</f>
        <v>0.28613922859830665</v>
      </c>
      <c r="C10" s="23">
        <f>(prod!$F10*MatEnergy_PlateGlass!C10)+((prod!$H10+prod!$J10)*MatEnergy_WindowGlass!C10)</f>
        <v>0.11575540921919097</v>
      </c>
      <c r="D10" s="23">
        <f>(prod!$F10*MatEnergy_PlateGlass!D10)+((prod!$H10+prod!$J10)*MatEnergy_WindowGlass!D10)</f>
        <v>0.64374317968015049</v>
      </c>
      <c r="E10" s="23">
        <f>(prod!$F10*MatEnergy_PlateGlass!E10)+((prod!$H10+prod!$J10)*MatEnergy_WindowGlass!E10)</f>
        <v>0.19801599247412982</v>
      </c>
      <c r="F10" s="23">
        <f>(prod!$F10*MatEnergy_PlateGlass!F10)+((prod!$H10+prod!$J10)*MatEnergy_WindowGlass!F10)</f>
        <v>3.4405456255879582E-2</v>
      </c>
      <c r="G10" s="23">
        <f>(prod!$F10*MatEnergy_PlateGlass!G10)+((prod!$H10+prod!$J10)*MatEnergy_WindowGlass!G10)</f>
        <v>7.6568203198494833E-2</v>
      </c>
      <c r="H10" s="23">
        <f>(prod!$F10*MatEnergy_PlateGlass!H10)+((prod!$H10+prod!$J10)*MatEnergy_WindowGlass!H10)</f>
        <v>0.12923706491063028</v>
      </c>
      <c r="I10" s="23">
        <f>(prod!$F10*MatEnergy_PlateGlass!I10)+((prod!$H10+prod!$J10)*MatEnergy_WindowGlass!I10)</f>
        <v>2.2142050799623704E-2</v>
      </c>
      <c r="K10" s="23"/>
    </row>
    <row r="11" spans="1:11" x14ac:dyDescent="0.25">
      <c r="A11" s="15">
        <v>1954</v>
      </c>
      <c r="B11" s="23">
        <f>(prod!$F11*MatEnergy_PlateGlass!B11)+((prod!$H11+prod!$J11)*MatEnergy_WindowGlass!B11)</f>
        <v>0.28611556383970177</v>
      </c>
      <c r="C11" s="23">
        <f>(prod!$F11*MatEnergy_PlateGlass!C11)+((prod!$H11+prod!$J11)*MatEnergy_WindowGlass!C11)</f>
        <v>0.11578005591798697</v>
      </c>
      <c r="D11" s="23">
        <f>(prod!$F11*MatEnergy_PlateGlass!D11)+((prod!$H11+prod!$J11)*MatEnergy_WindowGlass!D11)</f>
        <v>0.64373252562907735</v>
      </c>
      <c r="E11" s="23">
        <f>(prod!$F11*MatEnergy_PlateGlass!E11)+((prod!$H11+prod!$J11)*MatEnergy_WindowGlass!E11)</f>
        <v>0.19801397949673813</v>
      </c>
      <c r="F11" s="23">
        <f>(prod!$F11*MatEnergy_PlateGlass!F11)+((prod!$H11+prod!$J11)*MatEnergy_WindowGlass!F11)</f>
        <v>3.4403541472506988E-2</v>
      </c>
      <c r="G11" s="23">
        <f>(prod!$F11*MatEnergy_PlateGlass!G11)+((prod!$H11+prod!$J11)*MatEnergy_WindowGlass!G11)</f>
        <v>7.6570363466915189E-2</v>
      </c>
      <c r="H11" s="23">
        <f>(prod!$F11*MatEnergy_PlateGlass!H11)+((prod!$H11+prod!$J11)*MatEnergy_WindowGlass!H11)</f>
        <v>0.12923485554520037</v>
      </c>
      <c r="I11" s="23">
        <f>(prod!$F11*MatEnergy_PlateGlass!I11)+((prod!$H11+prod!$J11)*MatEnergy_WindowGlass!I11)</f>
        <v>2.2142590866728797E-2</v>
      </c>
      <c r="K11" s="23"/>
    </row>
    <row r="12" spans="1:11" x14ac:dyDescent="0.25">
      <c r="A12" s="15">
        <v>1955</v>
      </c>
      <c r="B12" s="23">
        <f>(prod!$F12*MatEnergy_PlateGlass!B12)+((prod!$H12+prod!$J12)*MatEnergy_WindowGlass!B12)</f>
        <v>0.30441391660271161</v>
      </c>
      <c r="C12" s="23">
        <f>(prod!$F12*MatEnergy_PlateGlass!C12)+((prod!$H12+prod!$J12)*MatEnergy_WindowGlass!C12)</f>
        <v>9.6722435405474538E-2</v>
      </c>
      <c r="D12" s="23">
        <f>(prod!$F12*MatEnergy_PlateGlass!D12)+((prod!$H12+prod!$J12)*MatEnergy_WindowGlass!D12)</f>
        <v>0.6519705807111793</v>
      </c>
      <c r="E12" s="23">
        <f>(prod!$F12*MatEnergy_PlateGlass!E12)+((prod!$H12+prod!$J12)*MatEnergy_WindowGlass!E12)</f>
        <v>0.1995704783832182</v>
      </c>
      <c r="F12" s="23">
        <f>(prod!$F12*MatEnergy_PlateGlass!F12)+((prod!$H12+prod!$J12)*MatEnergy_WindowGlass!F12)</f>
        <v>3.5884113584036828E-2</v>
      </c>
      <c r="G12" s="23">
        <f>(prod!$F12*MatEnergy_PlateGlass!G12)+((prod!$H12+prod!$J12)*MatEnergy_WindowGlass!G12)</f>
        <v>7.4899974418009704E-2</v>
      </c>
      <c r="H12" s="23">
        <f>(prod!$F12*MatEnergy_PlateGlass!H12)+((prod!$H12+prod!$J12)*MatEnergy_WindowGlass!H12)</f>
        <v>0.13094320798158093</v>
      </c>
      <c r="I12" s="23">
        <f>(prod!$F12*MatEnergy_PlateGlass!I12)+((prod!$H12+prod!$J12)*MatEnergy_WindowGlass!I12)</f>
        <v>2.1724993604502425E-2</v>
      </c>
      <c r="K12" s="23"/>
    </row>
    <row r="13" spans="1:11" x14ac:dyDescent="0.25">
      <c r="A13" s="15">
        <v>1956</v>
      </c>
      <c r="B13" s="23">
        <f>(prod!$F13*MatEnergy_PlateGlass!B13)+((prod!$H13+prod!$J13)*MatEnergy_WindowGlass!B13)</f>
        <v>0.28060498463639466</v>
      </c>
      <c r="C13" s="23">
        <f>(prod!$F13*MatEnergy_PlateGlass!C13)+((prod!$H13+prod!$J13)*MatEnergy_WindowGlass!C13)</f>
        <v>0.1215192898600205</v>
      </c>
      <c r="D13" s="23">
        <f>(prod!$F13*MatEnergy_PlateGlass!D13)+((prod!$H13+prod!$J13)*MatEnergy_WindowGlass!D13)</f>
        <v>0.6412516217138956</v>
      </c>
      <c r="E13" s="23">
        <f>(prod!$F13*MatEnergy_PlateGlass!E13)+((prod!$H13+prod!$J13)*MatEnergy_WindowGlass!E13)</f>
        <v>0.19754523728234896</v>
      </c>
      <c r="F13" s="23">
        <f>(prod!$F13*MatEnergy_PlateGlass!F13)+((prod!$H13+prod!$J13)*MatEnergy_WindowGlass!F13)</f>
        <v>3.3957664731990439E-2</v>
      </c>
      <c r="G13" s="23">
        <f>(prod!$F13*MatEnergy_PlateGlass!G13)+((prod!$H13+prod!$J13)*MatEnergy_WindowGlass!G13)</f>
        <v>7.7073403892113354E-2</v>
      </c>
      <c r="H13" s="23">
        <f>(prod!$F13*MatEnergy_PlateGlass!H13)+((prod!$H13+prod!$J13)*MatEnergy_WindowGlass!H13)</f>
        <v>0.12872038238306588</v>
      </c>
      <c r="I13" s="23">
        <f>(prod!$F13*MatEnergy_PlateGlass!I13)+((prod!$H13+prod!$J13)*MatEnergy_WindowGlass!I13)</f>
        <v>2.2268350973028338E-2</v>
      </c>
      <c r="K13" s="23"/>
    </row>
    <row r="14" spans="1:11" x14ac:dyDescent="0.25">
      <c r="A14" s="15">
        <v>1957</v>
      </c>
      <c r="B14" s="23">
        <f>(prod!$F14*MatEnergy_PlateGlass!B14)+((prod!$H14+prod!$J14)*MatEnergy_WindowGlass!B14)</f>
        <v>0.2663244336569579</v>
      </c>
      <c r="C14" s="23">
        <f>(prod!$F14*MatEnergy_PlateGlass!C14)+((prod!$H14+prod!$J14)*MatEnergy_WindowGlass!C14)</f>
        <v>0.13639239482200646</v>
      </c>
      <c r="D14" s="23">
        <f>(prod!$F14*MatEnergy_PlateGlass!D14)+((prod!$H14+prod!$J14)*MatEnergy_WindowGlass!D14)</f>
        <v>0.63482241100323622</v>
      </c>
      <c r="E14" s="23">
        <f>(prod!$F14*MatEnergy_PlateGlass!E14)+((prod!$H14+prod!$J14)*MatEnergy_WindowGlass!E14)</f>
        <v>0.19633050161812299</v>
      </c>
      <c r="F14" s="23">
        <f>(prod!$F14*MatEnergy_PlateGlass!F14)+((prod!$H14+prod!$J14)*MatEnergy_WindowGlass!F14)</f>
        <v>3.2802184466019409E-2</v>
      </c>
      <c r="G14" s="23">
        <f>(prod!$F14*MatEnergy_PlateGlass!G14)+((prod!$H14+prod!$J14)*MatEnergy_WindowGlass!G14)</f>
        <v>7.8377022653721679E-2</v>
      </c>
      <c r="H14" s="23">
        <f>(prod!$F14*MatEnergy_PlateGlass!H14)+((prod!$H14+prod!$J14)*MatEnergy_WindowGlass!H14)</f>
        <v>0.12738713592233009</v>
      </c>
      <c r="I14" s="23">
        <f>(prod!$F14*MatEnergy_PlateGlass!I14)+((prod!$H14+prod!$J14)*MatEnergy_WindowGlass!I14)</f>
        <v>2.2594255663430419E-2</v>
      </c>
      <c r="K14" s="23"/>
    </row>
    <row r="15" spans="1:11" x14ac:dyDescent="0.25">
      <c r="A15" s="15">
        <v>1958</v>
      </c>
      <c r="B15" s="23">
        <f>(prod!$F15*MatEnergy_PlateGlass!B15)+((prod!$H15+prod!$J15)*MatEnergy_WindowGlass!B15)</f>
        <v>0.26506016980435587</v>
      </c>
      <c r="C15" s="23">
        <f>(prod!$F15*MatEnergy_PlateGlass!C15)+((prod!$H15+prod!$J15)*MatEnergy_WindowGlass!C15)</f>
        <v>0.13770911775562938</v>
      </c>
      <c r="D15" s="23">
        <f>(prod!$F15*MatEnergy_PlateGlass!D15)+((prod!$H15+prod!$J15)*MatEnergy_WindowGlass!D15)</f>
        <v>0.63425322997416034</v>
      </c>
      <c r="E15" s="23">
        <f>(prod!$F15*MatEnergy_PlateGlass!E15)+((prod!$H15+prod!$J15)*MatEnergy_WindowGlass!E15)</f>
        <v>0.19622296050203031</v>
      </c>
      <c r="F15" s="23">
        <f>(prod!$F15*MatEnergy_PlateGlass!F15)+((prod!$H15+prod!$J15)*MatEnergy_WindowGlass!F15)</f>
        <v>3.2699889258028796E-2</v>
      </c>
      <c r="G15" s="23">
        <f>(prod!$F15*MatEnergy_PlateGlass!G15)+((prod!$H15+prod!$J15)*MatEnergy_WindowGlass!G15)</f>
        <v>7.8492432631967521E-2</v>
      </c>
      <c r="H15" s="23">
        <f>(prod!$F15*MatEnergy_PlateGlass!H15)+((prod!$H15+prod!$J15)*MatEnergy_WindowGlass!H15)</f>
        <v>0.12726910299003322</v>
      </c>
      <c r="I15" s="23">
        <f>(prod!$F15*MatEnergy_PlateGlass!I15)+((prod!$H15+prod!$J15)*MatEnergy_WindowGlass!I15)</f>
        <v>2.2623108157991879E-2</v>
      </c>
      <c r="K15" s="23"/>
    </row>
    <row r="16" spans="1:11" x14ac:dyDescent="0.25">
      <c r="A16" s="15">
        <v>1959</v>
      </c>
      <c r="B16" s="23">
        <f>(prod!$F16*MatEnergy_PlateGlass!B16)+((prod!$H16+prod!$J16)*MatEnergy_WindowGlass!B16)</f>
        <v>0.23878347372643402</v>
      </c>
      <c r="C16" s="23">
        <f>(prod!$F16*MatEnergy_PlateGlass!C16)+((prod!$H16+prod!$J16)*MatEnergy_WindowGlass!C16)</f>
        <v>0.16507613317288408</v>
      </c>
      <c r="D16" s="23">
        <f>(prod!$F16*MatEnergy_PlateGlass!D16)+((prod!$H16+prod!$J16)*MatEnergy_WindowGlass!D16)</f>
        <v>0.62242326514239876</v>
      </c>
      <c r="E16" s="23">
        <f>(prod!$F16*MatEnergy_PlateGlass!E16)+((prod!$H16+prod!$J16)*MatEnergy_WindowGlass!E16)</f>
        <v>0.19398780585639791</v>
      </c>
      <c r="F16" s="23">
        <f>(prod!$F16*MatEnergy_PlateGlass!F16)+((prod!$H16+prod!$J16)*MatEnergy_WindowGlass!F16)</f>
        <v>3.057376654632972E-2</v>
      </c>
      <c r="G16" s="23">
        <f>(prod!$F16*MatEnergy_PlateGlass!G16)+((prod!$H16+prod!$J16)*MatEnergy_WindowGlass!G16)</f>
        <v>8.0891135178499801E-2</v>
      </c>
      <c r="H16" s="23">
        <f>(prod!$F16*MatEnergy_PlateGlass!H16)+((prod!$H16+prod!$J16)*MatEnergy_WindowGlass!H16)</f>
        <v>0.12481588447653429</v>
      </c>
      <c r="I16" s="23">
        <f>(prod!$F16*MatEnergy_PlateGlass!I16)+((prod!$H16+prod!$J16)*MatEnergy_WindowGlass!I16)</f>
        <v>2.3222783794624949E-2</v>
      </c>
      <c r="K16" s="23"/>
    </row>
    <row r="17" spans="1:11" x14ac:dyDescent="0.25">
      <c r="A17" s="15">
        <v>1960</v>
      </c>
      <c r="B17" s="23">
        <f>(prod!$F17*MatEnergy_PlateGlass!B17)+((prod!$H17+prod!$J17)*MatEnergy_WindowGlass!B17)</f>
        <v>0.2444013442150744</v>
      </c>
      <c r="C17" s="23">
        <f>(prod!$F17*MatEnergy_PlateGlass!C17)+((prod!$H17+prod!$J17)*MatEnergy_WindowGlass!C17)</f>
        <v>0.15922515602496401</v>
      </c>
      <c r="D17" s="23">
        <f>(prod!$F17*MatEnergy_PlateGlass!D17)+((prod!$H17+prod!$J17)*MatEnergy_WindowGlass!D17)</f>
        <v>0.62495247239558327</v>
      </c>
      <c r="E17" s="23">
        <f>(prod!$F17*MatEnergy_PlateGlass!E17)+((prod!$H17+prod!$J17)*MatEnergy_WindowGlass!E17)</f>
        <v>0.19446567450792129</v>
      </c>
      <c r="F17" s="23">
        <f>(prod!$F17*MatEnergy_PlateGlass!F17)+((prod!$H17+prod!$J17)*MatEnergy_WindowGlass!F17)</f>
        <v>3.1028324531925104E-2</v>
      </c>
      <c r="G17" s="23">
        <f>(prod!$F17*MatEnergy_PlateGlass!G17)+((prod!$H17+prod!$J17)*MatEnergy_WindowGlass!G17)</f>
        <v>8.0378300528084506E-2</v>
      </c>
      <c r="H17" s="23">
        <f>(prod!$F17*MatEnergy_PlateGlass!H17)+((prod!$H17+prod!$J17)*MatEnergy_WindowGlass!H17)</f>
        <v>0.12534037445991358</v>
      </c>
      <c r="I17" s="23">
        <f>(prod!$F17*MatEnergy_PlateGlass!I17)+((prod!$H17+prod!$J17)*MatEnergy_WindowGlass!I17)</f>
        <v>2.3094575132021122E-2</v>
      </c>
      <c r="K17" s="23"/>
    </row>
    <row r="18" spans="1:11" x14ac:dyDescent="0.25">
      <c r="A18" s="15">
        <v>1961</v>
      </c>
      <c r="B18" s="23">
        <f>(prod!$F18*MatEnergy_PlateGlass!B18)+((prod!$H18+prod!$J18)*MatEnergy_WindowGlass!B18)</f>
        <v>0.24741410129096325</v>
      </c>
      <c r="C18" s="23">
        <f>(prod!$F18*MatEnergy_PlateGlass!C18)+((prod!$H18+prod!$J18)*MatEnergy_WindowGlass!C18)</f>
        <v>0.15608738828202581</v>
      </c>
      <c r="D18" s="23">
        <f>(prod!$F18*MatEnergy_PlateGlass!D18)+((prod!$H18+prod!$J18)*MatEnergy_WindowGlass!D18)</f>
        <v>0.62630883813306859</v>
      </c>
      <c r="E18" s="23">
        <f>(prod!$F18*MatEnergy_PlateGlass!E18)+((prod!$H18+prod!$J18)*MatEnergy_WindowGlass!E18)</f>
        <v>0.19472194637537238</v>
      </c>
      <c r="F18" s="23">
        <f>(prod!$F18*MatEnergy_PlateGlass!F18)+((prod!$H18+prod!$J18)*MatEnergy_WindowGlass!F18)</f>
        <v>3.12720953326713E-2</v>
      </c>
      <c r="G18" s="23">
        <f>(prod!$F18*MatEnergy_PlateGlass!G18)+((prod!$H18+prod!$J18)*MatEnergy_WindowGlass!G18)</f>
        <v>8.0103277060575961E-2</v>
      </c>
      <c r="H18" s="23">
        <f>(prod!$F18*MatEnergy_PlateGlass!H18)+((prod!$H18+prod!$J18)*MatEnergy_WindowGlass!H18)</f>
        <v>0.12562164846077456</v>
      </c>
      <c r="I18" s="23">
        <f>(prod!$F18*MatEnergy_PlateGlass!I18)+((prod!$H18+prod!$J18)*MatEnergy_WindowGlass!I18)</f>
        <v>2.302581926514399E-2</v>
      </c>
      <c r="K18" s="23"/>
    </row>
    <row r="19" spans="1:11" x14ac:dyDescent="0.25">
      <c r="A19" s="15">
        <v>1962</v>
      </c>
      <c r="B19" s="23">
        <f>(prod!$F19*MatEnergy_PlateGlass!B19)+((prod!$H19+prod!$J19)*MatEnergy_WindowGlass!B19)</f>
        <v>0.23623669969780031</v>
      </c>
      <c r="C19" s="23">
        <f>(prod!$F19*MatEnergy_PlateGlass!C19)+((prod!$H19+prod!$J19)*MatEnergy_WindowGlass!C19)</f>
        <v>0.16772858247241551</v>
      </c>
      <c r="D19" s="23">
        <f>(prod!$F19*MatEnergy_PlateGlass!D19)+((prod!$H19+prod!$J19)*MatEnergy_WindowGlass!D19)</f>
        <v>0.62127668845315909</v>
      </c>
      <c r="E19" s="23">
        <f>(prod!$F19*MatEnergy_PlateGlass!E19)+((prod!$H19+prod!$J19)*MatEnergy_WindowGlass!E19)</f>
        <v>0.19377117155105772</v>
      </c>
      <c r="F19" s="23">
        <f>(prod!$F19*MatEnergy_PlateGlass!F19)+((prod!$H19+prod!$J19)*MatEnergy_WindowGlass!F19)</f>
        <v>3.0367699768079279E-2</v>
      </c>
      <c r="G19" s="23">
        <f>(prod!$F19*MatEnergy_PlateGlass!G19)+((prod!$H19+prod!$J19)*MatEnergy_WindowGlass!G19)</f>
        <v>8.1123620774474672E-2</v>
      </c>
      <c r="H19" s="23">
        <f>(prod!$F19*MatEnergy_PlateGlass!H19)+((prod!$H19+prod!$J19)*MatEnergy_WindowGlass!H19)</f>
        <v>0.12457811511701455</v>
      </c>
      <c r="I19" s="23">
        <f>(prod!$F19*MatEnergy_PlateGlass!I19)+((prod!$H19+prod!$J19)*MatEnergy_WindowGlass!I19)</f>
        <v>2.3280905193618667E-2</v>
      </c>
      <c r="K19" s="23"/>
    </row>
    <row r="20" spans="1:11" x14ac:dyDescent="0.25">
      <c r="A20" s="15">
        <v>1963</v>
      </c>
      <c r="B20" s="23">
        <f>(prod!$F20*MatEnergy_PlateGlass!B20)+((prod!$H20+prod!$J20)*MatEnergy_WindowGlass!B20)</f>
        <v>0.23006188925081433</v>
      </c>
      <c r="C20" s="23">
        <f>(prod!$F20*MatEnergy_PlateGlass!C20)+((prod!$H20+prod!$J20)*MatEnergy_WindowGlass!C20)</f>
        <v>0.17415960912052117</v>
      </c>
      <c r="D20" s="23">
        <f>(prod!$F20*MatEnergy_PlateGlass!D20)+((prod!$H20+prod!$J20)*MatEnergy_WindowGlass!D20)</f>
        <v>0.61849674267100974</v>
      </c>
      <c r="E20" s="23">
        <f>(prod!$F20*MatEnergy_PlateGlass!E20)+((prod!$H20+prod!$J20)*MatEnergy_WindowGlass!E20)</f>
        <v>0.19324592833876222</v>
      </c>
      <c r="F20" s="23">
        <f>(prod!$F20*MatEnergy_PlateGlass!F20)+((prod!$H20+prod!$J20)*MatEnergy_WindowGlass!F20)</f>
        <v>2.9868078175895763E-2</v>
      </c>
      <c r="G20" s="23">
        <f>(prod!$F20*MatEnergy_PlateGlass!G20)+((prod!$H20+prod!$J20)*MatEnergy_WindowGlass!G20)</f>
        <v>8.1687296416938115E-2</v>
      </c>
      <c r="H20" s="23">
        <f>(prod!$F20*MatEnergy_PlateGlass!H20)+((prod!$H20+prod!$J20)*MatEnergy_WindowGlass!H20)</f>
        <v>0.12400162866449511</v>
      </c>
      <c r="I20" s="23">
        <f>(prod!$F20*MatEnergy_PlateGlass!I20)+((prod!$H20+prod!$J20)*MatEnergy_WindowGlass!I20)</f>
        <v>2.3421824104234525E-2</v>
      </c>
      <c r="K20" s="23"/>
    </row>
    <row r="21" spans="1:11" x14ac:dyDescent="0.25">
      <c r="A21" s="15">
        <v>1964</v>
      </c>
      <c r="B21" s="23">
        <f>(prod!$F21*MatEnergy_PlateGlass!B21)+((prod!$H21+prod!$J21)*MatEnergy_WindowGlass!B21)</f>
        <v>0.24527784938317068</v>
      </c>
      <c r="C21" s="23">
        <f>(prod!$F21*MatEnergy_PlateGlass!C21)+((prod!$H21+prod!$J21)*MatEnergy_WindowGlass!C21)</f>
        <v>0.15831228134781808</v>
      </c>
      <c r="D21" s="23">
        <f>(prod!$F21*MatEnergy_PlateGlass!D21)+((prod!$H21+prod!$J21)*MatEnergy_WindowGlass!D21)</f>
        <v>0.62534708156877183</v>
      </c>
      <c r="E21" s="23">
        <f>(prod!$F21*MatEnergy_PlateGlass!E21)+((prod!$H21+prod!$J21)*MatEnergy_WindowGlass!E21)</f>
        <v>0.19454023200147302</v>
      </c>
      <c r="F21" s="23">
        <f>(prod!$F21*MatEnergy_PlateGlass!F21)+((prod!$H21+prod!$J21)*MatEnergy_WindowGlass!F21)</f>
        <v>3.1099245074571898E-2</v>
      </c>
      <c r="G21" s="23">
        <f>(prod!$F21*MatEnergy_PlateGlass!G21)+((prod!$H21+prod!$J21)*MatEnergy_WindowGlass!G21)</f>
        <v>8.0298287608175284E-2</v>
      </c>
      <c r="H21" s="23">
        <f>(prod!$F21*MatEnergy_PlateGlass!H21)+((prod!$H21+prod!$J21)*MatEnergy_WindowGlass!H21)</f>
        <v>0.12542220585527528</v>
      </c>
      <c r="I21" s="23">
        <f>(prod!$F21*MatEnergy_PlateGlass!I21)+((prod!$H21+prod!$J21)*MatEnergy_WindowGlass!I21)</f>
        <v>2.3074571902043824E-2</v>
      </c>
      <c r="K21" s="23"/>
    </row>
    <row r="22" spans="1:11" x14ac:dyDescent="0.25">
      <c r="A22" s="15">
        <v>1965</v>
      </c>
      <c r="B22" s="23">
        <f>(prod!$F22*MatEnergy_PlateGlass!B22)+((prod!$H22+prod!$J22)*MatEnergy_WindowGlass!B22)</f>
        <v>0.24235899255054988</v>
      </c>
      <c r="C22" s="23">
        <f>(prod!$F22*MatEnergy_PlateGlass!C22)+((prod!$H22+prod!$J22)*MatEnergy_WindowGlass!C22)</f>
        <v>0.16135225257183397</v>
      </c>
      <c r="D22" s="23">
        <f>(prod!$F22*MatEnergy_PlateGlass!D22)+((prod!$H22+prod!$J22)*MatEnergy_WindowGlass!D22)</f>
        <v>0.62403299042213556</v>
      </c>
      <c r="E22" s="23">
        <f>(prod!$F22*MatEnergy_PlateGlass!E22)+((prod!$H22+prod!$J22)*MatEnergy_WindowGlass!E22)</f>
        <v>0.19429194749911319</v>
      </c>
      <c r="F22" s="23">
        <f>(prod!$F22*MatEnergy_PlateGlass!F22)+((prod!$H22+prod!$J22)*MatEnergy_WindowGlass!F22)</f>
        <v>3.0863072011351543E-2</v>
      </c>
      <c r="G22" s="23">
        <f>(prod!$F22*MatEnergy_PlateGlass!G22)+((prod!$H22+prod!$J22)*MatEnergy_WindowGlass!G22)</f>
        <v>8.0564739269244429E-2</v>
      </c>
      <c r="H22" s="23">
        <f>(prod!$F22*MatEnergy_PlateGlass!H22)+((prod!$H22+prod!$J22)*MatEnergy_WindowGlass!H22)</f>
        <v>0.12514969847463642</v>
      </c>
      <c r="I22" s="23">
        <f>(prod!$F22*MatEnergy_PlateGlass!I22)+((prod!$H22+prod!$J22)*MatEnergy_WindowGlass!I22)</f>
        <v>2.3141184817311103E-2</v>
      </c>
      <c r="K22" s="23"/>
    </row>
    <row r="23" spans="1:11" x14ac:dyDescent="0.25">
      <c r="A23" s="15">
        <v>1966</v>
      </c>
      <c r="B23" s="23">
        <f>(prod!$F23*MatEnergy_PlateGlass!B23)+((prod!$H23+prod!$J23)*MatEnergy_WindowGlass!B23)</f>
        <v>0.23503697264719517</v>
      </c>
      <c r="C23" s="23">
        <f>(prod!$F23*MatEnergy_PlateGlass!C23)+((prod!$H23+prod!$J23)*MatEnergy_WindowGlass!C23)</f>
        <v>0.14590855354659246</v>
      </c>
      <c r="D23" s="23">
        <f>(prod!$F23*MatEnergy_PlateGlass!D23)+((prod!$H23+prod!$J23)*MatEnergy_WindowGlass!D23)</f>
        <v>0.58426124246638844</v>
      </c>
      <c r="E23" s="23">
        <f>(prod!$F23*MatEnergy_PlateGlass!E23)+((prod!$H23+prod!$J23)*MatEnergy_WindowGlass!E23)</f>
        <v>0.17747786277236904</v>
      </c>
      <c r="F23" s="23">
        <f>(prod!$F23*MatEnergy_PlateGlass!F23)+((prod!$H23+prod!$J23)*MatEnergy_WindowGlass!F23)</f>
        <v>1.3705957348168752E-2</v>
      </c>
      <c r="G23" s="23">
        <f>(prod!$F23*MatEnergy_PlateGlass!G23)+((prod!$H23+prod!$J23)*MatEnergy_WindowGlass!G23)</f>
        <v>6.4765530829856283E-2</v>
      </c>
      <c r="H23" s="23">
        <f>(prod!$F23*MatEnergy_PlateGlass!H23)+((prod!$H23+prod!$J23)*MatEnergy_WindowGlass!H23)</f>
        <v>0.12741446453407509</v>
      </c>
      <c r="I23" s="23">
        <f>(prod!$F23*MatEnergy_PlateGlass!I23)+((prod!$H23+prod!$J23)*MatEnergy_WindowGlass!I23)</f>
        <v>3.5290217895224844E-2</v>
      </c>
      <c r="K23" s="23"/>
    </row>
    <row r="24" spans="1:11" x14ac:dyDescent="0.25">
      <c r="A24" s="15">
        <v>1967</v>
      </c>
      <c r="B24" s="23">
        <f>(prod!$F24*MatEnergy_PlateGlass!B24)+((prod!$H24+prod!$J24)*MatEnergy_WindowGlass!B24)</f>
        <v>0.24180917782026765</v>
      </c>
      <c r="C24" s="23">
        <f>(prod!$F24*MatEnergy_PlateGlass!C24)+((prod!$H24+prod!$J24)*MatEnergy_WindowGlass!C24)</f>
        <v>0.13993307839388147</v>
      </c>
      <c r="D24" s="23">
        <f>(prod!$F24*MatEnergy_PlateGlass!D24)+((prod!$H24+prod!$J24)*MatEnergy_WindowGlass!D24)</f>
        <v>0.58901414913957928</v>
      </c>
      <c r="E24" s="23">
        <f>(prod!$F24*MatEnergy_PlateGlass!E24)+((prod!$H24+prod!$J24)*MatEnergy_WindowGlass!E24)</f>
        <v>0.17881032504780114</v>
      </c>
      <c r="F24" s="23">
        <f>(prod!$F24*MatEnergy_PlateGlass!F24)+((prod!$H24+prod!$J24)*MatEnergy_WindowGlass!F24)</f>
        <v>1.3719694072657744E-2</v>
      </c>
      <c r="G24" s="23">
        <f>(prod!$F24*MatEnergy_PlateGlass!G24)+((prod!$H24+prod!$J24)*MatEnergy_WindowGlass!G24)</f>
        <v>6.4916634799235179E-2</v>
      </c>
      <c r="H24" s="23">
        <f>(prod!$F24*MatEnergy_PlateGlass!H24)+((prod!$H24+prod!$J24)*MatEnergy_WindowGlass!H24)</f>
        <v>0.12790898661567876</v>
      </c>
      <c r="I24" s="23">
        <f>(prod!$F24*MatEnergy_PlateGlass!I24)+((prod!$H24+prod!$J24)*MatEnergy_WindowGlass!I24)</f>
        <v>3.4575908221797319E-2</v>
      </c>
      <c r="K24" s="23"/>
    </row>
    <row r="25" spans="1:11" x14ac:dyDescent="0.25">
      <c r="A25" s="15">
        <v>1968</v>
      </c>
      <c r="B25" s="23">
        <f>(prod!$F25*MatEnergy_PlateGlass!B25)+((prod!$H25+prod!$J25)*MatEnergy_WindowGlass!B25)</f>
        <v>0.23345269818093328</v>
      </c>
      <c r="C25" s="23">
        <f>(prod!$F25*MatEnergy_PlateGlass!C25)+((prod!$H25+prod!$J25)*MatEnergy_WindowGlass!C25)</f>
        <v>0.14730644278152949</v>
      </c>
      <c r="D25" s="23">
        <f>(prod!$F25*MatEnergy_PlateGlass!D25)+((prod!$H25+prod!$J25)*MatEnergy_WindowGlass!D25)</f>
        <v>0.58314935815538127</v>
      </c>
      <c r="E25" s="23">
        <f>(prod!$F25*MatEnergy_PlateGlass!E25)+((prod!$H25+prod!$J25)*MatEnergy_WindowGlass!E25)</f>
        <v>0.17716614954067045</v>
      </c>
      <c r="F25" s="23">
        <f>(prod!$F25*MatEnergy_PlateGlass!F25)+((prod!$H25+prod!$J25)*MatEnergy_WindowGlass!F25)</f>
        <v>1.3702743809697635E-2</v>
      </c>
      <c r="G25" s="23">
        <f>(prod!$F25*MatEnergy_PlateGlass!G25)+((prod!$H25+prod!$J25)*MatEnergy_WindowGlass!G25)</f>
        <v>6.473018190667397E-2</v>
      </c>
      <c r="H25" s="23">
        <f>(prod!$F25*MatEnergy_PlateGlass!H25)+((prod!$H25+prod!$J25)*MatEnergy_WindowGlass!H25)</f>
        <v>0.12729877714911481</v>
      </c>
      <c r="I25" s="23">
        <f>(prod!$F25*MatEnergy_PlateGlass!I25)+((prod!$H25+prod!$J25)*MatEnergy_WindowGlass!I25)</f>
        <v>3.5457321895723065E-2</v>
      </c>
      <c r="K25" s="23"/>
    </row>
    <row r="26" spans="1:11" x14ac:dyDescent="0.25">
      <c r="A26" s="15">
        <v>1969</v>
      </c>
      <c r="B26" s="23">
        <f>(prod!$F26*MatEnergy_PlateGlass!B26)+((prod!$H26+prod!$J26)*MatEnergy_WindowGlass!B26)</f>
        <v>0.22401784902228286</v>
      </c>
      <c r="C26" s="23">
        <f>(prod!$F26*MatEnergy_PlateGlass!C26)+((prod!$H26+prod!$J26)*MatEnergy_WindowGlass!C26)</f>
        <v>0.15563130968622099</v>
      </c>
      <c r="D26" s="23">
        <f>(prod!$F26*MatEnergy_PlateGlass!D26)+((prod!$H26+prod!$J26)*MatEnergy_WindowGlass!D26)</f>
        <v>0.57652773988176442</v>
      </c>
      <c r="E26" s="23">
        <f>(prod!$F26*MatEnergy_PlateGlass!E26)+((prod!$H26+prod!$J26)*MatEnergy_WindowGlass!E26)</f>
        <v>0.17530979990904957</v>
      </c>
      <c r="F26" s="23">
        <f>(prod!$F26*MatEnergy_PlateGlass!F26)+((prod!$H26+prod!$J26)*MatEnergy_WindowGlass!F26)</f>
        <v>1.3683606184629379E-2</v>
      </c>
      <c r="G26" s="23">
        <f>(prod!$F26*MatEnergy_PlateGlass!G26)+((prod!$H26+prod!$J26)*MatEnergy_WindowGlass!G26)</f>
        <v>6.4519668030923155E-2</v>
      </c>
      <c r="H26" s="23">
        <f>(prod!$F26*MatEnergy_PlateGlass!H26)+((prod!$H26+prod!$J26)*MatEnergy_WindowGlass!H26)</f>
        <v>0.12660982264665757</v>
      </c>
      <c r="I26" s="23">
        <f>(prod!$F26*MatEnergy_PlateGlass!I26)+((prod!$H26+prod!$J26)*MatEnergy_WindowGlass!I26)</f>
        <v>3.6452478399272396E-2</v>
      </c>
      <c r="K26" s="23"/>
    </row>
    <row r="27" spans="1:11" x14ac:dyDescent="0.25">
      <c r="A27" s="15">
        <v>1970</v>
      </c>
      <c r="B27" s="23">
        <f>(prod!$F27*MatEnergy_PlateGlass!B27)+((prod!$H27+prod!$J27)*MatEnergy_WindowGlass!B27)</f>
        <v>0.24532264479244345</v>
      </c>
      <c r="C27" s="23">
        <f>(prod!$F27*MatEnergy_PlateGlass!C27)+((prod!$H27+prod!$J27)*MatEnergy_WindowGlass!C27)</f>
        <v>0.13683296047725579</v>
      </c>
      <c r="D27" s="23">
        <f>(prod!$F27*MatEnergy_PlateGlass!D27)+((prod!$H27+prod!$J27)*MatEnergy_WindowGlass!D27)</f>
        <v>0.59147999005717122</v>
      </c>
      <c r="E27" s="23">
        <f>(prod!$F27*MatEnergy_PlateGlass!E27)+((prod!$H27+prod!$J27)*MatEnergy_WindowGlass!E27)</f>
        <v>0.17950161570966944</v>
      </c>
      <c r="F27" s="23">
        <f>(prod!$F27*MatEnergy_PlateGlass!F27)+((prod!$H27+prod!$J27)*MatEnergy_WindowGlass!F27)</f>
        <v>1.3726820780512058E-2</v>
      </c>
      <c r="G27" s="23">
        <f>(prod!$F27*MatEnergy_PlateGlass!G27)+((prod!$H27+prod!$J27)*MatEnergy_WindowGlass!G27)</f>
        <v>6.4995028585632622E-2</v>
      </c>
      <c r="H27" s="23">
        <f>(prod!$F27*MatEnergy_PlateGlass!H27)+((prod!$H27+prod!$J27)*MatEnergy_WindowGlass!H27)</f>
        <v>0.128165548098434</v>
      </c>
      <c r="I27" s="23">
        <f>(prod!$F27*MatEnergy_PlateGlass!I27)+((prod!$H27+prod!$J27)*MatEnergy_WindowGlass!I27)</f>
        <v>3.4205319413373104E-2</v>
      </c>
      <c r="K27" s="23"/>
    </row>
    <row r="28" spans="1:11" x14ac:dyDescent="0.25">
      <c r="A28" s="15">
        <v>1971</v>
      </c>
      <c r="B28" s="23">
        <f>(prod!$F28*MatEnergy_PlateGlass!B28)+((prod!$H28+prod!$J28)*MatEnergy_WindowGlass!B28)</f>
        <v>0.25286726435064127</v>
      </c>
      <c r="C28" s="23">
        <f>(prod!$F28*MatEnergy_PlateGlass!C28)+((prod!$H28+prod!$J28)*MatEnergy_WindowGlass!C28)</f>
        <v>0.13017594322002243</v>
      </c>
      <c r="D28" s="23">
        <f>(prod!$F28*MatEnergy_PlateGlass!D28)+((prod!$H28+prod!$J28)*MatEnergy_WindowGlass!D28)</f>
        <v>0.5967749968870627</v>
      </c>
      <c r="E28" s="23">
        <f>(prod!$F28*MatEnergy_PlateGlass!E28)+((prod!$H28+prod!$J28)*MatEnergy_WindowGlass!E28)</f>
        <v>0.1809860540405927</v>
      </c>
      <c r="F28" s="23">
        <f>(prod!$F28*MatEnergy_PlateGlass!F28)+((prod!$H28+prod!$J28)*MatEnergy_WindowGlass!F28)</f>
        <v>1.3742124268459721E-2</v>
      </c>
      <c r="G28" s="23">
        <f>(prod!$F28*MatEnergy_PlateGlass!G28)+((prod!$H28+prod!$J28)*MatEnergy_WindowGlass!G28)</f>
        <v>6.5163366953056912E-2</v>
      </c>
      <c r="H28" s="23">
        <f>(prod!$F28*MatEnergy_PlateGlass!H28)+((prod!$H28+prod!$J28)*MatEnergy_WindowGlass!H28)</f>
        <v>0.12871647366454986</v>
      </c>
      <c r="I28" s="23">
        <f>(prod!$F28*MatEnergy_PlateGlass!I28)+((prod!$H28+prod!$J28)*MatEnergy_WindowGlass!I28)</f>
        <v>3.3409538040094632E-2</v>
      </c>
      <c r="K28" s="23"/>
    </row>
    <row r="29" spans="1:11" x14ac:dyDescent="0.25">
      <c r="A29" s="15">
        <v>1972</v>
      </c>
      <c r="B29" s="23">
        <f>(prod!$F29*MatEnergy_PlateGlass!B29)+((prod!$H29+prod!$J29)*MatEnergy_WindowGlass!B$29)</f>
        <v>0.23310470836261415</v>
      </c>
      <c r="C29" s="23">
        <f>(prod!$F29*MatEnergy_PlateGlass!C29)+((prod!$H29+prod!$J29)*MatEnergy_WindowGlass!C$29)</f>
        <v>0.14761349262122275</v>
      </c>
      <c r="D29" s="23">
        <f>(prod!$F29*MatEnergy_PlateGlass!D29)+((prod!$H29+prod!$J29)*MatEnergy_WindowGlass!D$29)</f>
        <v>0.58290513000702737</v>
      </c>
      <c r="E29" s="23">
        <f>(prod!$F29*MatEnergy_PlateGlass!E29)+((prod!$H29+prod!$J29)*MatEnergy_WindowGlass!E$29)</f>
        <v>0.17709768095572731</v>
      </c>
      <c r="F29" s="23">
        <f>(prod!$F29*MatEnergy_PlateGlass!F29)+((prod!$H29+prod!$J29)*MatEnergy_WindowGlass!F$29)</f>
        <v>1.370203794799719E-2</v>
      </c>
      <c r="G29" s="23">
        <f>(prod!$F29*MatEnergy_PlateGlass!G29)+((prod!$H29+prod!$J29)*MatEnergy_WindowGlass!G$29)</f>
        <v>6.4722417427969081E-2</v>
      </c>
      <c r="H29" s="23">
        <f>(prod!$F29*MatEnergy_PlateGlass!H29)+((prod!$H29+prod!$J29)*MatEnergy_WindowGlass!H$29)</f>
        <v>0.12727336612789877</v>
      </c>
      <c r="I29" s="23">
        <f>(prod!$F29*MatEnergy_PlateGlass!I29)+((prod!$H29+prod!$J29)*MatEnergy_WindowGlass!I$29)</f>
        <v>3.5494026704146163E-2</v>
      </c>
      <c r="K29" s="23"/>
    </row>
    <row r="30" spans="1:11" x14ac:dyDescent="0.25">
      <c r="A30" s="15">
        <v>1973</v>
      </c>
      <c r="B30" s="23">
        <f>(prod!$F30*MatEnergy_PlateGlass!B30)+((prod!$H30+prod!$J30)*MatEnergy_WindowGlass!B$29)</f>
        <v>0.21036243740393676</v>
      </c>
      <c r="C30" s="23">
        <f>(prod!$F30*MatEnergy_PlateGlass!C30)+((prod!$H30+prod!$J30)*MatEnergy_WindowGlass!C$29)</f>
        <v>0.16768020229064406</v>
      </c>
      <c r="D30" s="23">
        <f>(prod!$F30*MatEnergy_PlateGlass!D30)+((prod!$H30+prod!$J30)*MatEnergy_WindowGlass!D$29)</f>
        <v>0.56694402300560276</v>
      </c>
      <c r="E30" s="23">
        <f>(prod!$F30*MatEnergy_PlateGlass!E30)+((prod!$H30+prod!$J30)*MatEnergy_WindowGlass!E$29)</f>
        <v>0.17262303535128171</v>
      </c>
      <c r="F30" s="23">
        <f>(prod!$F30*MatEnergy_PlateGlass!F30)+((prod!$H30+prod!$J30)*MatEnergy_WindowGlass!F$29)</f>
        <v>1.3655907580941051E-2</v>
      </c>
      <c r="G30" s="23">
        <f>(prod!$F30*MatEnergy_PlateGlass!G30)+((prod!$H30+prod!$J30)*MatEnergy_WindowGlass!G$29)</f>
        <v>6.4214983390351532E-2</v>
      </c>
      <c r="H30" s="23">
        <f>(prod!$F30*MatEnergy_PlateGlass!H30)+((prod!$H30+prod!$J30)*MatEnergy_WindowGlass!H$29)</f>
        <v>0.12561267291387773</v>
      </c>
      <c r="I30" s="23">
        <f>(prod!$F30*MatEnergy_PlateGlass!I30)+((prod!$H30+prod!$J30)*MatEnergy_WindowGlass!I$29)</f>
        <v>3.7892805791065499E-2</v>
      </c>
      <c r="K30" s="23"/>
    </row>
    <row r="31" spans="1:11" x14ac:dyDescent="0.25">
      <c r="A31" s="15">
        <v>1974</v>
      </c>
      <c r="B31" s="23">
        <f>(prod!$F31*MatEnergy_PlateGlass!B31)+((prod!$H31+prod!$J31)*MatEnergy_WindowGlass!B$29)</f>
        <v>0.22946564885496182</v>
      </c>
      <c r="C31" s="23">
        <f>(prod!$F31*MatEnergy_PlateGlass!C31)+((prod!$H31+prod!$J31)*MatEnergy_WindowGlass!C$29)</f>
        <v>0.15082442748091604</v>
      </c>
      <c r="D31" s="23">
        <f>(prod!$F31*MatEnergy_PlateGlass!D31)+((prod!$H31+prod!$J31)*MatEnergy_WindowGlass!D$29)</f>
        <v>0.58035114503816787</v>
      </c>
      <c r="E31" s="23">
        <f>(prod!$F31*MatEnergy_PlateGlass!E31)+((prod!$H31+prod!$J31)*MatEnergy_WindowGlass!E$29)</f>
        <v>0.17638167938931298</v>
      </c>
      <c r="F31" s="23">
        <f>(prod!$F31*MatEnergy_PlateGlass!F31)+((prod!$H31+prod!$J31)*MatEnergy_WindowGlass!F$29)</f>
        <v>1.3694656488549617E-2</v>
      </c>
      <c r="G31" s="23">
        <f>(prod!$F31*MatEnergy_PlateGlass!G31)+((prod!$H31+prod!$J31)*MatEnergy_WindowGlass!G$29)</f>
        <v>6.4641221374045793E-2</v>
      </c>
      <c r="H31" s="23">
        <f>(prod!$F31*MatEnergy_PlateGlass!H31)+((prod!$H31+prod!$J31)*MatEnergy_WindowGlass!H$29)</f>
        <v>0.12700763358778625</v>
      </c>
      <c r="I31" s="23">
        <f>(prod!$F31*MatEnergy_PlateGlass!I31)+((prod!$H31+prod!$J31)*MatEnergy_WindowGlass!I$29)</f>
        <v>3.5877862595419842E-2</v>
      </c>
      <c r="K31" s="23"/>
    </row>
    <row r="32" spans="1:11" x14ac:dyDescent="0.25">
      <c r="A32" s="15">
        <v>1975</v>
      </c>
      <c r="B32" s="23">
        <f>(prod!$F32*MatEnergy_PlateGlass!B32)+((prod!$H32+prod!$J32)*MatEnergy_WindowGlass!B$29)</f>
        <v>0.21804830917874396</v>
      </c>
      <c r="C32" s="23">
        <f>(prod!$F32*MatEnergy_PlateGlass!C32)+((prod!$H32+prod!$J32)*MatEnergy_WindowGlass!C$29)</f>
        <v>0.16089855072463768</v>
      </c>
      <c r="D32" s="23">
        <f>(prod!$F32*MatEnergy_PlateGlass!D32)+((prod!$H32+prod!$J32)*MatEnergy_WindowGlass!D$29)</f>
        <v>0.57233816425120776</v>
      </c>
      <c r="E32" s="23">
        <f>(prod!$F32*MatEnergy_PlateGlass!E32)+((prod!$H32+prod!$J32)*MatEnergy_WindowGlass!E$29)</f>
        <v>0.1741352657004831</v>
      </c>
      <c r="F32" s="23">
        <f>(prod!$F32*MatEnergy_PlateGlass!F32)+((prod!$H32+prod!$J32)*MatEnergy_WindowGlass!F$29)</f>
        <v>1.3671497584541066E-2</v>
      </c>
      <c r="G32" s="23">
        <f>(prod!$F32*MatEnergy_PlateGlass!G32)+((prod!$H32+prod!$J32)*MatEnergy_WindowGlass!G$29)</f>
        <v>6.4386473429951699E-2</v>
      </c>
      <c r="H32" s="23">
        <f>(prod!$F32*MatEnergy_PlateGlass!H32)+((prod!$H32+prod!$J32)*MatEnergy_WindowGlass!H$29)</f>
        <v>0.12617391304347825</v>
      </c>
      <c r="I32" s="23">
        <f>(prod!$F32*MatEnergy_PlateGlass!I32)+((prod!$H32+prod!$J32)*MatEnergy_WindowGlass!I$29)</f>
        <v>3.7082125603864736E-2</v>
      </c>
      <c r="K32" s="23"/>
    </row>
    <row r="33" spans="1:11" x14ac:dyDescent="0.25">
      <c r="A33" s="15">
        <v>1976</v>
      </c>
      <c r="B33" s="23">
        <f>(prod!$F33*MatEnergy_PlateGlass!B33)+((prod!$H33+prod!$J33)*MatEnergy_WindowGlass!B$29)</f>
        <v>0.2032412054912055</v>
      </c>
      <c r="C33" s="23">
        <f>(prod!$F33*MatEnergy_PlateGlass!C33)+((prod!$H33+prod!$J33)*MatEnergy_WindowGlass!C$29)</f>
        <v>0.17396364221364219</v>
      </c>
      <c r="D33" s="23">
        <f>(prod!$F33*MatEnergy_PlateGlass!D33)+((prod!$H33+prod!$J33)*MatEnergy_WindowGlass!D$29)</f>
        <v>0.56194616044616041</v>
      </c>
      <c r="E33" s="23">
        <f>(prod!$F33*MatEnergy_PlateGlass!E33)+((prod!$H33+prod!$J33)*MatEnergy_WindowGlass!E$29)</f>
        <v>0.1712219004719005</v>
      </c>
      <c r="F33" s="23">
        <f>(prod!$F33*MatEnergy_PlateGlass!F33)+((prod!$H33+prod!$J33)*MatEnergy_WindowGlass!F$29)</f>
        <v>1.3641462891462893E-2</v>
      </c>
      <c r="G33" s="23">
        <f>(prod!$F33*MatEnergy_PlateGlass!G33)+((prod!$H33+prod!$J33)*MatEnergy_WindowGlass!G$29)</f>
        <v>6.4056091806091814E-2</v>
      </c>
      <c r="H33" s="23">
        <f>(prod!$F33*MatEnergy_PlateGlass!H33)+((prod!$H33+prod!$J33)*MatEnergy_WindowGlass!H$29)</f>
        <v>0.12509266409266409</v>
      </c>
      <c r="I33" s="23">
        <f>(prod!$F33*MatEnergy_PlateGlass!I33)+((prod!$H33+prod!$J33)*MatEnergy_WindowGlass!I$29)</f>
        <v>3.8643929643929639E-2</v>
      </c>
      <c r="K33" s="23"/>
    </row>
    <row r="34" spans="1:11" x14ac:dyDescent="0.25">
      <c r="A34" s="15">
        <v>1977</v>
      </c>
      <c r="B34" s="23">
        <f>(prod!$F34*MatEnergy_PlateGlass!B34)+((prod!$H34+prod!$J34)*MatEnergy_WindowGlass!B$29)</f>
        <v>0.21394260338606716</v>
      </c>
      <c r="C34" s="23">
        <f>(prod!$F34*MatEnergy_PlateGlass!C34)+((prod!$H34+prod!$J34)*MatEnergy_WindowGlass!C$29)</f>
        <v>0.16452123230641133</v>
      </c>
      <c r="D34" s="23">
        <f>(prod!$F34*MatEnergy_PlateGlass!D34)+((prod!$H34+prod!$J34)*MatEnergy_WindowGlass!D$29)</f>
        <v>0.56945667499306141</v>
      </c>
      <c r="E34" s="23">
        <f>(prod!$F34*MatEnergy_PlateGlass!E34)+((prod!$H34+prod!$J34)*MatEnergy_WindowGlass!E$29)</f>
        <v>0.17332744934776576</v>
      </c>
      <c r="F34" s="23">
        <f>(prod!$F34*MatEnergy_PlateGlass!F34)+((prod!$H34+prod!$J34)*MatEnergy_WindowGlass!F$29)</f>
        <v>1.3663169580904803E-2</v>
      </c>
      <c r="G34" s="23">
        <f>(prod!$F34*MatEnergy_PlateGlass!G34)+((prod!$H34+prod!$J34)*MatEnergy_WindowGlass!G$29)</f>
        <v>6.4294865389952827E-2</v>
      </c>
      <c r="H34" s="23">
        <f>(prod!$F34*MatEnergy_PlateGlass!H34)+((prod!$H34+prod!$J34)*MatEnergy_WindowGlass!H$29)</f>
        <v>0.12587410491257284</v>
      </c>
      <c r="I34" s="23">
        <f>(prod!$F34*MatEnergy_PlateGlass!I34)+((prod!$H34+prod!$J34)*MatEnergy_WindowGlass!I$29)</f>
        <v>3.7515181792950318E-2</v>
      </c>
      <c r="K34" s="23"/>
    </row>
    <row r="35" spans="1:11" x14ac:dyDescent="0.25">
      <c r="A35" s="15">
        <v>1978</v>
      </c>
      <c r="B35" s="23"/>
      <c r="C35" s="23"/>
      <c r="D35" s="23"/>
      <c r="E35" s="23"/>
      <c r="F35" s="23"/>
      <c r="G35" s="23"/>
      <c r="H35" s="23"/>
      <c r="I35" s="23"/>
      <c r="K35" s="23"/>
    </row>
    <row r="36" spans="1:11" x14ac:dyDescent="0.25">
      <c r="A36" s="15">
        <v>1979</v>
      </c>
      <c r="B36" s="23"/>
      <c r="C36" s="23"/>
      <c r="D36" s="23"/>
      <c r="E36" s="23"/>
      <c r="F36" s="23"/>
      <c r="G36" s="23"/>
      <c r="H36" s="23"/>
      <c r="I36" s="23"/>
      <c r="K36" s="23"/>
    </row>
    <row r="37" spans="1:11" x14ac:dyDescent="0.25">
      <c r="A37" s="15">
        <v>1980</v>
      </c>
      <c r="B37" s="23"/>
      <c r="C37" s="23"/>
      <c r="D37" s="23"/>
      <c r="E37" s="23"/>
      <c r="F37" s="23"/>
      <c r="G37" s="23"/>
      <c r="H37" s="23"/>
      <c r="I37" s="23"/>
      <c r="K37" s="23"/>
    </row>
    <row r="38" spans="1:11" x14ac:dyDescent="0.25">
      <c r="A38" s="15">
        <v>1981</v>
      </c>
      <c r="B38" s="23"/>
      <c r="C38" s="23"/>
      <c r="D38" s="23"/>
      <c r="E38" s="23"/>
      <c r="F38" s="23"/>
      <c r="G38" s="23"/>
      <c r="H38" s="23"/>
      <c r="I38" s="23"/>
      <c r="K38" s="23"/>
    </row>
    <row r="39" spans="1:11" x14ac:dyDescent="0.25">
      <c r="A39" s="15">
        <v>1982</v>
      </c>
      <c r="B39" s="23"/>
      <c r="C39" s="23"/>
      <c r="D39" s="23"/>
      <c r="E39" s="23"/>
      <c r="F39" s="23"/>
      <c r="G39" s="23"/>
      <c r="H39" s="23"/>
      <c r="I39" s="23"/>
      <c r="K39" s="23"/>
    </row>
    <row r="40" spans="1:11" x14ac:dyDescent="0.25">
      <c r="A40" s="15">
        <v>1983</v>
      </c>
      <c r="B40" s="23"/>
      <c r="C40" s="23"/>
      <c r="D40" s="23"/>
      <c r="E40" s="23"/>
      <c r="F40" s="23"/>
      <c r="G40" s="23"/>
      <c r="H40" s="23"/>
      <c r="I40" s="23"/>
      <c r="K40" s="23"/>
    </row>
    <row r="41" spans="1:11" x14ac:dyDescent="0.25">
      <c r="A41" s="15">
        <v>1984</v>
      </c>
      <c r="B41" s="23"/>
      <c r="C41" s="23"/>
      <c r="D41" s="23"/>
      <c r="E41" s="23"/>
      <c r="F41" s="23"/>
      <c r="G41" s="23"/>
      <c r="H41" s="23"/>
      <c r="I41" s="23"/>
      <c r="K41" s="23"/>
    </row>
    <row r="42" spans="1:11" x14ac:dyDescent="0.25">
      <c r="A42" s="15">
        <v>1985</v>
      </c>
      <c r="B42" s="23"/>
      <c r="C42" s="23"/>
      <c r="D42" s="23"/>
      <c r="E42" s="23"/>
      <c r="F42" s="23"/>
      <c r="G42" s="23"/>
      <c r="H42" s="23"/>
      <c r="I42" s="23"/>
      <c r="K42" s="23"/>
    </row>
    <row r="43" spans="1:11" x14ac:dyDescent="0.25">
      <c r="A43" s="15">
        <v>1986</v>
      </c>
      <c r="B43" s="23"/>
      <c r="C43" s="23"/>
      <c r="D43" s="23"/>
      <c r="E43" s="23"/>
      <c r="F43" s="23"/>
      <c r="G43" s="23"/>
      <c r="H43" s="23"/>
      <c r="I43" s="23"/>
      <c r="K43" s="23"/>
    </row>
    <row r="44" spans="1:11" x14ac:dyDescent="0.25">
      <c r="A44" s="15">
        <v>1987</v>
      </c>
      <c r="B44" s="23"/>
      <c r="C44" s="23"/>
      <c r="D44" s="23"/>
      <c r="E44" s="23"/>
      <c r="F44" s="23"/>
      <c r="G44" s="23"/>
      <c r="H44" s="23"/>
      <c r="I44" s="23"/>
      <c r="K44" s="23"/>
    </row>
    <row r="45" spans="1:11" x14ac:dyDescent="0.25">
      <c r="A45" s="15">
        <v>1988</v>
      </c>
      <c r="B45" s="23"/>
      <c r="C45" s="23"/>
      <c r="D45" s="23"/>
      <c r="E45" s="23"/>
      <c r="F45" s="23"/>
      <c r="G45" s="23"/>
      <c r="H45" s="23"/>
      <c r="I45" s="23"/>
      <c r="K45" s="23"/>
    </row>
    <row r="46" spans="1:11" x14ac:dyDescent="0.25">
      <c r="A46" s="15">
        <v>1989</v>
      </c>
      <c r="B46" s="23"/>
      <c r="C46" s="23"/>
      <c r="D46" s="23"/>
      <c r="E46" s="23"/>
      <c r="F46" s="23"/>
      <c r="G46" s="23"/>
      <c r="H46" s="23"/>
      <c r="I46" s="23"/>
      <c r="K46" s="23"/>
    </row>
    <row r="47" spans="1:11" x14ac:dyDescent="0.25">
      <c r="A47" s="15">
        <v>1990</v>
      </c>
      <c r="B47" s="23"/>
      <c r="C47" s="23"/>
      <c r="D47" s="23"/>
      <c r="E47" s="23"/>
      <c r="F47" s="23"/>
      <c r="G47" s="23"/>
      <c r="H47" s="23"/>
      <c r="I47" s="23"/>
      <c r="K47" s="23"/>
    </row>
    <row r="48" spans="1:11" x14ac:dyDescent="0.25">
      <c r="A48" s="15">
        <v>1991</v>
      </c>
      <c r="B48" s="23"/>
      <c r="C48" s="23"/>
      <c r="D48" s="23"/>
      <c r="E48" s="23"/>
      <c r="F48" s="23"/>
      <c r="G48" s="23"/>
      <c r="H48" s="23"/>
      <c r="I48" s="23"/>
      <c r="K48" s="23"/>
    </row>
    <row r="49" spans="1:21" x14ac:dyDescent="0.25">
      <c r="A49" s="15">
        <v>1992</v>
      </c>
      <c r="B49" s="23"/>
      <c r="C49" s="23"/>
      <c r="D49" s="23"/>
      <c r="E49" s="23"/>
      <c r="F49" s="23"/>
      <c r="G49" s="23"/>
      <c r="H49" s="23"/>
      <c r="I49" s="23"/>
      <c r="K49" s="23"/>
    </row>
    <row r="50" spans="1:21" x14ac:dyDescent="0.25">
      <c r="A50" s="15">
        <v>1993</v>
      </c>
      <c r="B50" s="23">
        <f>(prod!$F50*MatEnergy_PlateGlass!B50)+((prod!$H50+prod!$J50)*MatEnergy_WindowGlass!B$29)</f>
        <v>5.4620000000000009E-2</v>
      </c>
      <c r="C50" s="23">
        <f>(prod!$F50*MatEnergy_PlateGlass!C50)+((prod!$H50+prod!$J50)*MatEnergy_WindowGlass!C$29)</f>
        <v>0.30509999999999998</v>
      </c>
      <c r="D50" s="23">
        <f>(prod!$F50*MatEnergy_PlateGlass!D50)+((prod!$H50+prod!$J50)*MatEnergy_WindowGlass!D$29)</f>
        <v>0.45763999999999994</v>
      </c>
      <c r="E50" s="23">
        <f>(prod!$F50*MatEnergy_PlateGlass!E50)+((prod!$H50+prod!$J50)*MatEnergy_WindowGlass!E$29)</f>
        <v>0.14198000000000002</v>
      </c>
      <c r="F50" s="23">
        <f>(prod!$F50*MatEnergy_PlateGlass!F50)+((prod!$H50+prod!$J50)*MatEnergy_WindowGlass!F$29)</f>
        <v>1.3339999999999999E-2</v>
      </c>
      <c r="G50" s="23">
        <f>(prod!$F50*MatEnergy_PlateGlass!G50)+((prod!$H50+prod!$J50)*MatEnergy_WindowGlass!G$29)</f>
        <v>6.0740000000000002E-2</v>
      </c>
      <c r="H50" s="23">
        <f>(prod!$F50*MatEnergy_PlateGlass!H50)+((prod!$H50+prod!$J50)*MatEnergy_WindowGlass!H$29)</f>
        <v>0.11424000000000001</v>
      </c>
      <c r="I50" s="23">
        <f>(prod!$F50*MatEnergy_PlateGlass!I50)+((prod!$H50+prod!$J50)*MatEnergy_WindowGlass!I$29)</f>
        <v>5.4319999999999993E-2</v>
      </c>
      <c r="K50" s="23"/>
      <c r="Q50" s="21"/>
    </row>
    <row r="51" spans="1:21" x14ac:dyDescent="0.25">
      <c r="A51" s="15">
        <v>1994</v>
      </c>
      <c r="B51" s="23"/>
      <c r="C51" s="23"/>
      <c r="D51" s="23"/>
      <c r="E51" s="23"/>
      <c r="F51" s="23"/>
      <c r="G51" s="23"/>
      <c r="H51" s="23"/>
      <c r="I51" s="23"/>
      <c r="K51" s="23"/>
    </row>
    <row r="52" spans="1:21" x14ac:dyDescent="0.25">
      <c r="A52" s="15">
        <v>1995</v>
      </c>
      <c r="B52" s="23"/>
      <c r="C52" s="23"/>
      <c r="D52" s="23"/>
      <c r="E52" s="23"/>
      <c r="F52" s="23"/>
      <c r="G52" s="23"/>
      <c r="H52" s="23"/>
      <c r="I52" s="23"/>
      <c r="K52" s="23"/>
      <c r="R52" s="21"/>
    </row>
    <row r="53" spans="1:21" x14ac:dyDescent="0.25">
      <c r="A53" s="15">
        <v>1996</v>
      </c>
      <c r="B53" s="23"/>
      <c r="C53" s="23"/>
      <c r="D53" s="23"/>
      <c r="E53" s="23"/>
      <c r="F53" s="23"/>
      <c r="G53" s="23"/>
      <c r="H53" s="23"/>
      <c r="I53" s="23"/>
      <c r="K53" s="23"/>
    </row>
    <row r="54" spans="1:21" x14ac:dyDescent="0.25">
      <c r="A54" s="15">
        <v>1997</v>
      </c>
      <c r="B54" s="23"/>
      <c r="C54" s="23"/>
      <c r="D54" s="23"/>
      <c r="E54" s="23"/>
      <c r="F54" s="23"/>
      <c r="G54" s="23"/>
      <c r="H54" s="23"/>
      <c r="I54" s="23"/>
      <c r="K54" s="23"/>
      <c r="L54" s="21"/>
      <c r="P54" s="21"/>
      <c r="R54" s="58"/>
      <c r="S54" s="60"/>
    </row>
    <row r="55" spans="1:21" x14ac:dyDescent="0.25">
      <c r="A55" s="15">
        <v>1998</v>
      </c>
      <c r="B55" s="23"/>
      <c r="C55" s="23"/>
      <c r="D55" s="23"/>
      <c r="E55" s="23"/>
      <c r="F55" s="23"/>
      <c r="G55" s="23"/>
      <c r="H55" s="23"/>
      <c r="I55" s="23"/>
      <c r="K55" s="23"/>
      <c r="L55" s="21"/>
      <c r="R55" s="58"/>
      <c r="S55" s="60"/>
    </row>
    <row r="56" spans="1:21" x14ac:dyDescent="0.25">
      <c r="A56" s="15">
        <v>1999</v>
      </c>
      <c r="B56" s="23"/>
      <c r="C56" s="23"/>
      <c r="D56" s="23"/>
      <c r="E56" s="23"/>
      <c r="F56" s="23"/>
      <c r="G56" s="23"/>
      <c r="H56" s="23"/>
      <c r="I56" s="23"/>
      <c r="K56" s="23"/>
      <c r="L56" s="21"/>
      <c r="R56" s="58"/>
      <c r="S56" s="60"/>
    </row>
    <row r="57" spans="1:21" x14ac:dyDescent="0.25">
      <c r="A57" s="15">
        <v>2000</v>
      </c>
      <c r="B57" s="23"/>
      <c r="C57" s="23"/>
      <c r="D57" s="23"/>
      <c r="E57" s="23"/>
      <c r="F57" s="23"/>
      <c r="G57" s="23"/>
      <c r="H57" s="23"/>
      <c r="I57" s="23"/>
      <c r="K57" s="23"/>
      <c r="L57" s="21"/>
      <c r="R57" s="58"/>
      <c r="S57" s="60"/>
    </row>
    <row r="58" spans="1:21" x14ac:dyDescent="0.25">
      <c r="A58" s="15">
        <v>2001</v>
      </c>
      <c r="B58" s="23"/>
      <c r="C58" s="23"/>
      <c r="D58" s="23"/>
      <c r="E58" s="23"/>
      <c r="F58" s="23"/>
      <c r="G58" s="23"/>
      <c r="H58" s="23"/>
      <c r="I58" s="23"/>
      <c r="K58" s="23"/>
      <c r="L58" s="21"/>
      <c r="R58" s="58"/>
      <c r="S58" s="60"/>
    </row>
    <row r="59" spans="1:21" x14ac:dyDescent="0.25">
      <c r="A59" s="15">
        <v>2002</v>
      </c>
      <c r="B59" s="23"/>
      <c r="C59" s="23"/>
      <c r="D59" s="23"/>
      <c r="E59" s="23"/>
      <c r="F59" s="23"/>
      <c r="G59" s="23"/>
      <c r="H59" s="23"/>
      <c r="I59" s="23"/>
      <c r="K59" s="23"/>
      <c r="L59" s="21"/>
      <c r="R59" s="58"/>
      <c r="S59" s="60"/>
    </row>
    <row r="60" spans="1:21" x14ac:dyDescent="0.25">
      <c r="A60" s="15">
        <v>2003</v>
      </c>
      <c r="B60" s="23"/>
      <c r="C60" s="23"/>
      <c r="D60" s="23"/>
      <c r="E60" s="23"/>
      <c r="F60" s="23"/>
      <c r="G60" s="23"/>
      <c r="H60" s="23"/>
      <c r="I60" s="23"/>
      <c r="K60" s="23"/>
      <c r="L60" s="21"/>
      <c r="M60" s="59"/>
      <c r="R60" s="57"/>
      <c r="S60" s="60"/>
    </row>
    <row r="61" spans="1:21" x14ac:dyDescent="0.25">
      <c r="A61" s="15">
        <v>2004</v>
      </c>
      <c r="B61" s="23"/>
      <c r="C61" s="23"/>
      <c r="D61" s="23"/>
      <c r="E61" s="23"/>
      <c r="F61" s="23"/>
      <c r="G61" s="23"/>
      <c r="H61" s="23"/>
      <c r="I61" s="23"/>
      <c r="K61" s="23"/>
    </row>
    <row r="62" spans="1:21" x14ac:dyDescent="0.25">
      <c r="A62" s="15">
        <v>2005</v>
      </c>
      <c r="B62" s="23"/>
      <c r="C62" s="23"/>
      <c r="D62" s="23"/>
      <c r="E62" s="23"/>
      <c r="F62" s="23"/>
      <c r="G62" s="23"/>
      <c r="H62" s="23"/>
      <c r="I62" s="23"/>
      <c r="K62" s="23"/>
      <c r="S62" s="21"/>
    </row>
    <row r="63" spans="1:21" x14ac:dyDescent="0.25">
      <c r="A63" s="15">
        <v>2006</v>
      </c>
      <c r="B63" s="23"/>
      <c r="C63" s="23"/>
      <c r="D63" s="23"/>
      <c r="E63" s="23"/>
      <c r="F63" s="23"/>
      <c r="G63" s="23"/>
      <c r="H63" s="23"/>
      <c r="I63" s="23"/>
      <c r="K63" s="23"/>
    </row>
    <row r="64" spans="1:21" x14ac:dyDescent="0.25">
      <c r="A64" s="15">
        <v>2007</v>
      </c>
      <c r="B64" s="23"/>
      <c r="C64" s="23"/>
      <c r="D64" s="23"/>
      <c r="E64" s="23"/>
      <c r="F64" s="23"/>
      <c r="G64" s="23"/>
      <c r="H64" s="23"/>
      <c r="I64" s="23"/>
      <c r="K64" s="23"/>
      <c r="U64" s="21"/>
    </row>
    <row r="65" spans="1:70" x14ac:dyDescent="0.25">
      <c r="A65" s="15">
        <v>2008</v>
      </c>
      <c r="B65" s="23"/>
      <c r="C65" s="23"/>
      <c r="D65" s="23"/>
      <c r="E65" s="23"/>
      <c r="F65" s="23"/>
      <c r="G65" s="23"/>
      <c r="H65" s="23"/>
      <c r="I65" s="23"/>
      <c r="K65" s="23"/>
      <c r="U65" s="21"/>
    </row>
    <row r="66" spans="1:70" x14ac:dyDescent="0.25">
      <c r="A66" s="15">
        <v>2009</v>
      </c>
      <c r="K66" s="23"/>
      <c r="T66" s="21"/>
      <c r="U66" s="21"/>
    </row>
    <row r="67" spans="1:70" x14ac:dyDescent="0.25">
      <c r="A67" s="15">
        <v>2010</v>
      </c>
      <c r="B67" s="23">
        <v>0.18</v>
      </c>
      <c r="C67" s="23">
        <v>0.04</v>
      </c>
      <c r="D67" s="23">
        <v>0.54200000000000004</v>
      </c>
      <c r="E67" s="23">
        <v>0.16700000000000001</v>
      </c>
      <c r="F67" s="23">
        <v>8.0000000000000002E-3</v>
      </c>
      <c r="G67" s="23">
        <v>3.3000000000000002E-2</v>
      </c>
      <c r="H67" s="23">
        <v>0.14199999999999999</v>
      </c>
      <c r="I67" s="36">
        <v>3.7000000000000002E-3</v>
      </c>
      <c r="K67" s="23"/>
      <c r="T67" s="21"/>
      <c r="U67" s="21"/>
    </row>
    <row r="68" spans="1:70" x14ac:dyDescent="0.25">
      <c r="A68" s="15">
        <v>2011</v>
      </c>
      <c r="T68" s="21"/>
      <c r="U68" s="21"/>
    </row>
    <row r="69" spans="1:70" x14ac:dyDescent="0.25">
      <c r="A69" s="15">
        <v>2012</v>
      </c>
      <c r="B69" s="23"/>
      <c r="C69" s="23"/>
      <c r="D69" s="23"/>
      <c r="E69" s="23"/>
      <c r="F69" s="23"/>
      <c r="G69" s="23"/>
      <c r="H69" s="23"/>
      <c r="I69" s="23"/>
      <c r="P69" s="56"/>
      <c r="T69" s="21"/>
      <c r="U69" s="21"/>
    </row>
    <row r="70" spans="1:70" x14ac:dyDescent="0.25">
      <c r="A70" s="15">
        <v>2013</v>
      </c>
      <c r="B70" s="23"/>
      <c r="C70" s="23"/>
      <c r="D70" s="23"/>
      <c r="E70" s="23"/>
      <c r="F70" s="23"/>
      <c r="G70" s="23"/>
      <c r="H70" s="23"/>
      <c r="I70" s="23"/>
      <c r="P70" s="56"/>
      <c r="T70" s="21"/>
      <c r="U70" s="21"/>
    </row>
    <row r="71" spans="1:70" x14ac:dyDescent="0.25">
      <c r="A71" s="15">
        <v>2014</v>
      </c>
      <c r="B71" s="23"/>
      <c r="C71" s="23"/>
      <c r="D71" s="23"/>
      <c r="E71" s="23"/>
      <c r="F71" s="23"/>
      <c r="G71" s="23"/>
      <c r="H71" s="23"/>
      <c r="I71" s="23"/>
      <c r="P71" s="56"/>
      <c r="T71" s="21"/>
      <c r="U71" s="21"/>
    </row>
    <row r="72" spans="1:70" x14ac:dyDescent="0.25">
      <c r="A72" s="15">
        <v>2015</v>
      </c>
      <c r="B72" s="23"/>
      <c r="C72" s="23"/>
      <c r="D72" s="23"/>
      <c r="E72" s="23"/>
      <c r="F72" s="23"/>
      <c r="G72" s="23"/>
      <c r="H72" s="23"/>
      <c r="I72" s="23"/>
      <c r="P72" s="56"/>
    </row>
    <row r="73" spans="1:70" x14ac:dyDescent="0.25">
      <c r="A73" s="15">
        <v>2016</v>
      </c>
      <c r="B73" s="23"/>
      <c r="C73" s="23"/>
      <c r="D73" s="23"/>
      <c r="E73" s="23"/>
      <c r="F73" s="23"/>
      <c r="G73" s="23"/>
      <c r="H73" s="23"/>
      <c r="I73" s="23"/>
      <c r="P73" s="56"/>
    </row>
    <row r="74" spans="1:70" x14ac:dyDescent="0.25">
      <c r="A74" s="15">
        <v>2017</v>
      </c>
      <c r="B74" s="23"/>
      <c r="C74" s="23"/>
      <c r="D74" s="23"/>
      <c r="E74" s="23"/>
      <c r="F74" s="23"/>
      <c r="G74" s="23"/>
      <c r="H74" s="23"/>
      <c r="I74" s="23"/>
    </row>
    <row r="75" spans="1:70" x14ac:dyDescent="0.25">
      <c r="A75" s="15">
        <v>2018</v>
      </c>
      <c r="B75" s="23"/>
      <c r="C75" s="23"/>
      <c r="D75" s="23"/>
      <c r="E75" s="23"/>
      <c r="F75" s="23"/>
      <c r="G75" s="23"/>
      <c r="H75" s="23"/>
      <c r="I75" s="23"/>
    </row>
    <row r="76" spans="1:70" x14ac:dyDescent="0.25">
      <c r="A76" s="15">
        <v>2019</v>
      </c>
      <c r="B76" s="23">
        <v>0.18</v>
      </c>
      <c r="C76" s="23">
        <v>0.04</v>
      </c>
      <c r="D76" s="23">
        <v>0.54200000000000004</v>
      </c>
      <c r="E76" s="23">
        <v>0.16700000000000001</v>
      </c>
      <c r="F76" s="23">
        <v>8.0000000000000002E-3</v>
      </c>
      <c r="G76" s="23">
        <v>3.3000000000000002E-2</v>
      </c>
      <c r="H76" s="23">
        <v>0.14199999999999999</v>
      </c>
      <c r="I76" s="36">
        <v>3.7000000000000002E-3</v>
      </c>
    </row>
    <row r="77" spans="1:70" x14ac:dyDescent="0.25">
      <c r="A77" s="15">
        <v>2020</v>
      </c>
      <c r="B77" s="23"/>
      <c r="C77" s="23"/>
      <c r="D77" s="23"/>
      <c r="E77" s="23"/>
      <c r="F77" s="23"/>
      <c r="G77" s="23"/>
      <c r="H77" s="23"/>
      <c r="I77" s="23"/>
    </row>
    <row r="78" spans="1:70" s="26" customFormat="1" x14ac:dyDescent="0.25">
      <c r="A78" s="25"/>
      <c r="B78" s="24"/>
      <c r="C78" s="24"/>
      <c r="D78" s="24"/>
      <c r="E78" s="24"/>
      <c r="F78" s="24"/>
      <c r="G78" s="24"/>
      <c r="H78" s="24"/>
      <c r="I78" s="24"/>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row>
    <row r="79" spans="1:70" s="26" customFormat="1" x14ac:dyDescent="0.25">
      <c r="A79" s="25"/>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row>
    <row r="80" spans="1:70" s="26" customFormat="1" x14ac:dyDescent="0.25">
      <c r="A80" s="25"/>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row>
    <row r="87" spans="1:70" s="26" customFormat="1" x14ac:dyDescent="0.25">
      <c r="A87" s="25"/>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row>
    <row r="88" spans="1:70" s="26" customFormat="1" x14ac:dyDescent="0.25">
      <c r="A88" s="25"/>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9AC4E-6DA8-4485-9988-F432D0671361}">
  <dimension ref="A1:BM88"/>
  <sheetViews>
    <sheetView zoomScale="85" zoomScaleNormal="85" workbookViewId="0">
      <pane xSplit="1" ySplit="1" topLeftCell="B2" activePane="bottomRight" state="frozen"/>
      <selection pane="topRight" activeCell="B1" sqref="B1"/>
      <selection pane="bottomLeft" activeCell="A2" sqref="A2"/>
      <selection pane="bottomRight" activeCell="B2" sqref="B2"/>
    </sheetView>
  </sheetViews>
  <sheetFormatPr defaultColWidth="10.7109375" defaultRowHeight="15" x14ac:dyDescent="0.25"/>
  <cols>
    <col min="1" max="1" width="8" style="25" bestFit="1" customWidth="1"/>
    <col min="2" max="4" width="15.140625" style="22" customWidth="1"/>
    <col min="5" max="16384" width="10.7109375" style="22"/>
  </cols>
  <sheetData>
    <row r="1" spans="1:5" s="28" customFormat="1" ht="30" x14ac:dyDescent="0.25">
      <c r="A1" s="27" t="s">
        <v>0</v>
      </c>
      <c r="B1" s="64" t="s">
        <v>74</v>
      </c>
      <c r="C1" s="64" t="s">
        <v>18</v>
      </c>
      <c r="D1" s="64" t="s">
        <v>19</v>
      </c>
    </row>
    <row r="2" spans="1:5" x14ac:dyDescent="0.25">
      <c r="A2" s="15">
        <v>1945</v>
      </c>
      <c r="B2" s="23"/>
      <c r="C2" s="23"/>
    </row>
    <row r="3" spans="1:5" x14ac:dyDescent="0.25">
      <c r="A3" s="15">
        <v>1946</v>
      </c>
      <c r="B3" s="23"/>
      <c r="C3" s="65"/>
    </row>
    <row r="4" spans="1:5" x14ac:dyDescent="0.25">
      <c r="A4" s="15">
        <v>1947</v>
      </c>
      <c r="B4" s="33"/>
      <c r="C4" s="33"/>
      <c r="D4" s="33"/>
    </row>
    <row r="5" spans="1:5" x14ac:dyDescent="0.25">
      <c r="A5" s="15">
        <v>1948</v>
      </c>
      <c r="B5" s="21"/>
      <c r="C5" s="21"/>
    </row>
    <row r="6" spans="1:5" x14ac:dyDescent="0.25">
      <c r="A6" s="15">
        <v>1949</v>
      </c>
      <c r="B6" s="21"/>
      <c r="C6" s="21"/>
    </row>
    <row r="7" spans="1:5" x14ac:dyDescent="0.25">
      <c r="A7" s="15">
        <v>1950</v>
      </c>
      <c r="B7" s="23">
        <f>(prod!$F7*MatEnergy_PlateGlass!L7)+((prod!$H7+prod!$J7)*MatEnergy_WindowGlass!L7)</f>
        <v>38.414005602240891</v>
      </c>
      <c r="C7" s="23">
        <f>(prod!$F7*MatEnergy_PlateGlass!N7)+((prod!$H7+prod!$J7)*MatEnergy_WindowGlass!N7)</f>
        <v>0.72849283598331416</v>
      </c>
      <c r="D7" s="23">
        <f>(prod!$F7*MatEnergy_PlateGlass!O7)+((prod!$H7+prod!$J7)*MatEnergy_WindowGlass!O7)</f>
        <v>0</v>
      </c>
      <c r="E7" s="23"/>
    </row>
    <row r="8" spans="1:5" x14ac:dyDescent="0.25">
      <c r="A8" s="15">
        <v>1951</v>
      </c>
      <c r="B8" s="23"/>
      <c r="C8" s="23"/>
      <c r="D8" s="23"/>
    </row>
    <row r="9" spans="1:5" x14ac:dyDescent="0.25">
      <c r="A9" s="15">
        <v>1952</v>
      </c>
      <c r="B9" s="23"/>
      <c r="C9" s="23"/>
      <c r="D9" s="23"/>
    </row>
    <row r="10" spans="1:5" x14ac:dyDescent="0.25">
      <c r="A10" s="15">
        <v>1953</v>
      </c>
      <c r="B10" s="23"/>
      <c r="C10" s="23"/>
      <c r="D10" s="23"/>
    </row>
    <row r="11" spans="1:5" x14ac:dyDescent="0.25">
      <c r="A11" s="15">
        <v>1954</v>
      </c>
      <c r="B11" s="23"/>
      <c r="C11" s="23"/>
      <c r="D11" s="23"/>
    </row>
    <row r="12" spans="1:5" x14ac:dyDescent="0.25">
      <c r="A12" s="15">
        <v>1955</v>
      </c>
      <c r="B12" s="23"/>
      <c r="C12" s="23"/>
      <c r="D12" s="23"/>
    </row>
    <row r="13" spans="1:5" x14ac:dyDescent="0.25">
      <c r="A13" s="15">
        <v>1956</v>
      </c>
      <c r="B13" s="23"/>
      <c r="C13" s="23"/>
      <c r="D13" s="23"/>
    </row>
    <row r="14" spans="1:5" x14ac:dyDescent="0.25">
      <c r="A14" s="15">
        <v>1957</v>
      </c>
      <c r="B14" s="23"/>
      <c r="C14" s="23"/>
      <c r="D14" s="23"/>
    </row>
    <row r="15" spans="1:5" x14ac:dyDescent="0.25">
      <c r="A15" s="15">
        <v>1958</v>
      </c>
      <c r="B15" s="23"/>
      <c r="C15" s="23"/>
      <c r="D15" s="23"/>
    </row>
    <row r="16" spans="1:5" x14ac:dyDescent="0.25">
      <c r="A16" s="15">
        <v>1959</v>
      </c>
      <c r="B16" s="23"/>
      <c r="C16" s="23"/>
      <c r="D16" s="23"/>
    </row>
    <row r="17" spans="1:6" x14ac:dyDescent="0.25">
      <c r="A17" s="15">
        <v>1960</v>
      </c>
      <c r="B17" s="23">
        <f>(prod!$F17*MatEnergy_PlateGlass!L17)+((prod!$H17+prod!$J17)*MatEnergy_WindowGlass!L17)</f>
        <v>29.554968795007206</v>
      </c>
      <c r="C17" s="23">
        <f>(prod!$F17*MatEnergy_PlateGlass!N17)+((prod!$H17+prod!$J17)*MatEnergy_WindowGlass!N17)</f>
        <v>0.77976907959949848</v>
      </c>
      <c r="D17" s="23">
        <f>(prod!$F17*MatEnergy_PlateGlass!O17)+((prod!$H17+prod!$J17)*MatEnergy_WindowGlass!O17)</f>
        <v>0</v>
      </c>
    </row>
    <row r="18" spans="1:6" x14ac:dyDescent="0.25">
      <c r="A18" s="15">
        <v>1961</v>
      </c>
      <c r="B18" s="23"/>
      <c r="C18" s="23"/>
      <c r="D18" s="23"/>
    </row>
    <row r="19" spans="1:6" x14ac:dyDescent="0.25">
      <c r="A19" s="15">
        <v>1962</v>
      </c>
      <c r="B19" s="23"/>
      <c r="C19" s="23"/>
      <c r="D19" s="23"/>
    </row>
    <row r="20" spans="1:6" x14ac:dyDescent="0.25">
      <c r="A20" s="15">
        <v>1963</v>
      </c>
      <c r="B20" s="23"/>
      <c r="C20" s="23"/>
      <c r="D20" s="23"/>
    </row>
    <row r="21" spans="1:6" x14ac:dyDescent="0.25">
      <c r="A21" s="15">
        <v>1964</v>
      </c>
      <c r="B21" s="23"/>
      <c r="C21" s="23"/>
      <c r="D21" s="23"/>
    </row>
    <row r="22" spans="1:6" x14ac:dyDescent="0.25">
      <c r="A22" s="15">
        <v>1965</v>
      </c>
      <c r="B22" s="23"/>
      <c r="C22" s="23"/>
      <c r="D22" s="23"/>
    </row>
    <row r="23" spans="1:6" x14ac:dyDescent="0.25">
      <c r="A23" s="15">
        <v>1966</v>
      </c>
      <c r="B23" s="23"/>
      <c r="C23" s="23"/>
      <c r="D23" s="23"/>
    </row>
    <row r="24" spans="1:6" x14ac:dyDescent="0.25">
      <c r="A24" s="15">
        <v>1967</v>
      </c>
      <c r="B24" s="23"/>
      <c r="C24" s="23"/>
      <c r="D24" s="23"/>
    </row>
    <row r="25" spans="1:6" x14ac:dyDescent="0.25">
      <c r="A25" s="15">
        <v>1968</v>
      </c>
      <c r="B25" s="23"/>
      <c r="C25" s="23"/>
      <c r="D25" s="23"/>
    </row>
    <row r="26" spans="1:6" x14ac:dyDescent="0.25">
      <c r="A26" s="15">
        <v>1969</v>
      </c>
      <c r="B26" s="23"/>
      <c r="C26" s="23"/>
      <c r="D26" s="23"/>
    </row>
    <row r="27" spans="1:6" x14ac:dyDescent="0.25">
      <c r="A27" s="15">
        <v>1970</v>
      </c>
      <c r="B27" s="23">
        <f>(prod!$F27*MatEnergy_PlateGlass!L27)+((prod!$H27+prod!$J27)*MatEnergy_WindowGlass!L27)</f>
        <v>21.660017399950291</v>
      </c>
      <c r="C27" s="23">
        <f>(prod!$F27*MatEnergy_PlateGlass!N27)+((prod!$H27+prod!$J27)*MatEnergy_WindowGlass!N27)</f>
        <v>0.95526263552916069</v>
      </c>
      <c r="D27" s="23">
        <f>(prod!$F27*MatEnergy_PlateGlass!O27)+((prod!$H27+prod!$J27)*MatEnergy_WindowGlass!O27)</f>
        <v>2.1743999999999999</v>
      </c>
      <c r="E27" s="23"/>
      <c r="F27" s="23"/>
    </row>
    <row r="28" spans="1:6" x14ac:dyDescent="0.25">
      <c r="A28" s="15">
        <v>1971</v>
      </c>
      <c r="B28" s="23"/>
      <c r="C28" s="23"/>
      <c r="D28" s="23"/>
    </row>
    <row r="29" spans="1:6" x14ac:dyDescent="0.25">
      <c r="A29" s="15">
        <v>1972</v>
      </c>
      <c r="B29" s="23"/>
      <c r="C29" s="23"/>
      <c r="D29" s="23"/>
    </row>
    <row r="30" spans="1:6" x14ac:dyDescent="0.25">
      <c r="A30" s="15">
        <v>1973</v>
      </c>
      <c r="B30" s="23"/>
      <c r="C30" s="23"/>
      <c r="D30" s="23"/>
    </row>
    <row r="31" spans="1:6" x14ac:dyDescent="0.25">
      <c r="A31" s="15">
        <v>1974</v>
      </c>
      <c r="B31" s="23"/>
      <c r="C31" s="23"/>
      <c r="D31" s="23"/>
    </row>
    <row r="32" spans="1:6" x14ac:dyDescent="0.25">
      <c r="A32" s="15">
        <v>1975</v>
      </c>
      <c r="B32" s="23">
        <f>(prod!$F32*MatEnergy_PlateGlass!L32)+((prod!$H32+prod!$J32)*MatEnergy_WindowGlass!L32)</f>
        <v>18.264251207729473</v>
      </c>
      <c r="C32" s="23">
        <f>(prod!$F32*MatEnergy_PlateGlass!N32)+((prod!$H32+prod!$J32)*MatEnergy_WindowGlass!N32)</f>
        <v>1.0053869947520244</v>
      </c>
      <c r="D32" s="23"/>
    </row>
    <row r="33" spans="1:4" x14ac:dyDescent="0.25">
      <c r="A33" s="15">
        <v>1976</v>
      </c>
      <c r="B33" s="23"/>
      <c r="C33" s="23"/>
      <c r="D33" s="23"/>
    </row>
    <row r="34" spans="1:4" x14ac:dyDescent="0.25">
      <c r="A34" s="15">
        <v>1977</v>
      </c>
      <c r="B34" s="23"/>
      <c r="C34" s="23"/>
      <c r="D34" s="23"/>
    </row>
    <row r="35" spans="1:4" x14ac:dyDescent="0.25">
      <c r="A35" s="15">
        <v>1978</v>
      </c>
      <c r="B35" s="23"/>
      <c r="C35" s="23"/>
      <c r="D35" s="23"/>
    </row>
    <row r="36" spans="1:4" x14ac:dyDescent="0.25">
      <c r="A36" s="15">
        <v>1979</v>
      </c>
      <c r="B36" s="23"/>
      <c r="C36" s="23"/>
      <c r="D36" s="23"/>
    </row>
    <row r="37" spans="1:4" x14ac:dyDescent="0.25">
      <c r="A37" s="15">
        <v>1980</v>
      </c>
      <c r="B37" s="23"/>
      <c r="C37" s="23"/>
      <c r="D37" s="23"/>
    </row>
    <row r="38" spans="1:4" x14ac:dyDescent="0.25">
      <c r="A38" s="15">
        <v>1981</v>
      </c>
      <c r="B38" s="23"/>
      <c r="C38" s="23"/>
      <c r="D38" s="74">
        <v>4.7478000000000007</v>
      </c>
    </row>
    <row r="39" spans="1:4" x14ac:dyDescent="0.25">
      <c r="A39" s="15">
        <v>1982</v>
      </c>
      <c r="B39" s="23"/>
      <c r="C39" s="23"/>
      <c r="D39" s="23"/>
    </row>
    <row r="40" spans="1:4" x14ac:dyDescent="0.25">
      <c r="A40" s="15">
        <v>1983</v>
      </c>
      <c r="B40" s="33"/>
      <c r="C40" s="33"/>
      <c r="D40" s="33"/>
    </row>
    <row r="41" spans="1:4" x14ac:dyDescent="0.25">
      <c r="A41" s="15">
        <v>1984</v>
      </c>
      <c r="B41" s="33"/>
      <c r="C41" s="33"/>
      <c r="D41" s="33"/>
    </row>
    <row r="42" spans="1:4" x14ac:dyDescent="0.25">
      <c r="A42" s="15">
        <v>1985</v>
      </c>
      <c r="B42" s="33"/>
      <c r="C42" s="33"/>
      <c r="D42" s="33"/>
    </row>
    <row r="43" spans="1:4" x14ac:dyDescent="0.25">
      <c r="A43" s="15">
        <v>1986</v>
      </c>
      <c r="B43" s="33"/>
      <c r="C43" s="33"/>
      <c r="D43" s="33"/>
    </row>
    <row r="44" spans="1:4" x14ac:dyDescent="0.25">
      <c r="A44" s="15">
        <v>1987</v>
      </c>
      <c r="B44" s="33"/>
      <c r="C44" s="33"/>
      <c r="D44" s="33"/>
    </row>
    <row r="45" spans="1:4" x14ac:dyDescent="0.25">
      <c r="A45" s="15">
        <v>1988</v>
      </c>
      <c r="B45" s="33"/>
      <c r="C45" s="33"/>
      <c r="D45" s="33"/>
    </row>
    <row r="46" spans="1:4" x14ac:dyDescent="0.25">
      <c r="A46" s="15">
        <v>1989</v>
      </c>
      <c r="B46" s="33"/>
      <c r="C46" s="33"/>
      <c r="D46" s="33"/>
    </row>
    <row r="47" spans="1:4" x14ac:dyDescent="0.25">
      <c r="A47" s="15">
        <v>1990</v>
      </c>
      <c r="B47" s="33"/>
      <c r="C47" s="33"/>
      <c r="D47" s="33"/>
    </row>
    <row r="48" spans="1:4" x14ac:dyDescent="0.25">
      <c r="A48" s="15">
        <v>1991</v>
      </c>
      <c r="B48" s="33"/>
      <c r="C48" s="33"/>
      <c r="D48" s="33"/>
    </row>
    <row r="49" spans="1:4" x14ac:dyDescent="0.25">
      <c r="A49" s="15">
        <v>1992</v>
      </c>
      <c r="B49" s="33"/>
      <c r="C49" s="33"/>
      <c r="D49" s="33"/>
    </row>
    <row r="50" spans="1:4" x14ac:dyDescent="0.25">
      <c r="A50" s="15">
        <v>1993</v>
      </c>
      <c r="B50" s="33"/>
      <c r="C50" s="33"/>
      <c r="D50" s="33"/>
    </row>
    <row r="51" spans="1:4" x14ac:dyDescent="0.25">
      <c r="A51" s="15">
        <v>1994</v>
      </c>
      <c r="B51" s="33"/>
      <c r="C51" s="33"/>
      <c r="D51" s="33"/>
    </row>
    <row r="52" spans="1:4" x14ac:dyDescent="0.25">
      <c r="A52" s="15">
        <v>1995</v>
      </c>
      <c r="B52" s="33"/>
      <c r="C52" s="33"/>
      <c r="D52" s="33"/>
    </row>
    <row r="53" spans="1:4" x14ac:dyDescent="0.25">
      <c r="A53" s="15">
        <v>1996</v>
      </c>
      <c r="B53" s="33"/>
      <c r="C53" s="33"/>
      <c r="D53" s="33"/>
    </row>
    <row r="54" spans="1:4" x14ac:dyDescent="0.25">
      <c r="A54" s="15">
        <v>1997</v>
      </c>
      <c r="B54" s="33"/>
      <c r="C54" s="33"/>
      <c r="D54" s="33"/>
    </row>
    <row r="55" spans="1:4" x14ac:dyDescent="0.25">
      <c r="A55" s="15">
        <v>1998</v>
      </c>
      <c r="B55" s="33"/>
      <c r="C55" s="33"/>
      <c r="D55" s="33"/>
    </row>
    <row r="56" spans="1:4" x14ac:dyDescent="0.25">
      <c r="A56" s="15">
        <v>1999</v>
      </c>
      <c r="B56" s="33"/>
      <c r="C56" s="33"/>
      <c r="D56" s="33"/>
    </row>
    <row r="57" spans="1:4" x14ac:dyDescent="0.25">
      <c r="A57" s="15">
        <v>2000</v>
      </c>
      <c r="B57" s="33"/>
      <c r="C57" s="33"/>
      <c r="D57" s="33"/>
    </row>
    <row r="58" spans="1:4" x14ac:dyDescent="0.25">
      <c r="A58" s="15">
        <v>2001</v>
      </c>
      <c r="B58" s="33"/>
      <c r="C58" s="33"/>
      <c r="D58" s="33"/>
    </row>
    <row r="59" spans="1:4" x14ac:dyDescent="0.25">
      <c r="A59" s="15">
        <v>2002</v>
      </c>
      <c r="B59" s="33"/>
      <c r="C59" s="33"/>
      <c r="D59" s="33"/>
    </row>
    <row r="60" spans="1:4" x14ac:dyDescent="0.25">
      <c r="A60" s="15">
        <v>2003</v>
      </c>
      <c r="B60" s="33"/>
      <c r="C60" s="33"/>
      <c r="D60" s="33"/>
    </row>
    <row r="61" spans="1:4" x14ac:dyDescent="0.25">
      <c r="A61" s="15">
        <v>2004</v>
      </c>
      <c r="B61" s="33"/>
      <c r="C61" s="33"/>
      <c r="D61" s="33"/>
    </row>
    <row r="62" spans="1:4" x14ac:dyDescent="0.25">
      <c r="A62" s="15">
        <v>2005</v>
      </c>
      <c r="B62" s="33"/>
      <c r="C62" s="33"/>
      <c r="D62" s="33"/>
    </row>
    <row r="63" spans="1:4" x14ac:dyDescent="0.25">
      <c r="A63" s="15">
        <v>2006</v>
      </c>
      <c r="B63" s="33"/>
      <c r="C63" s="33"/>
      <c r="D63" s="33"/>
    </row>
    <row r="64" spans="1:4" x14ac:dyDescent="0.25">
      <c r="A64" s="15">
        <v>2007</v>
      </c>
      <c r="B64" s="33"/>
      <c r="C64" s="33"/>
      <c r="D64" s="33"/>
    </row>
    <row r="65" spans="1:65" x14ac:dyDescent="0.25">
      <c r="A65" s="15">
        <v>2008</v>
      </c>
      <c r="B65" s="33"/>
      <c r="C65" s="33"/>
      <c r="D65" s="33"/>
    </row>
    <row r="66" spans="1:65" x14ac:dyDescent="0.25">
      <c r="A66" s="15">
        <v>2009</v>
      </c>
      <c r="B66" s="33"/>
      <c r="C66" s="33"/>
      <c r="D66" s="33"/>
    </row>
    <row r="67" spans="1:65" x14ac:dyDescent="0.25">
      <c r="A67" s="15">
        <v>2010</v>
      </c>
      <c r="B67" s="33">
        <f>(2.8+2.1)/2</f>
        <v>2.4500000000000002</v>
      </c>
      <c r="C67" s="33">
        <f>(0.8+2.87)/2</f>
        <v>1.835</v>
      </c>
      <c r="D67" s="33">
        <f>(6.1+7.58)/2</f>
        <v>6.84</v>
      </c>
    </row>
    <row r="68" spans="1:65" x14ac:dyDescent="0.25">
      <c r="A68" s="15">
        <v>2011</v>
      </c>
    </row>
    <row r="69" spans="1:65" x14ac:dyDescent="0.25">
      <c r="A69" s="15">
        <v>2012</v>
      </c>
      <c r="B69" s="33"/>
      <c r="C69" s="33"/>
      <c r="D69" s="33"/>
    </row>
    <row r="70" spans="1:65" x14ac:dyDescent="0.25">
      <c r="A70" s="15">
        <v>2013</v>
      </c>
      <c r="B70" s="33"/>
      <c r="C70" s="33"/>
      <c r="D70" s="33"/>
    </row>
    <row r="71" spans="1:65" x14ac:dyDescent="0.25">
      <c r="A71" s="15">
        <v>2014</v>
      </c>
      <c r="B71" s="33"/>
      <c r="C71" s="33"/>
      <c r="D71" s="33"/>
    </row>
    <row r="72" spans="1:65" x14ac:dyDescent="0.25">
      <c r="A72" s="15">
        <v>2015</v>
      </c>
      <c r="B72" s="33"/>
      <c r="C72" s="33"/>
      <c r="D72" s="33"/>
    </row>
    <row r="73" spans="1:65" x14ac:dyDescent="0.25">
      <c r="A73" s="15">
        <v>2016</v>
      </c>
      <c r="B73" s="33"/>
      <c r="C73" s="33"/>
      <c r="D73" s="33"/>
    </row>
    <row r="74" spans="1:65" x14ac:dyDescent="0.25">
      <c r="A74" s="15">
        <v>2017</v>
      </c>
    </row>
    <row r="75" spans="1:65" x14ac:dyDescent="0.25">
      <c r="A75" s="15">
        <v>2018</v>
      </c>
    </row>
    <row r="76" spans="1:65" x14ac:dyDescent="0.25">
      <c r="A76" s="15">
        <v>2019</v>
      </c>
      <c r="B76" s="33">
        <f>(2.8+2.1)/2</f>
        <v>2.4500000000000002</v>
      </c>
      <c r="C76" s="33">
        <f>(0.8+2.87)/2</f>
        <v>1.835</v>
      </c>
      <c r="D76" s="33">
        <f>(6.1+7.58)/2</f>
        <v>6.84</v>
      </c>
    </row>
    <row r="77" spans="1:65" x14ac:dyDescent="0.25">
      <c r="A77" s="15">
        <v>2020</v>
      </c>
    </row>
    <row r="78" spans="1:65" s="26" customFormat="1" x14ac:dyDescent="0.25">
      <c r="A78" s="25"/>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row>
    <row r="79" spans="1:65" s="26" customFormat="1" x14ac:dyDescent="0.25">
      <c r="A79" s="25"/>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row>
    <row r="80" spans="1:65" s="26" customFormat="1" x14ac:dyDescent="0.25">
      <c r="A80" s="25"/>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row>
    <row r="87" spans="1:65" s="26" customFormat="1" x14ac:dyDescent="0.25">
      <c r="A87" s="25"/>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row>
    <row r="88" spans="1:65" s="26" customFormat="1" x14ac:dyDescent="0.25">
      <c r="A88" s="25"/>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ADF96-AA57-46CE-950B-FAE3AC3D5FD3}">
  <dimension ref="A1:BM88"/>
  <sheetViews>
    <sheetView zoomScale="70" zoomScaleNormal="70" workbookViewId="0">
      <pane xSplit="1" ySplit="1" topLeftCell="B2" activePane="bottomRight" state="frozen"/>
      <selection pane="topRight" activeCell="B1" sqref="B1"/>
      <selection pane="bottomLeft" activeCell="A2" sqref="A2"/>
      <selection pane="bottomRight" activeCell="I32" sqref="I32"/>
    </sheetView>
  </sheetViews>
  <sheetFormatPr defaultColWidth="10.7109375" defaultRowHeight="15" x14ac:dyDescent="0.25"/>
  <cols>
    <col min="1" max="1" width="7.42578125" style="2" customWidth="1"/>
    <col min="2" max="2" width="21.28515625" style="6" customWidth="1"/>
    <col min="3" max="16384" width="10.7109375" style="6"/>
  </cols>
  <sheetData>
    <row r="1" spans="1:2" s="3" customFormat="1" x14ac:dyDescent="0.25">
      <c r="A1" s="14" t="s">
        <v>0</v>
      </c>
      <c r="B1" s="5" t="s">
        <v>11</v>
      </c>
    </row>
    <row r="2" spans="1:2" s="1" customFormat="1" x14ac:dyDescent="0.25">
      <c r="A2" s="11">
        <v>1945</v>
      </c>
    </row>
    <row r="3" spans="1:2" s="1" customFormat="1" x14ac:dyDescent="0.25">
      <c r="A3" s="11">
        <v>1946</v>
      </c>
    </row>
    <row r="4" spans="1:2" s="1" customFormat="1" x14ac:dyDescent="0.25">
      <c r="A4" s="11">
        <v>1947</v>
      </c>
      <c r="B4" s="1">
        <v>2100</v>
      </c>
    </row>
    <row r="5" spans="1:2" s="1" customFormat="1" x14ac:dyDescent="0.25">
      <c r="A5" s="11">
        <v>1948</v>
      </c>
    </row>
    <row r="6" spans="1:2" s="1" customFormat="1" x14ac:dyDescent="0.25">
      <c r="A6" s="11">
        <v>1949</v>
      </c>
    </row>
    <row r="7" spans="1:2" s="1" customFormat="1" x14ac:dyDescent="0.25">
      <c r="A7" s="11">
        <v>1950</v>
      </c>
      <c r="B7" s="1">
        <v>2050</v>
      </c>
    </row>
    <row r="8" spans="1:2" s="1" customFormat="1" x14ac:dyDescent="0.25">
      <c r="A8" s="11">
        <v>1951</v>
      </c>
    </row>
    <row r="9" spans="1:2" s="1" customFormat="1" x14ac:dyDescent="0.25">
      <c r="A9" s="11">
        <v>1952</v>
      </c>
    </row>
    <row r="10" spans="1:2" s="1" customFormat="1" x14ac:dyDescent="0.25">
      <c r="A10" s="11">
        <v>1953</v>
      </c>
    </row>
    <row r="11" spans="1:2" s="1" customFormat="1" x14ac:dyDescent="0.25">
      <c r="A11" s="11">
        <v>1954</v>
      </c>
    </row>
    <row r="12" spans="1:2" s="1" customFormat="1" x14ac:dyDescent="0.25">
      <c r="A12" s="11">
        <v>1955</v>
      </c>
    </row>
    <row r="13" spans="1:2" s="1" customFormat="1" x14ac:dyDescent="0.25">
      <c r="A13" s="11">
        <v>1956</v>
      </c>
    </row>
    <row r="14" spans="1:2" s="1" customFormat="1" x14ac:dyDescent="0.25">
      <c r="A14" s="11">
        <v>1957</v>
      </c>
    </row>
    <row r="15" spans="1:2" s="1" customFormat="1" x14ac:dyDescent="0.25">
      <c r="A15" s="11">
        <v>1958</v>
      </c>
    </row>
    <row r="16" spans="1:2" s="1" customFormat="1" x14ac:dyDescent="0.25">
      <c r="A16" s="11">
        <v>1959</v>
      </c>
    </row>
    <row r="17" spans="1:2" s="1" customFormat="1" x14ac:dyDescent="0.25">
      <c r="A17" s="11">
        <v>1960</v>
      </c>
      <c r="B17" s="1">
        <v>1725</v>
      </c>
    </row>
    <row r="18" spans="1:2" s="1" customFormat="1" x14ac:dyDescent="0.25">
      <c r="A18" s="11">
        <v>1961</v>
      </c>
    </row>
    <row r="19" spans="1:2" s="1" customFormat="1" x14ac:dyDescent="0.25">
      <c r="A19" s="11">
        <v>1962</v>
      </c>
    </row>
    <row r="20" spans="1:2" s="1" customFormat="1" x14ac:dyDescent="0.25">
      <c r="A20" s="11">
        <v>1963</v>
      </c>
    </row>
    <row r="21" spans="1:2" s="1" customFormat="1" x14ac:dyDescent="0.25">
      <c r="A21" s="11">
        <v>1964</v>
      </c>
    </row>
    <row r="22" spans="1:2" s="1" customFormat="1" x14ac:dyDescent="0.25">
      <c r="A22" s="11">
        <v>1965</v>
      </c>
      <c r="B22" s="1">
        <v>1525</v>
      </c>
    </row>
    <row r="23" spans="1:2" s="1" customFormat="1" x14ac:dyDescent="0.25">
      <c r="A23" s="11">
        <v>1966</v>
      </c>
    </row>
    <row r="24" spans="1:2" s="1" customFormat="1" x14ac:dyDescent="0.25">
      <c r="A24" s="11">
        <v>1967</v>
      </c>
    </row>
    <row r="25" spans="1:2" s="1" customFormat="1" x14ac:dyDescent="0.25">
      <c r="A25" s="11">
        <v>1968</v>
      </c>
    </row>
    <row r="26" spans="1:2" s="1" customFormat="1" x14ac:dyDescent="0.25">
      <c r="A26" s="11">
        <v>1969</v>
      </c>
    </row>
    <row r="27" spans="1:2" s="1" customFormat="1" x14ac:dyDescent="0.25">
      <c r="A27" s="11">
        <v>1970</v>
      </c>
      <c r="B27" s="1">
        <v>1340</v>
      </c>
    </row>
    <row r="28" spans="1:2" s="1" customFormat="1" x14ac:dyDescent="0.25">
      <c r="A28" s="11">
        <v>1971</v>
      </c>
    </row>
    <row r="29" spans="1:2" s="1" customFormat="1" x14ac:dyDescent="0.25">
      <c r="A29" s="11">
        <v>1972</v>
      </c>
    </row>
    <row r="30" spans="1:2" s="1" customFormat="1" x14ac:dyDescent="0.25">
      <c r="A30" s="11">
        <v>1973</v>
      </c>
    </row>
    <row r="31" spans="1:2" s="1" customFormat="1" x14ac:dyDescent="0.25">
      <c r="A31" s="11">
        <v>1974</v>
      </c>
    </row>
    <row r="32" spans="1:2" s="1" customFormat="1" x14ac:dyDescent="0.25">
      <c r="A32" s="11">
        <v>1975</v>
      </c>
      <c r="B32" s="1">
        <v>1075</v>
      </c>
    </row>
    <row r="33" spans="1:2" s="1" customFormat="1" x14ac:dyDescent="0.25">
      <c r="A33" s="11">
        <v>1976</v>
      </c>
    </row>
    <row r="34" spans="1:2" s="1" customFormat="1" x14ac:dyDescent="0.25">
      <c r="A34" s="11">
        <v>1977</v>
      </c>
    </row>
    <row r="35" spans="1:2" s="1" customFormat="1" x14ac:dyDescent="0.25">
      <c r="A35" s="11">
        <v>1978</v>
      </c>
    </row>
    <row r="36" spans="1:2" s="1" customFormat="1" x14ac:dyDescent="0.25">
      <c r="A36" s="11">
        <v>1979</v>
      </c>
    </row>
    <row r="37" spans="1:2" s="1" customFormat="1" x14ac:dyDescent="0.25">
      <c r="A37" s="11">
        <v>1980</v>
      </c>
      <c r="B37" s="1">
        <v>900</v>
      </c>
    </row>
    <row r="38" spans="1:2" s="1" customFormat="1" x14ac:dyDescent="0.25">
      <c r="A38" s="11">
        <v>1981</v>
      </c>
    </row>
    <row r="39" spans="1:2" s="1" customFormat="1" x14ac:dyDescent="0.25">
      <c r="A39" s="11">
        <v>1982</v>
      </c>
    </row>
    <row r="40" spans="1:2" s="1" customFormat="1" x14ac:dyDescent="0.25">
      <c r="A40" s="11">
        <v>1983</v>
      </c>
    </row>
    <row r="41" spans="1:2" s="1" customFormat="1" x14ac:dyDescent="0.25">
      <c r="A41" s="11">
        <v>1984</v>
      </c>
    </row>
    <row r="42" spans="1:2" s="1" customFormat="1" x14ac:dyDescent="0.25">
      <c r="A42" s="11">
        <v>1985</v>
      </c>
      <c r="B42" s="1">
        <v>800</v>
      </c>
    </row>
    <row r="43" spans="1:2" s="1" customFormat="1" x14ac:dyDescent="0.25">
      <c r="A43" s="11">
        <v>1986</v>
      </c>
    </row>
    <row r="44" spans="1:2" s="1" customFormat="1" x14ac:dyDescent="0.25">
      <c r="A44" s="11">
        <v>1987</v>
      </c>
    </row>
    <row r="45" spans="1:2" s="1" customFormat="1" x14ac:dyDescent="0.25">
      <c r="A45" s="11">
        <v>1988</v>
      </c>
    </row>
    <row r="46" spans="1:2" s="1" customFormat="1" x14ac:dyDescent="0.25">
      <c r="A46" s="11">
        <v>1989</v>
      </c>
    </row>
    <row r="47" spans="1:2" s="1" customFormat="1" x14ac:dyDescent="0.25">
      <c r="A47" s="11">
        <v>1990</v>
      </c>
      <c r="B47" s="1">
        <v>690</v>
      </c>
    </row>
    <row r="48" spans="1:2" s="1" customFormat="1" x14ac:dyDescent="0.25">
      <c r="A48" s="11">
        <v>1991</v>
      </c>
    </row>
    <row r="49" spans="1:2" s="1" customFormat="1" x14ac:dyDescent="0.25">
      <c r="A49" s="11">
        <v>1992</v>
      </c>
    </row>
    <row r="50" spans="1:2" s="1" customFormat="1" x14ac:dyDescent="0.25">
      <c r="A50" s="11">
        <v>1993</v>
      </c>
    </row>
    <row r="51" spans="1:2" s="1" customFormat="1" x14ac:dyDescent="0.25">
      <c r="A51" s="11">
        <v>1994</v>
      </c>
    </row>
    <row r="52" spans="1:2" s="1" customFormat="1" x14ac:dyDescent="0.25">
      <c r="A52" s="11">
        <v>1995</v>
      </c>
      <c r="B52" s="1">
        <v>710</v>
      </c>
    </row>
    <row r="53" spans="1:2" s="1" customFormat="1" x14ac:dyDescent="0.25">
      <c r="A53" s="11">
        <v>1996</v>
      </c>
    </row>
    <row r="54" spans="1:2" s="1" customFormat="1" x14ac:dyDescent="0.25">
      <c r="A54" s="11">
        <v>1997</v>
      </c>
    </row>
    <row r="55" spans="1:2" s="1" customFormat="1" x14ac:dyDescent="0.25">
      <c r="A55" s="11">
        <v>1998</v>
      </c>
    </row>
    <row r="56" spans="1:2" s="1" customFormat="1" x14ac:dyDescent="0.25">
      <c r="A56" s="11">
        <v>1999</v>
      </c>
    </row>
    <row r="57" spans="1:2" s="1" customFormat="1" x14ac:dyDescent="0.25">
      <c r="A57" s="11">
        <v>2000</v>
      </c>
      <c r="B57" s="1">
        <v>610</v>
      </c>
    </row>
    <row r="58" spans="1:2" s="1" customFormat="1" x14ac:dyDescent="0.25">
      <c r="A58" s="11">
        <v>2001</v>
      </c>
    </row>
    <row r="59" spans="1:2" s="1" customFormat="1" x14ac:dyDescent="0.25">
      <c r="A59" s="11">
        <v>2002</v>
      </c>
    </row>
    <row r="60" spans="1:2" s="1" customFormat="1" x14ac:dyDescent="0.25">
      <c r="A60" s="11">
        <v>2003</v>
      </c>
    </row>
    <row r="61" spans="1:2" s="1" customFormat="1" x14ac:dyDescent="0.25">
      <c r="A61" s="11">
        <v>2004</v>
      </c>
    </row>
    <row r="62" spans="1:2" s="1" customFormat="1" x14ac:dyDescent="0.25">
      <c r="A62" s="11">
        <v>2005</v>
      </c>
      <c r="B62" s="1">
        <v>580</v>
      </c>
    </row>
    <row r="63" spans="1:2" s="1" customFormat="1" x14ac:dyDescent="0.25">
      <c r="A63" s="11">
        <v>2006</v>
      </c>
      <c r="B63" s="1">
        <v>550</v>
      </c>
    </row>
    <row r="64" spans="1:2" s="1" customFormat="1" x14ac:dyDescent="0.25">
      <c r="A64" s="11">
        <v>2007</v>
      </c>
    </row>
    <row r="65" spans="1:65" s="1" customFormat="1" x14ac:dyDescent="0.25">
      <c r="A65" s="11">
        <v>2008</v>
      </c>
    </row>
    <row r="66" spans="1:65" s="1" customFormat="1" x14ac:dyDescent="0.25">
      <c r="A66" s="11">
        <v>2009</v>
      </c>
    </row>
    <row r="67" spans="1:65" s="1" customFormat="1" x14ac:dyDescent="0.25">
      <c r="A67" s="11">
        <v>2010</v>
      </c>
      <c r="B67" s="1">
        <v>535</v>
      </c>
    </row>
    <row r="68" spans="1:65" s="1" customFormat="1" x14ac:dyDescent="0.25">
      <c r="A68" s="11">
        <v>2011</v>
      </c>
    </row>
    <row r="69" spans="1:65" s="1" customFormat="1" x14ac:dyDescent="0.25">
      <c r="A69" s="11">
        <v>2012</v>
      </c>
    </row>
    <row r="70" spans="1:65" s="1" customFormat="1" x14ac:dyDescent="0.25">
      <c r="A70" s="11">
        <v>2013</v>
      </c>
    </row>
    <row r="71" spans="1:65" s="1" customFormat="1" x14ac:dyDescent="0.25">
      <c r="A71" s="11">
        <v>2014</v>
      </c>
    </row>
    <row r="72" spans="1:65" s="1" customFormat="1" x14ac:dyDescent="0.25">
      <c r="A72" s="11">
        <v>2015</v>
      </c>
      <c r="B72" s="1">
        <v>513</v>
      </c>
    </row>
    <row r="73" spans="1:65" s="1" customFormat="1" x14ac:dyDescent="0.25">
      <c r="A73" s="11">
        <v>2016</v>
      </c>
    </row>
    <row r="74" spans="1:65" s="1" customFormat="1" x14ac:dyDescent="0.25">
      <c r="A74" s="11">
        <v>2017</v>
      </c>
    </row>
    <row r="75" spans="1:65" s="1" customFormat="1" x14ac:dyDescent="0.25">
      <c r="A75" s="11">
        <v>2018</v>
      </c>
      <c r="B75" s="1">
        <v>510</v>
      </c>
    </row>
    <row r="76" spans="1:65" s="1" customFormat="1" x14ac:dyDescent="0.25">
      <c r="A76" s="11">
        <v>2019</v>
      </c>
    </row>
    <row r="77" spans="1:65" s="1" customFormat="1" x14ac:dyDescent="0.25">
      <c r="A77" s="11">
        <v>2020</v>
      </c>
    </row>
    <row r="78" spans="1:65" s="4" customFormat="1" x14ac:dyDescent="0.25">
      <c r="A78" s="2"/>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row>
    <row r="79" spans="1:65" s="4" customFormat="1" x14ac:dyDescent="0.25">
      <c r="A79" s="2"/>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s="4" customFormat="1" x14ac:dyDescent="0.25">
      <c r="A80" s="2"/>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7" spans="1:65" s="4" customFormat="1" x14ac:dyDescent="0.25">
      <c r="A87" s="2"/>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row>
    <row r="88" spans="1:65" s="4" customFormat="1" x14ac:dyDescent="0.25">
      <c r="A88" s="2"/>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References</vt:lpstr>
      <vt:lpstr>prod</vt:lpstr>
      <vt:lpstr>import</vt:lpstr>
      <vt:lpstr>export</vt:lpstr>
      <vt:lpstr>Population</vt:lpstr>
      <vt:lpstr>MatEnergy_WindowGlass</vt:lpstr>
      <vt:lpstr>MatEnergy_PlateGlass</vt:lpstr>
      <vt:lpstr>RawMat_Intensity</vt:lpstr>
      <vt:lpstr>Energy_Intensity</vt:lpstr>
      <vt:lpstr>emissions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jean</cp:lastModifiedBy>
  <cp:lastPrinted>2020-11-25T15:58:55Z</cp:lastPrinted>
  <dcterms:created xsi:type="dcterms:W3CDTF">2020-05-20T17:08:53Z</dcterms:created>
  <dcterms:modified xsi:type="dcterms:W3CDTF">2021-03-08T17:54:16Z</dcterms:modified>
</cp:coreProperties>
</file>