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zh\Desktop\"/>
    </mc:Choice>
  </mc:AlternateContent>
  <xr:revisionPtr revIDLastSave="0" documentId="8_{CCE6523F-AD99-4794-82E1-5692BE57A0D6}" xr6:coauthVersionLast="45" xr6:coauthVersionMax="45" xr10:uidLastSave="{00000000-0000-0000-0000-000000000000}"/>
  <bookViews>
    <workbookView xWindow="495" yWindow="315" windowWidth="19815" windowHeight="14940" xr2:uid="{32647CD5-771C-453E-99A1-2B21DF5CF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88" i="1" l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<sst xmlns="http://schemas.openxmlformats.org/spreadsheetml/2006/main" count="6778" uniqueCount="3451">
  <si>
    <t>External ID</t>
    <phoneticPr fontId="1" type="noConversion"/>
  </si>
  <si>
    <t>PEDIGREE DENTA STIX SMALL 3DB 45G</t>
    <phoneticPr fontId="3" type="noConversion"/>
  </si>
  <si>
    <t>Pedigree alutasakos 100g csirke-bárány</t>
  </si>
  <si>
    <t>Pedigree kutyaeledel 400g marhahús</t>
  </si>
  <si>
    <t>Dax kutya eledel marha 400g</t>
  </si>
  <si>
    <t>Pedigree alutasakos 100g borjú-pulyka-sr</t>
  </si>
  <si>
    <t>Pedogree rodeo 70G</t>
  </si>
  <si>
    <t>Pedigree marhás kutyaeledel 100g</t>
  </si>
  <si>
    <t>Friskies kutya csirke alu 100g</t>
  </si>
  <si>
    <t>Dax kutya.konz 1240gr hús</t>
  </si>
  <si>
    <t>Whiskas száraz macskaeledel marha 300g</t>
  </si>
  <si>
    <t>DAX KUTYA 1240G BÁRÁNY</t>
  </si>
  <si>
    <t>Dax kutya eledel 1240g vad</t>
  </si>
  <si>
    <t>Dax kutya eledel többféle 400g hús</t>
  </si>
  <si>
    <t>Félix macskaeledel nyúl&amp;bár. 4x100g</t>
  </si>
  <si>
    <t>Friskies kutya 4*100g alu junior</t>
  </si>
  <si>
    <t>Friskies kutya marha alu 100g</t>
  </si>
  <si>
    <t>Pedigree kutyaeledel 400g junior csirke</t>
  </si>
  <si>
    <t>Pedigree schmackos marha 86g</t>
  </si>
  <si>
    <t>Dax kutya konz 1240gr szárnyas</t>
  </si>
  <si>
    <t>Dax macska 400g marha</t>
  </si>
  <si>
    <t>Dax macska hal 400g</t>
  </si>
  <si>
    <t>Felix alu aszpikos marha 100g</t>
  </si>
  <si>
    <t>PEDIGRE MARKIES 150g</t>
  </si>
  <si>
    <t>PEDIGREE BISCROCK 200G</t>
  </si>
  <si>
    <t>Prevital Steril szárnyas 100g</t>
  </si>
  <si>
    <t>WHISKAS TASAKOS CSIRKEHÚS.ASZPIK. 100G</t>
  </si>
  <si>
    <t>WHISKAS TASAKOS MARHAHÚSSAL 100G</t>
  </si>
  <si>
    <t>Chappy kutyaeledel száraz 500GR baromfi</t>
  </si>
  <si>
    <t>Dax kutya konz 1240g borjú</t>
  </si>
  <si>
    <t>Dax macska pate csirke 100g</t>
  </si>
  <si>
    <t>Felix alu aszpikos lazac 100g</t>
  </si>
  <si>
    <t>Friskies kutya 4*100g húsos</t>
  </si>
  <si>
    <t>PreVital Macska 100g csirke</t>
  </si>
  <si>
    <t>Coop macskaalom 5kg</t>
  </si>
  <si>
    <t>Darling kutya szárny.-zölds. 500g</t>
  </si>
  <si>
    <t>Dax kutya baromfi alu 300g</t>
  </si>
  <si>
    <t>Felix alu aszpikos csirke 100g</t>
  </si>
  <si>
    <t>Fitactive cat meat mix 415g</t>
  </si>
  <si>
    <t>Panzi duo kutya-macska szalámi 800g</t>
  </si>
  <si>
    <t>Panzi kutya konzerv marhás 1240g</t>
  </si>
  <si>
    <t>Panzi regular dog száraz beef 2kg</t>
  </si>
  <si>
    <t>Pedigree tasty bites 130g</t>
  </si>
  <si>
    <t>Prevital Macska eledel Lazac 100g</t>
  </si>
  <si>
    <t>Reno kutyakonzerv 1240g borjú</t>
  </si>
  <si>
    <t>Reno macska supreme 100g hal</t>
  </si>
  <si>
    <t>Whiskas alu 4pack szárnyas 100g</t>
  </si>
  <si>
    <t>Buster dental stick herbal marha 110g</t>
  </si>
  <si>
    <t>Felix 4*100g Alu. Pulyka</t>
  </si>
  <si>
    <t>Félix alu aszpikos kacsa 100g</t>
  </si>
  <si>
    <t>Fitactive dog 800g meat-mix</t>
  </si>
  <si>
    <t>Minden nap macskael.baromfi konz 415g</t>
  </si>
  <si>
    <t>Panzi kutya konzerv vad 1240g</t>
  </si>
  <si>
    <t>Panzi regular cat vadhús 415g</t>
  </si>
  <si>
    <t>Panzi regular dog száraz lamb 2kg</t>
  </si>
  <si>
    <t>Pedigree 100g marha-nyúl állateledel alu</t>
  </si>
  <si>
    <t>Prevital borjús macskaeledel 100g</t>
  </si>
  <si>
    <t>Reno macskakonzerv halas 415g</t>
  </si>
  <si>
    <t>WHISKAS KONZERV BEEF(MARHA) 400G</t>
  </si>
  <si>
    <t>WHISKAS TASAKOS LAZACCAL 100G</t>
  </si>
  <si>
    <t>Whiskas száraz macskaeledel halas 300g</t>
  </si>
  <si>
    <t>Bruno kutyaszalámi kolbászos 1kg</t>
  </si>
  <si>
    <t>Bruno kutyaszalámi marhás 1kg</t>
  </si>
  <si>
    <t>Buster dental stick marha natúr 110g</t>
  </si>
  <si>
    <t>Chappy kutyaeledel száraz 500g marha</t>
  </si>
  <si>
    <t>Dax kutya konzerv máj 1240g</t>
  </si>
  <si>
    <t>Dax macska 400g nyúl</t>
  </si>
  <si>
    <t>Dax száraz kutyaeledel 3kg marha</t>
  </si>
  <si>
    <t>Dax száraz kutyaeledel 3kg sonkás</t>
  </si>
  <si>
    <t>Dax szárazeledel kutya baromfi 3kg</t>
  </si>
  <si>
    <t>Felix macska 4*100g lazac-lepényhal</t>
  </si>
  <si>
    <t>Fitactive dog 800g sertés-hal</t>
  </si>
  <si>
    <t>Kitekat  hallal 400g</t>
  </si>
  <si>
    <t>Kitekat alu 4pack ínyenc 4*100g</t>
  </si>
  <si>
    <t>Kitekat konzerv csirkés 400g</t>
  </si>
  <si>
    <t>Panzi dental stick dog 90g</t>
  </si>
  <si>
    <t>Panzi töltött párna dog 80g</t>
  </si>
  <si>
    <t>Pedigree 1200g kutyaeledel marhahús</t>
  </si>
  <si>
    <t>Prevital Jelly marha 100g</t>
  </si>
  <si>
    <t>Prevital jelly csirkés 100g</t>
  </si>
  <si>
    <t>Reno Kutyakonzerv 1240g marha</t>
  </si>
  <si>
    <t>Reno kutyakonzerv 1240g baromfi</t>
  </si>
  <si>
    <t>Reno macka supreme 100g marha-baromfi</t>
  </si>
  <si>
    <t>Whiskas 4*100g szárnyas</t>
  </si>
  <si>
    <t>Whiskas alu krémes klassz. 4*100g</t>
  </si>
  <si>
    <t>Whiskas tasak casserole junior 85g</t>
  </si>
  <si>
    <t>San benedetto ásv.víz mentes 0,5l</t>
  </si>
  <si>
    <t>SZENTKIRÁLYI ÁSVÁNYVÍZ OXIG.DÚS PET 1.5L</t>
  </si>
  <si>
    <t>Kubu alma ízű ásványvíz 0,5liter</t>
  </si>
  <si>
    <t>Jana alma-licsi ásványvíz 1,5liter</t>
  </si>
  <si>
    <t>Jana mentes ásványvíz 1,5liter</t>
  </si>
  <si>
    <t>Kubu citrom ízű ásványvíz 0,5liter</t>
  </si>
  <si>
    <t>Kubu eper ízű ásványvíz 0,5liter</t>
  </si>
  <si>
    <t>Mizse ásványvíz mentes 1,5l pet</t>
  </si>
  <si>
    <t>Mizse szénsavas ásványvíz 1,5liter</t>
  </si>
  <si>
    <t>Nestlé aquarel szénsavmentes 1,5liter</t>
  </si>
  <si>
    <t>Szentkirály szénsavmentes ásv. 1,5liter</t>
  </si>
  <si>
    <t>Szentkirályi szénsavas ásványvíz 1,5lite</t>
  </si>
  <si>
    <t>Mizse ásványvíz enyhe 1,5l</t>
  </si>
  <si>
    <t>Theodora mentes ásványvíz 1,5l</t>
  </si>
  <si>
    <t>Naturaqua mentes ásv.víz  1,5l</t>
  </si>
  <si>
    <t>Szentkirályi enyhe ásványvíz 1,5liter</t>
  </si>
  <si>
    <t>Coop zafír ásványvíz mentes 1,5l</t>
  </si>
  <si>
    <t>JANA BABY TERMÉSZETES ÁSVÁNYVÍZ 1L</t>
  </si>
  <si>
    <t>Naturaqua SZÉNSAVAS ÁSVÁNYVÍZ 1.5L</t>
  </si>
  <si>
    <t>THEODORA ÁSVÁNYVÍZ ENYHE PET 1.5L</t>
  </si>
  <si>
    <t>THEODORA ÁSVÁNYVÍZ SZÉNSAVAS PET 1.5L</t>
  </si>
  <si>
    <t>Mizse mentes 0,5 l</t>
  </si>
  <si>
    <t>Jana Sportkupakos ásv.víz 1L</t>
  </si>
  <si>
    <t>Nestlé aquarel szénsavas ásványvíz 1,5li</t>
  </si>
  <si>
    <t>Szentkirályi babavíz 1liter</t>
  </si>
  <si>
    <t>Naturaqua SZÉNSAVAS PET 0.5L</t>
  </si>
  <si>
    <t>Szentkirályi szénsavas ásványvíz 0,5lite</t>
  </si>
  <si>
    <t>MIZSE MENTES 1l ásványvíz</t>
  </si>
  <si>
    <t>Mizse dús 0,5 l</t>
  </si>
  <si>
    <t>NaturAqua Szénsavmentes 0.5l</t>
  </si>
  <si>
    <t>MIZSE Dús 1l ásványvíz</t>
  </si>
  <si>
    <t>Theodora mentes 0.5l</t>
  </si>
  <si>
    <t>Jana baby 0,25L</t>
  </si>
  <si>
    <t>Nestlé aquarel szénsavas ásv.víz 0,5l</t>
  </si>
  <si>
    <t>SZENTKIRÁLYI ÁSVÁNYVÍZ SZ.MENT.PET 0.5L</t>
  </si>
  <si>
    <t>Coop lúgos víz 1,5l</t>
  </si>
  <si>
    <t>Kopjary Water szénsavmentes á.víz 0,766l</t>
  </si>
  <si>
    <t>San Benedetto víz enyhe 0,5L</t>
  </si>
  <si>
    <t>Kopjary water 0,383L széns.ment. ávíz</t>
  </si>
  <si>
    <t>Naturaqua enyhe ásványvíz 1,5liter</t>
  </si>
  <si>
    <t>NATURAQUA EMOTION KÖRTE-CITROMFŰ PET 1,5</t>
  </si>
  <si>
    <t>THEODORA ÁSVÁNYVÍZ SZÉNSAVAS PET 0.5L</t>
  </si>
  <si>
    <t>Theodora ásványvíz málna dús 1,5l</t>
  </si>
  <si>
    <t>Kopjary Water szénsavmentes á.víz 1,149l</t>
  </si>
  <si>
    <t>Szentkirályi Ásv.víz mentes 6x1,5liter</t>
  </si>
  <si>
    <t>Szentkirályi szénsavmentes ásványvíz 5l</t>
  </si>
  <si>
    <t>OVKO BÉBIÉTEL 190G BANÁN ALMÁVAL ÉS TÚRÓ</t>
  </si>
  <si>
    <t>Soft clean intim törlőkendő</t>
  </si>
  <si>
    <t>Coop nadrágpelenka maxi 36db</t>
  </si>
  <si>
    <t>Helen harper soft&amp;dry pelenka junior44db</t>
  </si>
  <si>
    <t>Ovko bébiétel zöldséges lasagne 220g</t>
  </si>
  <si>
    <t>Ovko bébidesszert alma-s.barack 190g</t>
  </si>
  <si>
    <t>7 DAYS double csoki-mogyoró 80g</t>
  </si>
  <si>
    <t>Cerbona disney csokis gabonapehely 225g</t>
  </si>
  <si>
    <t>Cerbona disney fahéjas pehely 225g</t>
  </si>
  <si>
    <t>Cerbona disney gabonagolyó kakaós 225g</t>
  </si>
  <si>
    <t>La fiesta édes élmény vörös 0,75l</t>
  </si>
  <si>
    <t>Pincesor balatonboglári kékfrankos 0,75l</t>
  </si>
  <si>
    <t>Grape Dínom-Dánom fehér félédes 2l Pet</t>
  </si>
  <si>
    <t>La FIESTA Muskotály 0,75L +ü</t>
  </si>
  <si>
    <t>La fiesta cser. fűsz. feh. 0,75L+ü 1204</t>
  </si>
  <si>
    <t>Pincejava 2l.fehér félédes</t>
  </si>
  <si>
    <t>BB Napos merlot édes vörös bor 0,75l</t>
  </si>
  <si>
    <t>Balaton Art Irsai Olivér 0.75l</t>
  </si>
  <si>
    <t>Balaton Art Kékfrankos 0.75l</t>
  </si>
  <si>
    <t>Édes kettes fehér 0.75l</t>
  </si>
  <si>
    <t>La fiesta cab.sauv.blauer 0,7+ü 1204</t>
  </si>
  <si>
    <t>La fiesta édes merlot 0,75l +ü</t>
  </si>
  <si>
    <t>La fiesta zweigelt cab.0,75l  +üvegbetét</t>
  </si>
  <si>
    <t>Pincejava vörös száraz Cuvee 2l pet</t>
  </si>
  <si>
    <t>Pincesor Chardonnay 0.75l</t>
  </si>
  <si>
    <t>Pincesor b.boglári zenit félédes 0,75l</t>
  </si>
  <si>
    <t>Balaton Art Chardonnay 0,75l</t>
  </si>
  <si>
    <t>La fiesta egri bikavér 0,75l+ü</t>
  </si>
  <si>
    <t>La fiesta édes élmény fehér 0,75+ü</t>
  </si>
  <si>
    <t>La fiesta édes élmény fehér 1,5l</t>
  </si>
  <si>
    <t>Varga Bal. melléki kékfrankos 0,75l</t>
  </si>
  <si>
    <t>Varga Egri Bikavér 0.75l</t>
  </si>
  <si>
    <t>Varga balatonmelléki merlot 0,75l+üveg</t>
  </si>
  <si>
    <t>Balaton Art Kékfrankos Rosé 0.75l</t>
  </si>
  <si>
    <t>Kettesben Rosé 0.75l</t>
  </si>
  <si>
    <t>La fiesta édes élmény rosé 0,75 +üvegb</t>
  </si>
  <si>
    <t>Vadász cuvée merlot rozé 0,75L</t>
  </si>
  <si>
    <t>Varga tokaji furmint min 750ml</t>
  </si>
  <si>
    <t>BB Yolo léhűtő száraz fehér bor 0,75l</t>
  </si>
  <si>
    <t>Édes kettes borok többféle. 0.75l</t>
  </si>
  <si>
    <t>Frittmann irsai olivér 0,75l</t>
  </si>
  <si>
    <t>Gere&amp;Schubert Irsai Olivér 0,75L</t>
  </si>
  <si>
    <t>Juhász Rosé 0.75l</t>
  </si>
  <si>
    <t>Ostoros debrői hárslevelű 0,75l</t>
  </si>
  <si>
    <t>Pincejava fehér száraz 2l Pet</t>
  </si>
  <si>
    <t>Pincesor B.Boglári Olaszrizling 0.75l</t>
  </si>
  <si>
    <t>Pincesor BB pinot noir 12% 0,75l</t>
  </si>
  <si>
    <t>Piros ász félédes vörösbor 0.75l</t>
  </si>
  <si>
    <t>Vadász cuvée Furmnt-juhfarkú 0,75L</t>
  </si>
  <si>
    <t>Vadász cuvée b.boglári sauvig.-cab 0,75L</t>
  </si>
  <si>
    <t>Varga Édes Rozé, 0.75l</t>
  </si>
  <si>
    <t>Varga Irsai Olivér B.melléki 0,75+ü</t>
  </si>
  <si>
    <t>Varga szürkebarát félédes 0.75l</t>
  </si>
  <si>
    <t>BB Napos Tramini fehér édes bor 0,75l</t>
  </si>
  <si>
    <t>BB Napos merlot rosé édes bor 0,75l</t>
  </si>
  <si>
    <t>BB Yolo Lazító száraz vörös bor 0,75l</t>
  </si>
  <si>
    <t>Balaton Art Merlot 0.75l</t>
  </si>
  <si>
    <t>Balaton Art cabernet sav. 0.75l</t>
  </si>
  <si>
    <t>Báthory merlot 0,75l</t>
  </si>
  <si>
    <t>Bock villányi cabernet sauvignon 0,75l</t>
  </si>
  <si>
    <t>Boldog névnapot kékfrankos rosé 0,75l</t>
  </si>
  <si>
    <t>Debrői hárslevelű félédes 0,75l</t>
  </si>
  <si>
    <t>Édes kettes rosé 0,75l+ü</t>
  </si>
  <si>
    <t>Fontányi Ottonel muskotály 0,75l</t>
  </si>
  <si>
    <t>Frittman chardonnay 0,75l</t>
  </si>
  <si>
    <t>Frittmann Ezerjó 0.75l</t>
  </si>
  <si>
    <t>Frittmann portugieser vörös 0,75l</t>
  </si>
  <si>
    <t>Gere villányi portugieser 0,75l</t>
  </si>
  <si>
    <t>Happy birthday egri bikavér 0,75L</t>
  </si>
  <si>
    <t>Hilltop irsai olivér száraz</t>
  </si>
  <si>
    <t>LA FIESTA kékfrankos 0,75l</t>
  </si>
  <si>
    <t>La FIESTA RAJNAI rizling 0,75L +üvegbet</t>
  </si>
  <si>
    <t>La Fiestea Rose Cuvéé 0,75l</t>
  </si>
  <si>
    <t>La Vie kékfrankos rosé 0,75L</t>
  </si>
  <si>
    <t>La fiesta cab.sauv.rosé 1,5l</t>
  </si>
  <si>
    <t>La fiesta kékfrankos félédes 0,75l +ü</t>
  </si>
  <si>
    <t>Mediterrán rosé félszáraz rosébor 0.75ml</t>
  </si>
  <si>
    <t>Nyakas Aligvárom 0.75l</t>
  </si>
  <si>
    <t>Pincejava 1l Asztali fehér száraz</t>
  </si>
  <si>
    <t>Pincesor Muskotály Cuvee 0.75l +üv</t>
  </si>
  <si>
    <t>Tokaji Aszú 3 putt. 0,5l</t>
  </si>
  <si>
    <t>VARGA Bubis rosé száraz 0,75l+ü</t>
  </si>
  <si>
    <t>Vadász cuvée b.boglári cab. 0,75L</t>
  </si>
  <si>
    <t>Varga B.melléki Kisburgundi édes 0,75</t>
  </si>
  <si>
    <t>Varga Bal.mell.Chardonnay 0,75</t>
  </si>
  <si>
    <t>Varga Tokaji Hárslevelű 0.75L</t>
  </si>
  <si>
    <t>Varga ház bora ba. mell. irsai 1500ml</t>
  </si>
  <si>
    <t>Varga zweigelt cabernet sav0,75l+üv</t>
  </si>
  <si>
    <t>Chio chips hagymás-tejfölös 70g</t>
  </si>
  <si>
    <t>Cheetos pizzás chips 43g</t>
  </si>
  <si>
    <t>Dodó pufi hagymás tejfölös 50tg</t>
  </si>
  <si>
    <t>Lays tejfölös snidlinges 77-70g</t>
  </si>
  <si>
    <t>Lay's strong chili&amp;lime 130g</t>
  </si>
  <si>
    <t>Foody sajtos chips 90g</t>
  </si>
  <si>
    <t>PomBar limitált 50g</t>
  </si>
  <si>
    <t>Lay's Ketchup stix 70g</t>
  </si>
  <si>
    <t>Diabette Wellnes ostya kakaós 50g</t>
  </si>
  <si>
    <t>Cerbona zabkása szilva-fahéj 60g</t>
  </si>
  <si>
    <t>Gullon keksz chocodigesti 270g</t>
  </si>
  <si>
    <t>Rice up tengeri sós rizs 60g</t>
  </si>
  <si>
    <t>Abonett lenmagos 100g</t>
  </si>
  <si>
    <t>Cerbona zabkása Sárgabarack 60g</t>
  </si>
  <si>
    <t>Fit reggeli többmagvas 3féle csokis</t>
  </si>
  <si>
    <t>Cerbona GM zabszelet kar.-mandula 40g</t>
  </si>
  <si>
    <t>Diabette Wellnes ostya citromos 50g</t>
  </si>
  <si>
    <t>Fit reggeli granola többmagvas piros</t>
  </si>
  <si>
    <t>Urbán kakaós ostya édesítőszerrel 200g</t>
  </si>
  <si>
    <t>Abonett quinovával 100g</t>
  </si>
  <si>
    <t>COOP ÉDESÍTŐSZER FOLYÉKONY 250ML</t>
  </si>
  <si>
    <t>Cerbona puff.kukorica sokmagvas 90g</t>
  </si>
  <si>
    <t>Diabette Welness szelet 26gr</t>
  </si>
  <si>
    <t>Gullon chip choco gluténmentes 130g</t>
  </si>
  <si>
    <t>Gullon digestivenog keksz 150g</t>
  </si>
  <si>
    <t>Gullon keksz maria noglut. 400g</t>
  </si>
  <si>
    <t>Gullon keksz ronditas 186g</t>
  </si>
  <si>
    <t>Huxol édesítő folyadék 300ml</t>
  </si>
  <si>
    <t>Detki teasüti édes cukormentes 200g</t>
  </si>
  <si>
    <t>Dexi extrudált kukoricakenyér hagym.100g</t>
  </si>
  <si>
    <t>Dexi extrudált rizskenyér 100g</t>
  </si>
  <si>
    <t>Diabette choco tejcsokoládé 80gr</t>
  </si>
  <si>
    <t>Diabette cukor gyümölcsös 70g</t>
  </si>
  <si>
    <t>Gullon kakaós keksz 147g</t>
  </si>
  <si>
    <t>Urbán Diab. ostya kakaó 180g.</t>
  </si>
  <si>
    <t>Coop szarvacska 4tojásos tészta 500g</t>
  </si>
  <si>
    <t>Durillo szarvacska tészta 500g</t>
  </si>
  <si>
    <t>Nógrádi ropi 45g</t>
  </si>
  <si>
    <t>Duplo csokoládé szelet 26g</t>
  </si>
  <si>
    <t>Chupa-chups nyalóka gyüm.ízű</t>
  </si>
  <si>
    <t>Traccs-parti sült burgonyaszirom 50g</t>
  </si>
  <si>
    <t>7 DAY'S chipicao kakaós 60g</t>
  </si>
  <si>
    <t>Kinder bueno white 43g</t>
  </si>
  <si>
    <t>7 DAY'S croissant kakaós 60g</t>
  </si>
  <si>
    <t>TÖKMAG sós MOGYI 150G</t>
  </si>
  <si>
    <t>Cheetos ketchupos chips 43g</t>
  </si>
  <si>
    <t>7 DAYS double kakaó-kókusz 80g</t>
  </si>
  <si>
    <t>7 DAYS croissant epres 60g</t>
  </si>
  <si>
    <t>Chio chips sajtos 70g</t>
  </si>
  <si>
    <t>Sport XL 42g</t>
  </si>
  <si>
    <t>Győri kismackó csokis piskóta 30g</t>
  </si>
  <si>
    <t>KINDER BUENO T2 43G</t>
  </si>
  <si>
    <t>Lay's sós chips 70g</t>
  </si>
  <si>
    <t>7 DAYS double vanília-meggy 80g</t>
  </si>
  <si>
    <t>HARIBO TROPI FRUTTI GUMICUKOR 100G</t>
  </si>
  <si>
    <t>Lay's strong csípős csirke szárny 65g</t>
  </si>
  <si>
    <t>Győri kismackó tejkrémes piskóta 30G</t>
  </si>
  <si>
    <t>Kinder SURPRISE CSOKITOJÁS T1X72 20G</t>
  </si>
  <si>
    <t>Lay's chips max sajtos-hagymás 65g</t>
  </si>
  <si>
    <t>Lay's strong chili&amp;lime chips 65g</t>
  </si>
  <si>
    <t>Milka tejcsokoládé 100g</t>
  </si>
  <si>
    <t>Pom bar original 50g</t>
  </si>
  <si>
    <t>Szerencsesüti 6g 4033kód</t>
  </si>
  <si>
    <t>Cheetos sajtos 43g</t>
  </si>
  <si>
    <t>Mester sajtos tallér fokhagymás 90g</t>
  </si>
  <si>
    <t>Milka wafelini chokomax 31g</t>
  </si>
  <si>
    <t>Traccs-parti sonkás burgonyaszirom 50g</t>
  </si>
  <si>
    <t>3 Bit 46g</t>
  </si>
  <si>
    <t>Chio chips sós 70g</t>
  </si>
  <si>
    <t>Knoppers ostya 25g</t>
  </si>
  <si>
    <t>Pom bar sajtos 50g</t>
  </si>
  <si>
    <t>Tótmag pufi sós 70g</t>
  </si>
  <si>
    <t>Áncsán szotyi Sós 180g</t>
  </si>
  <si>
    <t>Tótmag Kukoricapehely Gyümölcs ízű 80g</t>
  </si>
  <si>
    <t>Bounty tej szelet 57g</t>
  </si>
  <si>
    <t>Milka egészmogyorós 100g</t>
  </si>
  <si>
    <t>7 days croissant vanília krém kekszdb.</t>
  </si>
  <si>
    <t>Abonett 100g többféle</t>
  </si>
  <si>
    <t>Cheetos spiral chips 30g</t>
  </si>
  <si>
    <t>Milky way szelet 21,5g</t>
  </si>
  <si>
    <t>Snickers super 75g</t>
  </si>
  <si>
    <t>Sport XXL tej 51g</t>
  </si>
  <si>
    <t>7day's croissant double csoki-van.80g</t>
  </si>
  <si>
    <t>Balaton ét 30g</t>
  </si>
  <si>
    <t>Fini dínótojás rágógumi 5g</t>
  </si>
  <si>
    <t>Pom bar tejszín-újhagyma 50g</t>
  </si>
  <si>
    <t>Cerbona szelet ét-málna 20g</t>
  </si>
  <si>
    <t>Chio chips paprikás 70g</t>
  </si>
  <si>
    <t>Kit kat 4finger 41,5g</t>
  </si>
  <si>
    <t>Cheetos mogyorós 43g</t>
  </si>
  <si>
    <t>Choco kókuszos csemege fehér prem.80g</t>
  </si>
  <si>
    <t>Kinder meglepetés tojás 20g</t>
  </si>
  <si>
    <t>Manner ostya mogy&amp;tejszín 25g</t>
  </si>
  <si>
    <t>Chio big pep 65g</t>
  </si>
  <si>
    <t>Győri édes eredeti keksz 180g</t>
  </si>
  <si>
    <t>Győri háztartási keksz 200g</t>
  </si>
  <si>
    <t>HARIBO QUAXI GUMICUKOR 100G</t>
  </si>
  <si>
    <t>Rice up hagymás-tejfölös rizs chips 60g</t>
  </si>
  <si>
    <t>7 DAY'S CROISS.MIDI PEZSGŐKRÉMES 65G</t>
  </si>
  <si>
    <t>Chio chips újhagymás 70g</t>
  </si>
  <si>
    <t>GYŐRI ÉDES JÓ REGGELT MÉZ-MOGY.KEKSZ 50</t>
  </si>
  <si>
    <t>Lay's chips strong cheese&amp;jalapeno 65g</t>
  </si>
  <si>
    <t>Milky Way crispy rolls 25g</t>
  </si>
  <si>
    <t>PILÓTA PISKÓTATALLÉR EPER 147G</t>
  </si>
  <si>
    <t>Rice up rizs chips ibériai sonka ízű 60g</t>
  </si>
  <si>
    <t>Tótmag Puff. paprikás csemege 40g</t>
  </si>
  <si>
    <t>Cerbona szelet 25g Csokis-mogyorós</t>
  </si>
  <si>
    <t>Cocomax Marcipán 65g</t>
  </si>
  <si>
    <t>Foody chips 90g többféle</t>
  </si>
  <si>
    <t>Győri belvita jó reggelt epres-jogh. 50g</t>
  </si>
  <si>
    <t>Kit Kat mogyoróvajas 42g</t>
  </si>
  <si>
    <t>Lay's chips max oriental salsa 65g</t>
  </si>
  <si>
    <t>Lay's újhagymás chips 70-77g</t>
  </si>
  <si>
    <t>PILÓTA PISKÓTATALLÉR MÁLNA 147G</t>
  </si>
  <si>
    <t>Pilóta piskótatallér meggy 147g</t>
  </si>
  <si>
    <t>Roshen étcsoki sós mandula 90g</t>
  </si>
  <si>
    <t>SPORT 25G ÉTCSOK.M.RUMOS Í.KAKAÓS SZEL.</t>
  </si>
  <si>
    <t>Haribo Funny Cubes 85g</t>
  </si>
  <si>
    <t>Haribo jelly beans 85g</t>
  </si>
  <si>
    <t>M&amp;M S MOGYORÓS 48G</t>
  </si>
  <si>
    <t>Moments Csokis ostya 50g</t>
  </si>
  <si>
    <t>Trolli szemgolyó/planet gummicukor 18,8g</t>
  </si>
  <si>
    <t>Widder marcipán dobozka szív 25g</t>
  </si>
  <si>
    <t>7 DAYS max kakaós croissant 80g</t>
  </si>
  <si>
    <t>BOUNTY TRIO SZELET 85G</t>
  </si>
  <si>
    <t>Bake rolls pizza 70g</t>
  </si>
  <si>
    <t>Cerbona müzli sz.meggyes20g</t>
  </si>
  <si>
    <t>Mester sajtos tallér 90g</t>
  </si>
  <si>
    <t>Milka oreo 100g</t>
  </si>
  <si>
    <t>Pilóta vaniliás karika tej 150g</t>
  </si>
  <si>
    <t>Smarties hatszög 38g</t>
  </si>
  <si>
    <t>Áncsán szotyi sótlan 180g</t>
  </si>
  <si>
    <t>Bounty ÉTCSOKOLÁDÉ SZELET 57G</t>
  </si>
  <si>
    <t>Coop paprikás chips 90g</t>
  </si>
  <si>
    <t>HARIBO PICO BALLA GUMICUKOR 100G</t>
  </si>
  <si>
    <t>7 days croissant mogyorókrém kekszes</t>
  </si>
  <si>
    <t>BALATON KAKAÓS TEJBEVONÓM.M.TT.OSTYA 30</t>
  </si>
  <si>
    <t>Cerbona müzliszelet pirosgyüm. 20g</t>
  </si>
  <si>
    <t>Cerbona szelet 20g Banán</t>
  </si>
  <si>
    <t>Coop Minden nap Piskótatallér 120g</t>
  </si>
  <si>
    <t>Eperjó szelet 25g</t>
  </si>
  <si>
    <t>GYŐRI ÉDES DUPLAJÓ MÁRT.KEKSZ KAKAÓ 150G</t>
  </si>
  <si>
    <t>Győri Pilóta Keksz 180g Tripla Kakaó</t>
  </si>
  <si>
    <t>Győri belvita softy csokis 50g</t>
  </si>
  <si>
    <t>Győri kismackó epres piskóta 30g</t>
  </si>
  <si>
    <t>Haribo spaghetti eper 75g</t>
  </si>
  <si>
    <t>Kit Kat chunky white szelet 40g</t>
  </si>
  <si>
    <t>Szalámis falatkák 60g</t>
  </si>
  <si>
    <t>Andante ostya 130g többféle</t>
  </si>
  <si>
    <t>Andante ostya extra choko 130g</t>
  </si>
  <si>
    <t>Balaton Bumm Mogyoró 40g</t>
  </si>
  <si>
    <t>Chio chips flips mogyorós 100g</t>
  </si>
  <si>
    <t>Chio hagy. burg.szirom hagym.-sajtos40g</t>
  </si>
  <si>
    <t>Deli csokoládé pisztácia 35g</t>
  </si>
  <si>
    <t>Győri édes kakaós keksz 180g</t>
  </si>
  <si>
    <t>Győri kismackó banános piskóta 30g</t>
  </si>
  <si>
    <t>HARIBO HAPPY COLA GUMICUKOR 100G</t>
  </si>
  <si>
    <t>HARIBO dinnyés gumicukor 90g</t>
  </si>
  <si>
    <t>Hamburger gumicukor 10g</t>
  </si>
  <si>
    <t>Haribo fruity bussi 100g</t>
  </si>
  <si>
    <t>Hit kakaós keksz 220g</t>
  </si>
  <si>
    <t>Lay's wasabi torma chips 65g</t>
  </si>
  <si>
    <t>Moments kókuszos ostya 50g</t>
  </si>
  <si>
    <t>Pilóta vaniliás karika ét 150g</t>
  </si>
  <si>
    <t>Rice up rizs chips wasabi ízű 60g</t>
  </si>
  <si>
    <t>Rice up sajtos rizs chips 60g</t>
  </si>
  <si>
    <t>Snickers 50g</t>
  </si>
  <si>
    <t>Tic Tac T1 Gum dinnye T25</t>
  </si>
  <si>
    <t>3 bit mogyoró 46g</t>
  </si>
  <si>
    <t>Andante citromos ostya 130g</t>
  </si>
  <si>
    <t>Cerbona müzli szel.csokis 20g</t>
  </si>
  <si>
    <t>Cerbona szelet csoki, kókusz 20gr</t>
  </si>
  <si>
    <t>Chio stickletti burgonyás 80g</t>
  </si>
  <si>
    <t>Dr.Gerard rolls sós karamellás rúd 144g</t>
  </si>
  <si>
    <t>GYŐRI ÉDES KEKSZ KÓKUSZOS 180G</t>
  </si>
  <si>
    <t>Haribo gumicukor wummis</t>
  </si>
  <si>
    <t>Maretti pizza 70g</t>
  </si>
  <si>
    <t>Mogyi tökmag 70g</t>
  </si>
  <si>
    <t>Roshen étcsoki 80% brut 90g</t>
  </si>
  <si>
    <t>Twix extra szelet 75g</t>
  </si>
  <si>
    <t>Twix szelet 50g</t>
  </si>
  <si>
    <t>Bake rolls fokhagymás 80g</t>
  </si>
  <si>
    <t>Cerbona müzli szelet gyüm 20g</t>
  </si>
  <si>
    <t>Cerbona müzliszelet fit 20g</t>
  </si>
  <si>
    <t>Chio hagyományos burgonya szirom 40g</t>
  </si>
  <si>
    <t>Coop ropi teljeskiörlésű 50g</t>
  </si>
  <si>
    <t>Fodor Mogyorós Nápolyi 180g</t>
  </si>
  <si>
    <t>GYŐRI ÉDES JÓ REGGELT KAKAÓS 30%CUK. 50G</t>
  </si>
  <si>
    <t>Győri édes duplajó mézes 150g</t>
  </si>
  <si>
    <t>HARIBO HAPPY CHERRIES 100G</t>
  </si>
  <si>
    <t>Kit kat chunky 40g</t>
  </si>
  <si>
    <t>Milka Xmas sweet winter csokoládé 100g</t>
  </si>
  <si>
    <t>Milka waffelini 31g</t>
  </si>
  <si>
    <t>Paradise Fun keksz eperkrémmel 70g</t>
  </si>
  <si>
    <t>Tibi eperkrém tejcsokoládé 90g</t>
  </si>
  <si>
    <t>7days double eper-vanília 80g</t>
  </si>
  <si>
    <t>Bake rolls bacon 70g</t>
  </si>
  <si>
    <t>Bohóc szelet 25g</t>
  </si>
  <si>
    <t>Bonviván mini ropogós sajtos tallér 60g</t>
  </si>
  <si>
    <t>Chio taccos grilles 65G</t>
  </si>
  <si>
    <t>Coop sajtos chips 90g</t>
  </si>
  <si>
    <t>Fodor kakaós nápolyi 180g</t>
  </si>
  <si>
    <t>GYŐRI ÉDES KEKSZ CSOKIDARABOS 150G</t>
  </si>
  <si>
    <t>Győri jó reggelt softy csokis 50g</t>
  </si>
  <si>
    <t>Hagymás karika 60g</t>
  </si>
  <si>
    <t>Hyper ostya kakaós 60g</t>
  </si>
  <si>
    <t>Lottó szelet 25g</t>
  </si>
  <si>
    <t>Mars szelet 51G</t>
  </si>
  <si>
    <t>NESTLÉ CINI-MINIS GABONAPEHELY SZEL. 25G</t>
  </si>
  <si>
    <t>Nestlé fitnes epres szelet 23.5g</t>
  </si>
  <si>
    <t>Paradise fun vaniliás keksz 70g</t>
  </si>
  <si>
    <t>Sajtos puffancs 60g</t>
  </si>
  <si>
    <t>Sport duó kókusz 60g</t>
  </si>
  <si>
    <t>Tibi feketeribizlis csokoládé 100g</t>
  </si>
  <si>
    <t>Andante csoki-banán nápolyi 130g</t>
  </si>
  <si>
    <t>Bombi star puszedli vegyes gyümölcs 45g</t>
  </si>
  <si>
    <t>Bombi star töltött puszedli szilva 45g</t>
  </si>
  <si>
    <t>Cerbona szelet 20g epres</t>
  </si>
  <si>
    <t>Chio STICKLETTI 100G</t>
  </si>
  <si>
    <t>Chio chips parsley and hint olive oil70g</t>
  </si>
  <si>
    <t>Chio chips sea salt &amp; olive oil 70g</t>
  </si>
  <si>
    <t>Chio chips spicy tomato intense 65g</t>
  </si>
  <si>
    <t>Chio maxi mix 100g</t>
  </si>
  <si>
    <t>Corny BIg 50g</t>
  </si>
  <si>
    <t>Corny big milk classic műzliszelet 40g</t>
  </si>
  <si>
    <t>Detki diabetikus kakaós házisütemény180g</t>
  </si>
  <si>
    <t>Győri belvita erdei gyüm. 50g</t>
  </si>
  <si>
    <t>Haribo Chamallow Barb. pillecukor 100g</t>
  </si>
  <si>
    <t>Haribo Wummis F!ZZ 100g</t>
  </si>
  <si>
    <t>Lay's chips max bacon 65g</t>
  </si>
  <si>
    <t>Lay's sajtos chips 70-77g</t>
  </si>
  <si>
    <t>M&amp;ms 45g többféle</t>
  </si>
  <si>
    <t>Mogyi szotyi sós 60g</t>
  </si>
  <si>
    <t>Oreo keksz 176g</t>
  </si>
  <si>
    <t>Oreo keksz 44g</t>
  </si>
  <si>
    <t>Pehely cukor cit-nar 70g</t>
  </si>
  <si>
    <t>Pocket coffee 225g</t>
  </si>
  <si>
    <t>Rice up paprikás rizs chips 60g</t>
  </si>
  <si>
    <t>Tibi narancs-kekszes étcsokoládé 90g</t>
  </si>
  <si>
    <t>Tic-Tac menthol 16g</t>
  </si>
  <si>
    <t>Tuc mini hagymás tejfölös kréker 100g</t>
  </si>
  <si>
    <t>Tuc original kréker 100g</t>
  </si>
  <si>
    <t>Urbán kakaós töltött ostya 180g</t>
  </si>
  <si>
    <t>Bake rolls paradicsomos 70g</t>
  </si>
  <si>
    <t>Balaton BUMM fehércsokis 40g</t>
  </si>
  <si>
    <t>Bombi Star töltött puszedli epres 45g</t>
  </si>
  <si>
    <t>COOP PUSZEDLI GYÜM.TT.ÉTCSOKI BEV. 200G</t>
  </si>
  <si>
    <t>Cerbona müzliszelet kókuszos 20 g</t>
  </si>
  <si>
    <t>Cerbona zabkása erdei 65g</t>
  </si>
  <si>
    <t>Coop földimogyoró pörkölt,sós 100g</t>
  </si>
  <si>
    <t>Dr.Gerard malti keksz tejcsokis 75g</t>
  </si>
  <si>
    <t>Fit reggeli zabkása étcsokival 65g</t>
  </si>
  <si>
    <t>Győri belvita softy epres 50g</t>
  </si>
  <si>
    <t>Haribo Rainbow Frizzi 90g</t>
  </si>
  <si>
    <t>MARS 2 PACK 69G</t>
  </si>
  <si>
    <t>Nutella 500g</t>
  </si>
  <si>
    <t>Pehely cukor mentol 70g</t>
  </si>
  <si>
    <t>Pilóta vaníliás karika ét 300g</t>
  </si>
  <si>
    <t>Pringles tejf.-hagymás 165g</t>
  </si>
  <si>
    <t>TUC MINI ORIGINAL 100G</t>
  </si>
  <si>
    <t>Tibi csoki 90 meggy</t>
  </si>
  <si>
    <t>Viva mogyorós és vaníliás töltött párna</t>
  </si>
  <si>
    <t>Widder Szívposta 12g</t>
  </si>
  <si>
    <t>Cerbona puff.búza sós 90gr</t>
  </si>
  <si>
    <t>Chio chips bacon szalonnás 70g</t>
  </si>
  <si>
    <t>Chio stickletti sajtos 80g</t>
  </si>
  <si>
    <t>Cini-minis gabona pehely 225g</t>
  </si>
  <si>
    <t>Detki háztartási keksz cukor stop 200g</t>
  </si>
  <si>
    <t>Hyper ostya black 55g</t>
  </si>
  <si>
    <t>Maretti sajtos 70g</t>
  </si>
  <si>
    <t>Maretti többféle 70g</t>
  </si>
  <si>
    <t>Mézes zserbó 350g</t>
  </si>
  <si>
    <t>Moments tejes ostya 50g</t>
  </si>
  <si>
    <t>NESQUIK CSOKI SZELET 21G</t>
  </si>
  <si>
    <t>Nesquick kakaopor 200g</t>
  </si>
  <si>
    <t>Nesquik kakaós gabonagolyó 225g</t>
  </si>
  <si>
    <t>Nestlé Cheerios pehely 225g</t>
  </si>
  <si>
    <t>Pilóta piskótatallér sárgabarack 147g</t>
  </si>
  <si>
    <t>Tic-Tac narancs 16g</t>
  </si>
  <si>
    <t>Tuc bacon kréker 100g</t>
  </si>
  <si>
    <t>Tuc sajtos kréker 100g</t>
  </si>
  <si>
    <t>Urbán Mini Vaníliás Perec 160g</t>
  </si>
  <si>
    <t>Verbena cukorka gyömbér 60g</t>
  </si>
  <si>
    <t>Viva kakaós krémmel töltött párna 250g</t>
  </si>
  <si>
    <t>Aprócska cukorka drazsé 80g</t>
  </si>
  <si>
    <t>COOP MÉZES PUSZEDLI FAHÉJAS 200G</t>
  </si>
  <si>
    <t>COOP MÉZES PUSZEDLI VANÍLIÁS 200G</t>
  </si>
  <si>
    <t>Cerbona puff.búza natúr 90gr</t>
  </si>
  <si>
    <t>Cerbona zabkása papaya-mangó 60g</t>
  </si>
  <si>
    <t>Cerbona zabpehely nagyszemű 500g</t>
  </si>
  <si>
    <t>Chocapic csokis gabonapehely 250g</t>
  </si>
  <si>
    <t>Coop darált háztartási keksz 500g</t>
  </si>
  <si>
    <t>Coop vaníliás karika 150g</t>
  </si>
  <si>
    <t>Corny big chocolate 50g</t>
  </si>
  <si>
    <t>Crackers sós 90g</t>
  </si>
  <si>
    <t>Fini roller cola</t>
  </si>
  <si>
    <t>Haribo chamallows exotic 100g</t>
  </si>
  <si>
    <t>Házi szőlőcukor natúr 80g</t>
  </si>
  <si>
    <t>Iga töltött puszedli ét szilvás 190g</t>
  </si>
  <si>
    <t>Kapucíner 33g</t>
  </si>
  <si>
    <t>Klasszikus vaníliás puding 40g</t>
  </si>
  <si>
    <t>MC Opps dlips játékkal 30g fiú</t>
  </si>
  <si>
    <t>MERCI DESSZERT PIROS 250G</t>
  </si>
  <si>
    <t>Maretti par.,oliva,oregano 70g</t>
  </si>
  <si>
    <t>Mentos cukorka csokoládés 38g</t>
  </si>
  <si>
    <t>Moments Mogyorós ostya 50g</t>
  </si>
  <si>
    <t>Nestlé fitnes caramell 23,5g</t>
  </si>
  <si>
    <t>Nestlé fitness szelet fehér csokis</t>
  </si>
  <si>
    <t>Nutella 450gr</t>
  </si>
  <si>
    <t>Raffaello T15 150G</t>
  </si>
  <si>
    <t>Rocher t16</t>
  </si>
  <si>
    <t>Szamba szelet 25g</t>
  </si>
  <si>
    <t>Tere-fere kókuszos édes keksz 180g</t>
  </si>
  <si>
    <t>Tic Tac T1 Gum Spermint T25</t>
  </si>
  <si>
    <t>Toffifee DESSZERT 125G</t>
  </si>
  <si>
    <t>Tuc tejfölös-hagymás kréker 100g</t>
  </si>
  <si>
    <t>Urbán mini vaníliás karika 160g</t>
  </si>
  <si>
    <t>Urbán töltött ostya citrom 180g</t>
  </si>
  <si>
    <t>Verbena keksz homoktövis-narancs 90g</t>
  </si>
  <si>
    <t>Verbena töltött cukorka levendula 60g</t>
  </si>
  <si>
    <t>Viva Kakaós gabona golyó 250g</t>
  </si>
  <si>
    <t>Bake rolls hagymás-tejfölös 80g</t>
  </si>
  <si>
    <t>Bake rolls sós 80g</t>
  </si>
  <si>
    <t>Bonavita zabkása csokis chia 65g</t>
  </si>
  <si>
    <t>Bonavita zabkása málna chia 65g</t>
  </si>
  <si>
    <t>Burstin bits pattogós cukor trópusi 7g</t>
  </si>
  <si>
    <t>COOP MÉZES PUSZEDLI KAKAÓS 200G</t>
  </si>
  <si>
    <t>Cerbona 20g almás müzliszel.</t>
  </si>
  <si>
    <t>Cerbona csokoládés müzli 200g</t>
  </si>
  <si>
    <t>Cerbona étcsokoládés müzli 200g</t>
  </si>
  <si>
    <t>Cerbona müzli mézes 200g</t>
  </si>
  <si>
    <t>Cerbona protein csoki-karamell 35g</t>
  </si>
  <si>
    <t>Cerbona sport+dup.csoki protein szelet</t>
  </si>
  <si>
    <t>Cerbona zabkása cékla-alma 60g</t>
  </si>
  <si>
    <t>Cerbona zabkása csokis 65g</t>
  </si>
  <si>
    <t>Chio magyaros hagy. burgonyaszirom 40g</t>
  </si>
  <si>
    <t>Christmas mini mallow lolly 11g</t>
  </si>
  <si>
    <t>Citromos csemege 350g</t>
  </si>
  <si>
    <t>Coop babapiskóta 200g</t>
  </si>
  <si>
    <t>Coop omlós keksz mézes 180g</t>
  </si>
  <si>
    <t>Coop sós pálcika 50g</t>
  </si>
  <si>
    <t>Coop tortabevonó kakaós ét 100g</t>
  </si>
  <si>
    <t>Corny big banana 50g</t>
  </si>
  <si>
    <t>Croco kréker 200g sós</t>
  </si>
  <si>
    <t>Croco sós ropi sticks 40g</t>
  </si>
  <si>
    <t>Detki állatfigurás keksz 180g</t>
  </si>
  <si>
    <t>Detki háztartási keksz 200g</t>
  </si>
  <si>
    <t>Diabette welln parány 120g</t>
  </si>
  <si>
    <t>Dodo pufi baconos 50g</t>
  </si>
  <si>
    <t>Dr. Torok cukorka többféle 75g</t>
  </si>
  <si>
    <t>Dr.G. Rolls coco kókuszkrémes 160g</t>
  </si>
  <si>
    <t>Dr.Gerard choco cool kókuszos keksz 110g</t>
  </si>
  <si>
    <t>Dr.Gerard keksz emberke 95g</t>
  </si>
  <si>
    <t>Dr.Gerard kifli alakú keksz 165g</t>
  </si>
  <si>
    <t>Dr.Gerard magic duo citromos keksz 144g</t>
  </si>
  <si>
    <t>Dr.Gerard tortácska sárgabarackos 165g</t>
  </si>
  <si>
    <t>Dr.Torok csipkebogyó 75g</t>
  </si>
  <si>
    <t>FELIX ALUT.MACSKAEL.MARHA+CSIRKE 4X100G</t>
  </si>
  <si>
    <t>Fodor ízözön nápolyi 180g</t>
  </si>
  <si>
    <t>HARIBO MAOAM OLVADÓS RÁGÓ 22G</t>
  </si>
  <si>
    <t>Huxol édesítőtabletta 650db-os</t>
  </si>
  <si>
    <t>I love milka desszert 165g</t>
  </si>
  <si>
    <t>Iga Szív alakú töltött puszedli 190g</t>
  </si>
  <si>
    <t>Iga parány 200g mogyorós</t>
  </si>
  <si>
    <t>Koppers black&amp;white 25g</t>
  </si>
  <si>
    <t>Maretti bruschette hagymás-tejfölös 70g</t>
  </si>
  <si>
    <t>Milka eper-tejszín 100g</t>
  </si>
  <si>
    <t>Milka fehércsoki 100g</t>
  </si>
  <si>
    <t>Milkiss piskóta tej ízű krémmel 50g</t>
  </si>
  <si>
    <t>NESTLÉ NESQUIK GABONAPEHELY SZELET 25G</t>
  </si>
  <si>
    <t>Negro classic 79g</t>
  </si>
  <si>
    <t>Negro extra erős 79g</t>
  </si>
  <si>
    <t>Paradise Fun keksz kakaós 70g</t>
  </si>
  <si>
    <t>Perotti kakaópor 130g</t>
  </si>
  <si>
    <t>Pilóta kakaós 180g</t>
  </si>
  <si>
    <t>Pilóta kakaós keksz 320g</t>
  </si>
  <si>
    <t>Plussz pezsgővitamin többféle</t>
  </si>
  <si>
    <t>Raffaelo szelet 350g</t>
  </si>
  <si>
    <t>Rice up csípős chili rizs chips 60g</t>
  </si>
  <si>
    <t>Ricola narancsmenta cukorka 40g</t>
  </si>
  <si>
    <t>Szerencsen étcsokoládé 90g</t>
  </si>
  <si>
    <t>Tejszínes málnás csemege 350g</t>
  </si>
  <si>
    <t>Tibi csoki narancs tej 100g</t>
  </si>
  <si>
    <t>Tuc mini baconos kréker 100g</t>
  </si>
  <si>
    <t>Verbena Hársfavirág 60g töltött cukor</t>
  </si>
  <si>
    <t>Verbena keksz levendula-áfonya 90g</t>
  </si>
  <si>
    <t>Zentis Bell marcipán 100g</t>
  </si>
  <si>
    <t>Zserbo 450g</t>
  </si>
  <si>
    <t>Abonett Korpás 100g</t>
  </si>
  <si>
    <t>Belvita kakaós 50g</t>
  </si>
  <si>
    <t>Boci epertorta-tejcsokoládé 90g</t>
  </si>
  <si>
    <t>Boci fehércsokoládé 90g</t>
  </si>
  <si>
    <t>COOP KÓKUSZRESZELÉK 100G</t>
  </si>
  <si>
    <t>Cerbona crunchy müzli tej 200g</t>
  </si>
  <si>
    <t>Cerbona müzliszelet kakaó-mogy. 20g</t>
  </si>
  <si>
    <t>Cerbona puff.rizs sós 90g</t>
  </si>
  <si>
    <t>Cerbona zabszelet csokis 50g</t>
  </si>
  <si>
    <t>Cerbona zabszelet erdei gyüm. 50g</t>
  </si>
  <si>
    <t>Chio Pomber ketchupos  50g</t>
  </si>
  <si>
    <t>Choco kókusz csemege mini 40g</t>
  </si>
  <si>
    <t>Coop extrud.kukoricarudacska sós 100g</t>
  </si>
  <si>
    <t>Coop kókuszos omlós keksz 180g</t>
  </si>
  <si>
    <t>Coop mogyorókrém kakaós 400g</t>
  </si>
  <si>
    <t>Corny Big müzliszelet kókuszos 50g</t>
  </si>
  <si>
    <t>Crackers pizza 80g</t>
  </si>
  <si>
    <t>Crackers sonka 80g</t>
  </si>
  <si>
    <t>Croco hosszú ropi 80g</t>
  </si>
  <si>
    <t>Croco kréker sajtos 100g</t>
  </si>
  <si>
    <t>Croco sós ropi sticks 100g</t>
  </si>
  <si>
    <t>Detki állatfigurás kakaós keksz 140g</t>
  </si>
  <si>
    <t>Detki darálós keksz 200g</t>
  </si>
  <si>
    <t>Detki zab-álom zabpehely 180g</t>
  </si>
  <si>
    <t>Dr.Gerard aloha kókuszos teasüt.160g</t>
  </si>
  <si>
    <t>Dr.Gerard cukrozott keksz levél 165g</t>
  </si>
  <si>
    <t>Dr.Oetker fagyipor vanília 82g</t>
  </si>
  <si>
    <t>Dr.Oetker szuperkása kivi 60g</t>
  </si>
  <si>
    <t>Eszterházy piskóta csemege 350g</t>
  </si>
  <si>
    <t>Fodor nápolyi kakaós kis vödrös</t>
  </si>
  <si>
    <t>Gullon keksz tostada teak 200g</t>
  </si>
  <si>
    <t>Győri belvita gyüm. műzlis 50g</t>
  </si>
  <si>
    <t>Győri édes teljesk. keksz 180g kakaós</t>
  </si>
  <si>
    <t>Hit kókuszos keksz 220g</t>
  </si>
  <si>
    <t>Horváth fekete erdő áfonyás350g</t>
  </si>
  <si>
    <t>Horváth isler 450g</t>
  </si>
  <si>
    <t>Kinder szelet 350g</t>
  </si>
  <si>
    <t>Klasszikus csokoládé puding 40g</t>
  </si>
  <si>
    <t>Linzer 450g</t>
  </si>
  <si>
    <t>Manner ostya  kókusz 25g</t>
  </si>
  <si>
    <t>Maretti Bruschette 70g többféle</t>
  </si>
  <si>
    <t>Maretti fokhagymás 70g</t>
  </si>
  <si>
    <t>Maretti szalámis 70g</t>
  </si>
  <si>
    <t>Maretti vegyes zöldség 70g</t>
  </si>
  <si>
    <t>Milka Oreo csokoládé 300g</t>
  </si>
  <si>
    <t>Milka oreo 92g</t>
  </si>
  <si>
    <t>Milky sip vanília 30g</t>
  </si>
  <si>
    <t>Mozart piskóta szelet 350g</t>
  </si>
  <si>
    <t>Nestle fitness szelet tejcsokis 22,5g</t>
  </si>
  <si>
    <t>Nestlé corn flakes 250g</t>
  </si>
  <si>
    <t>Néró szelet 450g</t>
  </si>
  <si>
    <t>Nutella 350g</t>
  </si>
  <si>
    <t>Pafino babapiskóta 100g sedita</t>
  </si>
  <si>
    <t>Pehelycukor málna 70g</t>
  </si>
  <si>
    <t>Poco loco dip fokhagymás 300g</t>
  </si>
  <si>
    <t>Pufi puffasztott csemege kukoricapehely</t>
  </si>
  <si>
    <t>Ricola citromfű cukorka 40g</t>
  </si>
  <si>
    <t>Smile palacsinta 50g</t>
  </si>
  <si>
    <t>Tibi csoki marcipánkrémes 90g</t>
  </si>
  <si>
    <t>Tic Tac T1 Gum mint T25</t>
  </si>
  <si>
    <t>Tic Tac cukor Emotions 16g</t>
  </si>
  <si>
    <t>Tic-tac cukor apple mix 18g</t>
  </si>
  <si>
    <t>Urbán mézes jel. puszedli 180g vanília</t>
  </si>
  <si>
    <t>Verbena cukorka csipkebogyó 60g</t>
  </si>
  <si>
    <t>White snack puff. kukorica többféle 50g</t>
  </si>
  <si>
    <t>7 day's croissant mini kakaós 60g</t>
  </si>
  <si>
    <t>After Eight desszert 200g</t>
  </si>
  <si>
    <t>Baby piskóta csemege 350g</t>
  </si>
  <si>
    <t>Balaton Bumm 42g</t>
  </si>
  <si>
    <t>Balaton szemes csokis 33g</t>
  </si>
  <si>
    <t>Balaton újhullám étcsokis 33g          í</t>
  </si>
  <si>
    <t>Benei nápolyi mogyorós 200g</t>
  </si>
  <si>
    <t>Bombi star töltött puszedli s.barack 45g</t>
  </si>
  <si>
    <t>COOP VANÍLIÁS ÍZŰ OML.ÉDES KEKSZ 180G</t>
  </si>
  <si>
    <t>Cerbona almás müzli 200g</t>
  </si>
  <si>
    <t>Cerbona meggyes müzli 200g</t>
  </si>
  <si>
    <t>Cerbona zacskós műzli 200g többféle</t>
  </si>
  <si>
    <t>Coco mix rumos-kakaós 40g</t>
  </si>
  <si>
    <t>Coop Minden nap háztartási keksz 800g</t>
  </si>
  <si>
    <t>Coop babapiskóta 400g</t>
  </si>
  <si>
    <t>Coop chips hagymás-tejf. 90g</t>
  </si>
  <si>
    <t>Coop cukor mini gyümölcsös 70g</t>
  </si>
  <si>
    <t>Coop kréker hagymás tejfölös 140g</t>
  </si>
  <si>
    <t>Cornexi zabkása kókusz-mandula 65g</t>
  </si>
  <si>
    <t>Cornexi zabkása piros güm.-chia mag 65g</t>
  </si>
  <si>
    <t>Corny big brownie 50g</t>
  </si>
  <si>
    <t>Corny milk dark&amp;white 40g</t>
  </si>
  <si>
    <t>Croco kréker 100g pizza</t>
  </si>
  <si>
    <t>Croco kréker sajtos 400g</t>
  </si>
  <si>
    <t>Croco kréker sonkás 100g</t>
  </si>
  <si>
    <t>DETKI TERE-FERE KEKSZ OMLÓS ÉDES 180G</t>
  </si>
  <si>
    <t>DR.Gerard levél alakú keksz 165g</t>
  </si>
  <si>
    <t>Detki darált háztartási keksz 500g</t>
  </si>
  <si>
    <t>Detki mini fahéjas teasüti 150g</t>
  </si>
  <si>
    <t>Detki zab-álom erdei gyümölcsös zabp</t>
  </si>
  <si>
    <t>Diabette wellness mogyorós nápolyi 50g</t>
  </si>
  <si>
    <t>Dr. Oetker puding családi 2db-os étcsoki</t>
  </si>
  <si>
    <t>Dr. Torok citromolaj-méz cukorka 75g</t>
  </si>
  <si>
    <t>Dr.Gerard csokis virág alakú keksz 150g</t>
  </si>
  <si>
    <t>Dr.Gerard magic choco keksz 144g</t>
  </si>
  <si>
    <t>Dr.Gerard passion cseresznyés ízű 150g</t>
  </si>
  <si>
    <t>Dr.Gerard rolls cocoa wafer 160g</t>
  </si>
  <si>
    <t>Dr.Oetker szuperkása ananász 60g</t>
  </si>
  <si>
    <t>Dr.Oetker szuperkása grapefruit 60g</t>
  </si>
  <si>
    <t>Dr.Oetker tejberizs 125g vaníliás</t>
  </si>
  <si>
    <t>Dr.Oetker tortazselé színtelen 12g</t>
  </si>
  <si>
    <t>Dr.oetker családi puding tejszín 2db-os</t>
  </si>
  <si>
    <t>Dunakavics drazsé 70g</t>
  </si>
  <si>
    <t>Eper mámor piskóta csemege 350g</t>
  </si>
  <si>
    <t>Fodor citromos nápolyi 180g</t>
  </si>
  <si>
    <t>Fodor ostya variációk citromra 360g</t>
  </si>
  <si>
    <t>Gold fischli 100g</t>
  </si>
  <si>
    <t>Haribo Pisotones 80g</t>
  </si>
  <si>
    <t>Hit étcsokis sós karamella keksz 220g</t>
  </si>
  <si>
    <t>Hit karamellás keksz 220g</t>
  </si>
  <si>
    <t>Horváth kassai csemege 350g</t>
  </si>
  <si>
    <t>Hyper ostya vanilla 55g</t>
  </si>
  <si>
    <t>King hagymás-tejfölös kréker 100g</t>
  </si>
  <si>
    <t>Lay's pikáns paprikás chips 65g</t>
  </si>
  <si>
    <t>Magura piskóta csoki-tej 30g</t>
  </si>
  <si>
    <t>Milka ILM epres desszert 110g</t>
  </si>
  <si>
    <t>Milka happy birthday praline 110g</t>
  </si>
  <si>
    <t>Milky sip cookies szívószálas 5*6g</t>
  </si>
  <si>
    <t>Mogyi mexikorn sós 70g</t>
  </si>
  <si>
    <t>Mogyi micro popcorn 100g chilis</t>
  </si>
  <si>
    <t>NESTLÉ CHOCAPIC GABONAPEHELY SZELET 25G</t>
  </si>
  <si>
    <t>Nesquik duo gabonapehely 225g</t>
  </si>
  <si>
    <t>Nestlé fitnes csoki-mogyoró 22,5g</t>
  </si>
  <si>
    <t>Nestlé gabonapehely lion 230g</t>
  </si>
  <si>
    <t>Party torta bevonó tej  90g</t>
  </si>
  <si>
    <t>Poco Loco tortilla kukoricás 320g</t>
  </si>
  <si>
    <t>Poco loco dip chunky mild 315g</t>
  </si>
  <si>
    <t>ROCHER T4 FERRERO 50G</t>
  </si>
  <si>
    <t>Rice Up snack fehércsokis 50g</t>
  </si>
  <si>
    <t>Süsü kedvence cukormentes nyalóka 10g</t>
  </si>
  <si>
    <t>Szívből Sweet Moments desszert 90g</t>
  </si>
  <si>
    <t>Thymos holland kakaópor 100g</t>
  </si>
  <si>
    <t>Urbán diab.mini vaníliás karika 160g</t>
  </si>
  <si>
    <t>Urbán diabetikus darálós keksz 180g</t>
  </si>
  <si>
    <t>Urbán földimogyorós töltött ostya 180g</t>
  </si>
  <si>
    <t>Urbán töltött ostya epres 180g</t>
  </si>
  <si>
    <t>Viva kakaós gabonapehely 250g</t>
  </si>
  <si>
    <t>Zebra szelet 350g</t>
  </si>
  <si>
    <t>Mogyi napraforgó sótlan 200g</t>
  </si>
  <si>
    <t>MOGYI KESUDIÓ PÖRKÖLT SÓS 70G</t>
  </si>
  <si>
    <t>Mogyi mogyoró sós pörk 85g</t>
  </si>
  <si>
    <t>Mogyi napraforgó pörkölt sós 200g</t>
  </si>
  <si>
    <t>Mogyi crash földim. hagymás bundába 60g</t>
  </si>
  <si>
    <t>Mogyi mogyoró sós pörk 170g</t>
  </si>
  <si>
    <t>Mogyi MICRO POPcorn VAJAS 100G</t>
  </si>
  <si>
    <t>MOGYI MICRO POP SÓS 100G</t>
  </si>
  <si>
    <t>Mogyi HÁNT.PÖRK. SÓS NAPRAFORGÓMAG 100G</t>
  </si>
  <si>
    <t>MOGYI PISZTÁCIA  PÖRKÖLT SÓS 60G</t>
  </si>
  <si>
    <t>Mogyi micro poporn sajtos 100g</t>
  </si>
  <si>
    <t>Mogyi CRASSSH! FM.TÉSZTAB.BACONOS 60G</t>
  </si>
  <si>
    <t>Mogyi CSEMEGE 100g</t>
  </si>
  <si>
    <t>Mogyi MANDULABÉL SÓS PÖRKÖLT 70G</t>
  </si>
  <si>
    <t>Mogyi mogyoró sótlan 170g</t>
  </si>
  <si>
    <t>Mexicorn mogyi barbecue 70g</t>
  </si>
  <si>
    <t>Mogyi SÓZOTT-PIRÍTOTT TÖKMAG 50G</t>
  </si>
  <si>
    <t>Mogyi crassh földim. salsa lime 60g</t>
  </si>
  <si>
    <t>Mogyi crasssh! wasabi 60g</t>
  </si>
  <si>
    <t>Mogyi Crasssh sajtos 60g</t>
  </si>
  <si>
    <t>Mogyi földi mogyoró héjas 150gr</t>
  </si>
  <si>
    <t>Orbit spearmint drazsé 14g</t>
  </si>
  <si>
    <t>Orbit melon drazsé 14g</t>
  </si>
  <si>
    <t>ORBIT EPER DRAZSÉ 14G</t>
  </si>
  <si>
    <t>Mentos cukorka rainbow 37,5g</t>
  </si>
  <si>
    <t>Airwawes drazsé mentol 14g</t>
  </si>
  <si>
    <t>Orbit winter fresh drazsé 14g</t>
  </si>
  <si>
    <t>ORBIT DRAZSE BUBBLEMIN</t>
  </si>
  <si>
    <t>AIRWAVES EXTREME 10 DRAZSÉ 14G</t>
  </si>
  <si>
    <t>Airwaves drazsé feketeribizli 14g</t>
  </si>
  <si>
    <t>Airwaves BLACKMINT DRAZSÉ RÁGÓGUMI 14G</t>
  </si>
  <si>
    <t>Orbit drazsé peppermunt 14g</t>
  </si>
  <si>
    <t>Airwaves drazsé rágó cheryy menthol 14gr</t>
  </si>
  <si>
    <t>Mentos cukor 38gr mix</t>
  </si>
  <si>
    <t>Mentos cukorka több ízben 38g</t>
  </si>
  <si>
    <t>Orbit drazsé blueberry rágo</t>
  </si>
  <si>
    <t>Orbit white fres  drazsé 14g</t>
  </si>
  <si>
    <t>Sütemény kovács süti többféle</t>
  </si>
  <si>
    <t>Sütemény nagy dobozos 901kód kovács süti</t>
  </si>
  <si>
    <t>Sütemény geszt püré, somlói 899 kovács</t>
  </si>
  <si>
    <t>Mágnás süti 220-300g többféle</t>
  </si>
  <si>
    <t>M&amp;M's sós karamell 80g</t>
  </si>
  <si>
    <t>Corny big fehér karamell 40g</t>
  </si>
  <si>
    <t>Ehető nyaklánc</t>
  </si>
  <si>
    <t>Dr Gerard macis tejcsokis keksz 116g</t>
  </si>
  <si>
    <t>Horváth hóladba 350g</t>
  </si>
  <si>
    <t>Horváth lajcsi szelet 350g</t>
  </si>
  <si>
    <t>Horváth lúdláb 350g</t>
  </si>
  <si>
    <t>Kinga 220g sütemények</t>
  </si>
  <si>
    <t>Milka fehércsokolásé 100g</t>
  </si>
  <si>
    <t>Hell classic 0,25l</t>
    <phoneticPr fontId="3" type="noConversion"/>
  </si>
  <si>
    <t>BOMBA ENERGIAITAL 250ML</t>
  </si>
  <si>
    <t>Hell strong Focus 0.25l</t>
  </si>
  <si>
    <t>Hell red grape 0,25l</t>
  </si>
  <si>
    <t>Hell energy drink vilmoskörte 0,25l</t>
  </si>
  <si>
    <t>Hell s.cool szilva 0,25l</t>
  </si>
  <si>
    <t>Hell zéro strawberry 0,25l</t>
  </si>
  <si>
    <t>Hell apple strong 0,25l</t>
  </si>
  <si>
    <t>Monster energy mango loco 0,5L</t>
  </si>
  <si>
    <t>Hell Magnum 0,5l</t>
  </si>
  <si>
    <t>Hell zero 0,25l</t>
  </si>
  <si>
    <t>Red bull energia ital 250ml</t>
  </si>
  <si>
    <t>Adrenalin power drink xxl 500ml</t>
  </si>
  <si>
    <t>Hell multivitamin 250ml</t>
  </si>
  <si>
    <t>Burn original 250ml</t>
  </si>
  <si>
    <t>GO APPLE 250ml fémdoboz</t>
  </si>
  <si>
    <t>Hell Ed Active 0,25l</t>
  </si>
  <si>
    <t>Burn apple-kiwi 250ml</t>
  </si>
  <si>
    <t>Adrenalin görögdinnye 0,25l</t>
  </si>
  <si>
    <t>Bomba alma zero 250ml</t>
  </si>
  <si>
    <t>Hell cola 0,25l</t>
  </si>
  <si>
    <t>Bomba szénsavas üdítőital light  250ml</t>
  </si>
  <si>
    <t>Burn mangó 0.25l</t>
  </si>
  <si>
    <t>Go energiaital 250ml fémdobozban</t>
  </si>
  <si>
    <t>Bomba bodza 250ml</t>
  </si>
  <si>
    <t>Bomba pet 0,25l</t>
  </si>
  <si>
    <t>MONSTER ENERGY CAN 0.5L</t>
  </si>
  <si>
    <t>Monster Hamilton 500ml</t>
  </si>
  <si>
    <t>Monster ultra violet 0,5l</t>
  </si>
  <si>
    <t>Bomba Meggy dob. 0.25L</t>
  </si>
  <si>
    <t>Red Bull Dobozos 0,25l</t>
  </si>
  <si>
    <t>Red bull Zero 250ml</t>
  </si>
  <si>
    <t>Adrenalin energiaital 0.25l</t>
  </si>
  <si>
    <t>Bomba PET 600ml</t>
  </si>
  <si>
    <t>Bomba pet 1,5l</t>
  </si>
  <si>
    <t>Budafcknpest 250ml</t>
  </si>
  <si>
    <t>Coca cola energy 250ml</t>
  </si>
  <si>
    <t>Monster energy ultra 0,5l</t>
  </si>
  <si>
    <t>Monster rehab energiaital 0,5liter</t>
  </si>
  <si>
    <t>POWERADE ACTIVE BLUE PET 0.5L</t>
  </si>
  <si>
    <t>BOMBA MOJITO 250ML CAN</t>
  </si>
  <si>
    <t>Monster Punch 0.5l</t>
  </si>
  <si>
    <t>Monster rehab tea+barack+energy 500ml</t>
  </si>
  <si>
    <t>Monster ultra lemon 500ml</t>
  </si>
  <si>
    <t>Red bull energia ital sugarfree 250ml</t>
  </si>
  <si>
    <t>Watt energy original 0,25l</t>
  </si>
  <si>
    <t>Burn Blue 0.25l</t>
  </si>
  <si>
    <t>Burn passion punch 250ml</t>
  </si>
  <si>
    <t>Kobra Energiaital 2l</t>
  </si>
  <si>
    <t>Monster Rossi 500ml</t>
  </si>
  <si>
    <t>Farm Frites Sós-borsos 1kg</t>
  </si>
  <si>
    <t>Kinder pálcikás 36ml</t>
  </si>
  <si>
    <t>Turo ice natur 55ml</t>
  </si>
  <si>
    <t>Sága füstli virsli 140g</t>
  </si>
  <si>
    <t>Nádudvari majorannás májas 110g</t>
  </si>
  <si>
    <t>Gallicoop pulykamell csemege 70g</t>
  </si>
  <si>
    <t>Gyulai kenőmájas 125g</t>
  </si>
  <si>
    <t>Tauris mix húskészítmény 55g</t>
  </si>
  <si>
    <t>Tauris paprikás diákcsemege szelet 55g</t>
  </si>
  <si>
    <t>Gallicoop szarvasi pulyka szelet 90g</t>
  </si>
  <si>
    <t>Finonimo toast sonkás szelet 100g</t>
  </si>
  <si>
    <t>Kaiser inyenc májas 125g</t>
  </si>
  <si>
    <t>Nádudvari kenőmájas snidlinges 110g</t>
  </si>
  <si>
    <t>Orsi baromfi virsli klasszik 240g</t>
  </si>
  <si>
    <t>Hyza juhász virsli 400g+110g</t>
  </si>
  <si>
    <t>Sága füstli virsli sajtos 140g</t>
  </si>
  <si>
    <t>Tauris csemege húskészítmény 55g</t>
  </si>
  <si>
    <t>Falni jó hot dog sajtos 140g</t>
  </si>
  <si>
    <t>Gallicoop Premier párizsi 110g</t>
  </si>
  <si>
    <t>Gallicoop francia baromfi szelet 150g</t>
  </si>
  <si>
    <t>Gallicoop francia baromfi szelet 100g</t>
  </si>
  <si>
    <t>Tauris csirkemell sonka 80g</t>
  </si>
  <si>
    <t>Fincsik baromfi pálcika 200g</t>
  </si>
  <si>
    <t>Füstli virsli 350g</t>
  </si>
  <si>
    <t>Sága falni jó hot-dog 140g</t>
  </si>
  <si>
    <t>Gallicoop pulyka veronai szelet 120g</t>
  </si>
  <si>
    <t>Tauris füst.főtt tarja 80g</t>
  </si>
  <si>
    <t>Finonimo felvidéki szalámi 75g</t>
  </si>
  <si>
    <t>Tauris csípős húskészítmény 55g</t>
  </si>
  <si>
    <t>Tauris torreador szalámi 55g</t>
  </si>
  <si>
    <t>Lecsókolbász /kg 484 többféle gyártó</t>
  </si>
  <si>
    <t>Coop füst. baromfi virsli 140g</t>
  </si>
  <si>
    <t>Coop májas 200g</t>
  </si>
  <si>
    <t>Coop sertés virsli műbeles 200g</t>
  </si>
  <si>
    <t>Fincsik baromfi rúd 1000g</t>
  </si>
  <si>
    <t>Finonimo paprikás diákcsemege 75g</t>
  </si>
  <si>
    <t>Kaiser májas pizzás 120g</t>
  </si>
  <si>
    <t>Nádudvari kenőmájas 110g</t>
  </si>
  <si>
    <t>Tauris nyári túrista szel. 75g</t>
  </si>
  <si>
    <t>Pick szalámi és kolbász vég/kg kód:767</t>
  </si>
  <si>
    <t>Zádor főtt császárszalonna /kg 474 kód</t>
  </si>
  <si>
    <t>Alföldi-hús bacon szeletelt 100g</t>
  </si>
  <si>
    <t>Coop paprikás vastagkolbász 80g</t>
  </si>
  <si>
    <t>Finonimo baromfi párizsi 1000g</t>
  </si>
  <si>
    <t>Finonimo csípős szalámi szeletelt 75g</t>
  </si>
  <si>
    <t>Finonimo szalámi mix szeletelt 75g</t>
  </si>
  <si>
    <t>Orsi sajtos baromfi virsli 240g</t>
  </si>
  <si>
    <t>Sága sajtos selyemsonka 100g</t>
  </si>
  <si>
    <t>Tauris Gépsonka szelet 100g</t>
  </si>
  <si>
    <t>Kolozsvári szalonna /kg 430-as kód</t>
  </si>
  <si>
    <t>Zádor műbeles virsli/kg  kód:946</t>
  </si>
  <si>
    <t>Sága füstli ínyenc 140g</t>
  </si>
  <si>
    <t>Alföldi-hús bacon szeletelt 200g</t>
  </si>
  <si>
    <t>Finonimo torrero szalámi 75g</t>
  </si>
  <si>
    <t>Kaiser füstölt csemege karaj 100g</t>
  </si>
  <si>
    <t>Kométa kemencés sült csülök 100g</t>
  </si>
  <si>
    <t>Kométa szel.harmónia párizsi 150g</t>
  </si>
  <si>
    <t>Sága füstli sajtos 350g</t>
  </si>
  <si>
    <t>Sága selyemsonka 100g</t>
  </si>
  <si>
    <t>Tauris löncs 80g</t>
  </si>
  <si>
    <t>Krasno bécsi rudacska /kg 113</t>
  </si>
  <si>
    <t>Zádor csemege szalonna /kg 695</t>
  </si>
  <si>
    <t>Hentes májas 500g</t>
  </si>
  <si>
    <t>Kométa zala felvágott szel. 125g</t>
  </si>
  <si>
    <t>Hentes Debreceni kolbász/kg kód:058</t>
  </si>
  <si>
    <t>Pick sertés párizsi /kg kód:407</t>
  </si>
  <si>
    <t>Zádor cserkész kolbász /kg 702-es</t>
  </si>
  <si>
    <t>Kedvenc első csülök cs.n./kg kód:575</t>
  </si>
  <si>
    <t>Hentes vastagkolbász mix 75g</t>
  </si>
  <si>
    <t>Kedvenc ízek pokolian csípős szalámi 75g</t>
  </si>
  <si>
    <t>Kométa kemencés sült p.mell sonka 100g</t>
  </si>
  <si>
    <t>Kométa soproni felvágott 125g</t>
  </si>
  <si>
    <t>Krasno fürdői sonka 100g</t>
  </si>
  <si>
    <t>Krasno sonka párolt szögletes 100g</t>
  </si>
  <si>
    <t>Orsi kacsazsír 200g</t>
  </si>
  <si>
    <t>Pick téliszalámi körtálcás szeletelt 70g</t>
  </si>
  <si>
    <t>Sága füst ízű selyemsonka 100g</t>
  </si>
  <si>
    <t>Sága füstli csípős paprikával 140g</t>
  </si>
  <si>
    <t>Sága füstli grill bbq 140g</t>
  </si>
  <si>
    <t>Coop lecsó kolbász vcs/kg 469-es kód</t>
  </si>
  <si>
    <t>Coop pulykapárizsi füstölt/kg kód:520</t>
  </si>
  <si>
    <t>Coop csemege vastagkolbász szel 80g</t>
  </si>
  <si>
    <t>Falni jó pulykavirsli csípős 140g</t>
  </si>
  <si>
    <t>Finonimo baromfi párizsi sajttal 1000g</t>
  </si>
  <si>
    <t>Finonimo kárpát szalámi 75g</t>
  </si>
  <si>
    <t>Hentes csemege vastagkolbász 75g</t>
  </si>
  <si>
    <t>Hentes májas 200g</t>
  </si>
  <si>
    <t>Kaiser májas snidlinges 120g</t>
  </si>
  <si>
    <t>Kométa fokhagymás szelet 125g</t>
  </si>
  <si>
    <t>Kométa kemencés sült cs.mell sonka 100g</t>
  </si>
  <si>
    <t>Kométa sajtos párizsi finom 125g</t>
  </si>
  <si>
    <t>Orsi sajtos bar.virsli 350g</t>
  </si>
  <si>
    <t>Palcsó sertés zsír 250g</t>
  </si>
  <si>
    <t>Palcsó sertészsír 900g</t>
  </si>
  <si>
    <t>Pick diákcsemege szel.szárazkolbász 70g</t>
  </si>
  <si>
    <t>Pick virsli 2*90g frankfurter vf</t>
  </si>
  <si>
    <t>Sága pikáns selyemsonka 100g</t>
  </si>
  <si>
    <t>Zimbo tavaszi párizsi 125g</t>
  </si>
  <si>
    <t>Zádor erdélyi szalonna /kg 699</t>
  </si>
  <si>
    <t>Bugaci parasztkolbász/kg kód:997</t>
  </si>
  <si>
    <t>Étkezési sertés zsír 1kg</t>
  </si>
  <si>
    <t>Finonimo ausztria szalámi 75g</t>
  </si>
  <si>
    <t>Hyza juhász pálcika klasszik 170g</t>
  </si>
  <si>
    <t>Kometa szellő sonka 100g</t>
  </si>
  <si>
    <t>Kométa disznósajt 125g</t>
  </si>
  <si>
    <t>Palcsó zsír sertés 450g</t>
  </si>
  <si>
    <t>Pickolino virsli sajtos 280g</t>
  </si>
  <si>
    <t>Szentandrási fűszeres bacon 100g</t>
  </si>
  <si>
    <t>Tauris zöldséges felvágott 80g</t>
  </si>
  <si>
    <t>Zádor parasztkolbász /kg 911</t>
  </si>
  <si>
    <t>Hyza csirke pizza szelet/kg  kód:713</t>
  </si>
  <si>
    <t>Jakabi csípős-csemege kolbász/kg kód:720</t>
  </si>
  <si>
    <t>Pick borjú párizsi /kg kód:516</t>
  </si>
  <si>
    <t>Zádor füstölt főtt tarja /kg 800</t>
  </si>
  <si>
    <t>COOP SZALÁMI MIX VCS. 80G</t>
  </si>
  <si>
    <t>Fincsik libazsír 250g</t>
  </si>
  <si>
    <t>HF Szeletelt Bacon 200g</t>
  </si>
  <si>
    <t>Juhász pálcika pikáns 170g</t>
  </si>
  <si>
    <t>Juhász pálcika sajtos 170g</t>
  </si>
  <si>
    <t>Kedvenc ízek paprikás diákcsemege 75g</t>
  </si>
  <si>
    <t>Kométa ízletes paprikás szalámi 80g</t>
  </si>
  <si>
    <t>Kométa olasz felvágott 125g</t>
  </si>
  <si>
    <t>Orsi libazsír 200g</t>
  </si>
  <si>
    <t>Orsi virsli füstölt sajtos 140g</t>
  </si>
  <si>
    <t>Sága pulykapárizsi füst ízű 90g</t>
  </si>
  <si>
    <t>Coop fóliás sonka /kg  kód:467</t>
  </si>
  <si>
    <t>Füstölt Oldalas /kg 434</t>
  </si>
  <si>
    <t>Tepertő lédig /kg  495-ös kód</t>
  </si>
  <si>
    <t>Ló kolbász /kg 538</t>
  </si>
  <si>
    <t>Roppanós virsli /kg kód:801 Zádor</t>
  </si>
  <si>
    <t>Valdor paprikás p.mell sonka/kg kód:990</t>
  </si>
  <si>
    <t>Pick nosztalgia marha párizsi /kg 409</t>
  </si>
  <si>
    <t>Kométa zala felvágott /kg kód:666</t>
  </si>
  <si>
    <t>Zádor bacon szeletelt 200g</t>
  </si>
  <si>
    <t>Ahida zöldséges szelet /kg kód:281</t>
  </si>
  <si>
    <t>Pick viaszos borjúmájas/kg kód:456</t>
  </si>
  <si>
    <t>Pick tavaszi felvágott  kód:515</t>
  </si>
  <si>
    <t>Kométa olasz /kg    kód:667</t>
  </si>
  <si>
    <t>Sága füstlizer p.párizsi sajt./kg  542</t>
  </si>
  <si>
    <t>Pásztor párizsi /kg 135</t>
  </si>
  <si>
    <t>Sága füst.pulykapárizsi /kg kód:471</t>
  </si>
  <si>
    <t>Hentes sertés párizsi/kg kód 052</t>
  </si>
  <si>
    <t>Kedvenc ízek herkules szalámi 75g</t>
  </si>
  <si>
    <t>Krasno ösi cseh szalonna szel. 100g</t>
  </si>
  <si>
    <t>Nádudvari borjúmájas 90g</t>
  </si>
  <si>
    <t>Pick téliszalámi szeletelt 70g</t>
  </si>
  <si>
    <t>Pickolino sajtos sertés virsli 140g</t>
  </si>
  <si>
    <t>Zimbo olasz felvágott 125g</t>
  </si>
  <si>
    <t>Zimbo sertés párizsi szel 125g</t>
  </si>
  <si>
    <t>Bácskai hurka /kg 003</t>
  </si>
  <si>
    <t>Coop diákcsemege /kg 514</t>
  </si>
  <si>
    <t>Hentes cigánysonka/kg kód:487</t>
  </si>
  <si>
    <t>Krasno lecsókolbász /kg 802</t>
  </si>
  <si>
    <t>Parasztkolbász létai csem,csíp /kg 531-e</t>
  </si>
  <si>
    <t>Mangalica kolbász /kg 532</t>
  </si>
  <si>
    <t>Magyar trappista sajt/kg kód:672</t>
  </si>
  <si>
    <t>Ahida sajtos tavaszi rolád/kg kód:088</t>
  </si>
  <si>
    <t>Krasno Pizza felvágott /kg 222</t>
  </si>
  <si>
    <t>Orsi sajtos baromfi párizsi /kg kód:583</t>
  </si>
  <si>
    <t>Krinolin /kg 529-es kód</t>
  </si>
  <si>
    <t>Coop löncshús /kg 708</t>
  </si>
  <si>
    <t>Kométa Disznósajt /kg 422-es kód</t>
  </si>
  <si>
    <t>Hentes löncs/kg  kód:418</t>
  </si>
  <si>
    <t>Coop sertés párizsi /kg 466</t>
  </si>
  <si>
    <t>Hentes fóliás sonka/kg kód:114</t>
  </si>
  <si>
    <t>Ahida top cs.mell sonka/kg kód:111</t>
  </si>
  <si>
    <t>Zádor füstölt főtt darabolt comb/kg 709</t>
  </si>
  <si>
    <t>Hentes fokhagymás felvágott /kg kód: 528</t>
  </si>
  <si>
    <t>Gyulai kézműves v.kolbász /kg kód: 586</t>
  </si>
  <si>
    <t>Tauris Torrero szalámi/kg kód:087</t>
  </si>
  <si>
    <t>Ahida kentucky pulykamell sonka /kg 341</t>
  </si>
  <si>
    <t>Hentes Olasz felvágott/kg 071</t>
  </si>
  <si>
    <t>Merian alföldi cs.mell sonka/kg kód:991</t>
  </si>
  <si>
    <t>Kométa fokhagymás felv./kg kód:621</t>
  </si>
  <si>
    <t>Pick téliszalámi/kg kód:917</t>
  </si>
  <si>
    <t>Familia toast sonkás szelet/kg kód:719</t>
  </si>
  <si>
    <t>Krásno Fürdői sonka /kg 851</t>
  </si>
  <si>
    <t>Tauris kárpát szalámi/kg  kód:451</t>
  </si>
  <si>
    <t>Pick chilis párizsi /kg kód:408</t>
  </si>
  <si>
    <t>Tauris Ausztria szalámi/kg kód:086</t>
  </si>
  <si>
    <t>Hyza Zöldséges baromfi rúd/kg kód:963</t>
  </si>
  <si>
    <t>Füstölt nyers tarja/kg kód:853</t>
  </si>
  <si>
    <t>Hercsi csirkemell sonka/kg  kód:074</t>
  </si>
  <si>
    <t>Krasno toustisonka /kg 631</t>
  </si>
  <si>
    <t>Tauris Pokolian csípős vastagkolbász /kg</t>
  </si>
  <si>
    <t>Zádor Aszpikos nyelv /kg 994kód</t>
  </si>
  <si>
    <t>Coop vaníliáscukor 8g</t>
  </si>
  <si>
    <t>COOP FEKETEBORS ŐRÖLT 20G</t>
  </si>
  <si>
    <t>Lucullus szódabikarbóna 40g</t>
  </si>
  <si>
    <t>Vegeta ételízesítő 75g</t>
  </si>
  <si>
    <t>Dr.Oetker vaníliáscukor 4x10g</t>
  </si>
  <si>
    <t>Coop feketebors egész 16g</t>
  </si>
  <si>
    <t>Coop Instant élesztő 7g</t>
  </si>
  <si>
    <t>Dr. oetker Puding 2*40g Vanilia</t>
  </si>
  <si>
    <t>Knorr carbonara spagetti alap 26g</t>
  </si>
  <si>
    <t>Knorr húsgombócleves fodrosmetélttel 50g</t>
  </si>
  <si>
    <t>Knorr bolognai spagetti alap 59g</t>
  </si>
  <si>
    <t>Delikát ételízesítő 250g</t>
  </si>
  <si>
    <t>Dr.Oetker sütőpor 4X12g</t>
  </si>
  <si>
    <t>Horváth Rozi szódabikarbóna 50g</t>
  </si>
  <si>
    <t>Ízmester marhahúsleves kocka 60g</t>
  </si>
  <si>
    <t>KNORR TÉSZTA CSIRKEPAPR.SZAFTTAL 168G</t>
  </si>
  <si>
    <t>Lucullus fokhagyma granulátum 20g</t>
  </si>
  <si>
    <t>Orient kapor</t>
  </si>
  <si>
    <t>Orient petrezselyem</t>
  </si>
  <si>
    <t>Vegeta ételízesítő 250g</t>
  </si>
  <si>
    <t>Fűszerpaprika Molnár édesnemes 100g</t>
  </si>
  <si>
    <t>Horvát Rozi babérlevél 5g</t>
  </si>
  <si>
    <t>Horváth Rozi feketebors egész 20g</t>
  </si>
  <si>
    <t>Ízmester magyaros fűszerkeverék 40g</t>
  </si>
  <si>
    <t>Knorr Tyúkhúsleves csigatésztával 40g</t>
  </si>
  <si>
    <t>Knorr sajtszósz alap 29g</t>
  </si>
  <si>
    <t>Szegedi Csemege Paprika 100g</t>
  </si>
  <si>
    <t>COOP MAJORANNA MORZSOLT 10G</t>
  </si>
  <si>
    <t>Coop babérlevél egész 5g</t>
  </si>
  <si>
    <t>Coop vadas mártás alappor 42g</t>
  </si>
  <si>
    <t>Horvát Rozi Petrezselyem 5g</t>
  </si>
  <si>
    <t>Horvát Rozi tárkony morzsolt</t>
  </si>
  <si>
    <t>Knorr májgombócleves csigatésztával 58g</t>
  </si>
  <si>
    <t>Knorr milánói makaróni alap 60g</t>
  </si>
  <si>
    <t>Knorr újházy tyúkhúsleves csigatésztával</t>
  </si>
  <si>
    <t>Lucullus bazsalikum morzsolt 5g</t>
  </si>
  <si>
    <t>Orient kömény egész 20g</t>
  </si>
  <si>
    <t>COOP FŰSZERKÖMÉNY ŐRÖLT 20G</t>
  </si>
  <si>
    <t>Coop mazsola 100g</t>
  </si>
  <si>
    <t>Csoda konyha bolognai mártás alap 47g</t>
  </si>
  <si>
    <t>Horvát Rozi oregánó morzsolt 5g</t>
  </si>
  <si>
    <t>Horváth Rozi étkezési zselatin 20g</t>
  </si>
  <si>
    <t>Horváth Rozi fahéj őrölt 20g</t>
  </si>
  <si>
    <t>Horváth Rozi kapor morzsolt 5g</t>
  </si>
  <si>
    <t>Ízmester sültoldalas fűszerkeverék 40g</t>
  </si>
  <si>
    <t>LUCULLUS FEKETEBORS ŐRÖLT 20G</t>
  </si>
  <si>
    <t>LUCULLUS MÉZESKALÁCS FŰSZERKEV. 14G</t>
  </si>
  <si>
    <t>Luccullus feketebors egész 20g</t>
  </si>
  <si>
    <t>Lucullus kakukkfű morzsolt 5g</t>
  </si>
  <si>
    <t>Lucullus sültkrumpli fűszersó 30g</t>
  </si>
  <si>
    <t>Orient bazsalikom</t>
  </si>
  <si>
    <t>Orient kömény örölt 25g</t>
  </si>
  <si>
    <t>Szegedi paprika 50g csemege</t>
  </si>
  <si>
    <t>VEGETA ÉTELÍZESÍTŐ 125G</t>
  </si>
  <si>
    <t>COOP FŰSZERKÖMÉNY EGÉSZ 20G</t>
  </si>
  <si>
    <t>COOP SZÓDABIKARBÓNA 50G</t>
  </si>
  <si>
    <t>Coop carbonara mártás alappor 26g</t>
  </si>
  <si>
    <t>Coop kakaópor zsírszegény 75g</t>
  </si>
  <si>
    <t>Coop marhahús ízű leveskocka 60g</t>
  </si>
  <si>
    <t>Coop milánói mártás alappor 48g</t>
  </si>
  <si>
    <t>Coop tyúkhús ízű leveskocka 60g</t>
  </si>
  <si>
    <t>Horváth Rozi koriander egész 20g</t>
  </si>
  <si>
    <t>Horváth Rozi szerecsendió őrölt 16g</t>
  </si>
  <si>
    <t>Ízmester fokhagymás fűszerkeverék 30g</t>
  </si>
  <si>
    <t>Ízmester grill fűszerkev.szárnyas 30g</t>
  </si>
  <si>
    <t>Ízmester sertéssült fszkv. klasszikus 40</t>
  </si>
  <si>
    <t>Ízmester tyúkhúsleves kocka 60g</t>
  </si>
  <si>
    <t>KALOCSAI F.PAPRIKA ÉDESNEMES FÉMGŐZ. 40G</t>
  </si>
  <si>
    <t>KNORR GULYÁSLEVES 67G</t>
  </si>
  <si>
    <t>KOTÁNYI SÜLTCSIRKE FŰSZERKEVERÉK 40G</t>
  </si>
  <si>
    <t>Knorr füstölthúsízesítő kocka 60g</t>
  </si>
  <si>
    <t>Knorr leveskocka erőleves 60g</t>
  </si>
  <si>
    <t>Kotányi pepronica chili 8g</t>
  </si>
  <si>
    <t>Kotányi szerecsendió egész 9g</t>
  </si>
  <si>
    <t>Lucullus babérlevél egész 5g</t>
  </si>
  <si>
    <t>Lucullus chili paprika tört 15g</t>
  </si>
  <si>
    <t>Lucullus egész szegfűszeg 10g</t>
  </si>
  <si>
    <t>Lucullus ételízesítő 50g</t>
  </si>
  <si>
    <t>Lucullus húspuhító füszersó 35g</t>
  </si>
  <si>
    <t>Lucullus morzsolt tárkony 5g</t>
  </si>
  <si>
    <t>Lucullus petrezselyem szárított 5g</t>
  </si>
  <si>
    <t>MAGGI ÍZVARÁZS ÉTELÍZESÍTŐ 75G</t>
  </si>
  <si>
    <t>Orient Fahéj egész 15g</t>
  </si>
  <si>
    <t>Orient fahéj őrölt 15g</t>
  </si>
  <si>
    <t>Orient gyros fűszer</t>
  </si>
  <si>
    <t>Vegeta natur ételízesítő 75g</t>
  </si>
  <si>
    <t>COOP KINGSTON RUM AROMA 30ML</t>
  </si>
  <si>
    <t>Coop darált chili 135g</t>
  </si>
  <si>
    <t>Coop mustár 500g</t>
  </si>
  <si>
    <t>Coop őrölt fahéj 20g</t>
  </si>
  <si>
    <t>Delikát ételízesítő 75g</t>
  </si>
  <si>
    <t>Dr. Oetker pudin csokoládés 2db-os</t>
  </si>
  <si>
    <t>Dr.Oetker Dekor szív piros 30g</t>
  </si>
  <si>
    <t>Dr.Oetker rum aroma 38ml</t>
  </si>
  <si>
    <t>Dr.Oetker tortazselé piros 12g</t>
  </si>
  <si>
    <t>Dr.oetker élesztő 3x7g</t>
  </si>
  <si>
    <t>Dr.oetker gála krémpuding puncs 78g</t>
  </si>
  <si>
    <t>Fűszerpaprika édesnemes 100g</t>
  </si>
  <si>
    <t>Horváth Rozi feketebors őrölt 20g</t>
  </si>
  <si>
    <t>Horváth Rozi gyros gyorspác 30g</t>
  </si>
  <si>
    <t>Ízmester grill fűszerkeverék zöldség 30g</t>
  </si>
  <si>
    <t>Kalocsai paprika finom örlésű 40g</t>
  </si>
  <si>
    <t>Kotányi ánizs egész 25g</t>
  </si>
  <si>
    <t>Kotányi mézessütemény fűszerkev. 27g</t>
  </si>
  <si>
    <t>Kotányi oregánó morzsolt 8g</t>
  </si>
  <si>
    <t>Kotányi sertéssült fűszersó 30G</t>
  </si>
  <si>
    <t>Kotányi vanilin cukor 70g</t>
  </si>
  <si>
    <t>LUCULLUS ALMÁS SÜTEMÉNY FŰSZERKEV. 50G</t>
  </si>
  <si>
    <t>Lucullus borókabogyó egész 15g</t>
  </si>
  <si>
    <t>Lucullus forraltbor 60g</t>
  </si>
  <si>
    <t>Lucullus kaporlevél szárított 5g</t>
  </si>
  <si>
    <t>Lucullus mézes csipős csirkeszárny 48g</t>
  </si>
  <si>
    <t>Lucullus morzsolt majoranna 5g</t>
  </si>
  <si>
    <t>Lucullus őrölt fűszerkömény 20g</t>
  </si>
  <si>
    <t>Lucullus őrölt kurkuma 15g</t>
  </si>
  <si>
    <t>Lucullus római kömény őrölt 15g</t>
  </si>
  <si>
    <t>Lucullus sült oldalas fűszersó 50g</t>
  </si>
  <si>
    <t>Lucullus szeresendió őrölt 13g</t>
  </si>
  <si>
    <t>Orient Sültkrumpli 20g</t>
  </si>
  <si>
    <t>Orient babérlevél 4g</t>
  </si>
  <si>
    <t>Orient magyaros fűszersó 20g</t>
  </si>
  <si>
    <t>Szegedi paprika 50g édesnemes</t>
  </si>
  <si>
    <t>Göngy palack szeszes 0,2l  40Ft/db</t>
  </si>
  <si>
    <t>Palack sörös 0,5l 26Ft  1201kód</t>
  </si>
  <si>
    <t>Göngy.palack boros 1.5l-es 1231-es kód</t>
  </si>
  <si>
    <t>Göngy. palack varga 0,75l</t>
  </si>
  <si>
    <t>Göngy. palack 1 literes csatos</t>
  </si>
  <si>
    <t>Göngy palack boros 0,75l</t>
  </si>
  <si>
    <t>Göngy palack 0,5l szeszes 55Ft/db</t>
  </si>
  <si>
    <r>
      <t>! 18%-os Gy</t>
    </r>
    <r>
      <rPr>
        <sz val="11"/>
        <color theme="1"/>
        <rFont val="Cambria"/>
        <family val="1"/>
      </rPr>
      <t>ű</t>
    </r>
    <r>
      <rPr>
        <sz val="11"/>
        <color theme="1"/>
        <rFont val="等线"/>
        <family val="3"/>
        <charset val="134"/>
        <scheme val="minor"/>
      </rPr>
      <t>jt</t>
    </r>
    <r>
      <rPr>
        <sz val="11"/>
        <color theme="1"/>
        <rFont val="Cambria"/>
        <family val="1"/>
      </rPr>
      <t>ő</t>
    </r>
    <phoneticPr fontId="3" type="noConversion"/>
  </si>
  <si>
    <t>!GYUJTO 27%</t>
  </si>
  <si>
    <t>Csirke egész comb /kg  kód:508</t>
  </si>
  <si>
    <t>Csirke far-hát /kg kód:525</t>
  </si>
  <si>
    <t>Csirke szárny /kg  512-es kód</t>
  </si>
  <si>
    <t>Csirke mellfilé /kg  kód:509</t>
  </si>
  <si>
    <t>Csirke mell csontos /kg   kód:642</t>
  </si>
  <si>
    <t>Csirke máj /kg 559-es kód</t>
  </si>
  <si>
    <t>Csirke mellcsont /kg 755kód</t>
  </si>
  <si>
    <t>Sertés lapocka /kg   kód:644</t>
  </si>
  <si>
    <t>Sertés comb /kg  kód:489</t>
  </si>
  <si>
    <t>Sertés dagadó,oldalas/kg  kód:617</t>
  </si>
  <si>
    <t>Sertés Húsoscsont /kg 522-eskód</t>
  </si>
  <si>
    <t>Sertés tarja csontos /kg  kód:493</t>
  </si>
  <si>
    <t>Sertés karaj csont nélkül/kg kód:488</t>
  </si>
  <si>
    <t>Sertés tarja csont nélküli /kg 561-eskód</t>
  </si>
  <si>
    <t>Sertés karaj csontos /kg  kód:560</t>
  </si>
  <si>
    <t>Sertés apróhús/kg kód:019</t>
  </si>
  <si>
    <t>Spirál füzet kockás</t>
  </si>
  <si>
    <t>Spirálfüzet sima</t>
  </si>
  <si>
    <t>Szaloncukor klasszikus zselés 300g</t>
  </si>
  <si>
    <t>Nescafé classic 3in1 2x(10*17g)+fémdoboz</t>
  </si>
  <si>
    <t>Kávé, hosszú kávé tejjel</t>
  </si>
  <si>
    <t>Nescafe classic 3in1 krémes selymes 17g</t>
  </si>
  <si>
    <t>Kávé, hosszú kávé</t>
  </si>
  <si>
    <t>Nescafe 3in1 10db</t>
  </si>
  <si>
    <t>Tchibo family őrölt kávé 250g</t>
  </si>
  <si>
    <t>Energy coffee cappuccino 0,25l</t>
  </si>
  <si>
    <t>Energy coffee slim latte 0,25l</t>
  </si>
  <si>
    <t>Mokate 3in1 XXl 20*18g+4db</t>
  </si>
  <si>
    <t>Classic cappuccino, forró csoki</t>
  </si>
  <si>
    <t>Coop 3in1 kávé 10x18g</t>
  </si>
  <si>
    <t>Mokate kávé 2in1 20*14g +4db xxl</t>
  </si>
  <si>
    <t>COFFEETA KÁVÉKRÉMPOR CLASSIC 200G</t>
  </si>
  <si>
    <t>Eduscho DUPLA KÁVÉ ŐRÖLT 250G</t>
  </si>
  <si>
    <t>NESCAFÉ CLASSIC 100G</t>
  </si>
  <si>
    <t>COOP CAPPUCCINO CLASSIC UTT. 100G</t>
  </si>
  <si>
    <t>Coop kávékrémpor 200g</t>
  </si>
  <si>
    <t>Karaván őrölt kávé 225g</t>
  </si>
  <si>
    <t>Nescafe Classic 200g</t>
  </si>
  <si>
    <t>Bravos szemes kávé 1kg</t>
  </si>
  <si>
    <t>Dr.Oetker holland kakaópor 70g</t>
  </si>
  <si>
    <t>Eduscho WIENER EXTRA KÁVÉ ŐRÖLT 250G</t>
  </si>
  <si>
    <t>Nescafé utántöltő 50g classic</t>
  </si>
  <si>
    <t>Perotti cappuccino csokis 90g</t>
  </si>
  <si>
    <t>Perotti kávéfehérítő 200g</t>
  </si>
  <si>
    <t>Arany kakó holland 125g</t>
  </si>
  <si>
    <t>Bon aroma instant kávé 200g</t>
  </si>
  <si>
    <t>Csokis cappuccino</t>
  </si>
  <si>
    <t>Flosana tea áfonyás 20 filter</t>
  </si>
  <si>
    <t>Globetti főzőkakaó 100g</t>
  </si>
  <si>
    <t>Nescafe brasero 100g</t>
  </si>
  <si>
    <t>Tálca kicsi Csilla</t>
  </si>
  <si>
    <t>TOFU BARNA /doboz</t>
  </si>
  <si>
    <t>Smack leves csirke 100g</t>
  </si>
  <si>
    <t>Vishu marhahús tésztás leves 60g</t>
  </si>
  <si>
    <t>Vishu csirkehús tésztás leves 60g</t>
  </si>
  <si>
    <t>Vishu tyúkhús tésztás leves 60g</t>
  </si>
  <si>
    <t>Smack leves csíps marhahús 100g</t>
  </si>
  <si>
    <t>Smack leves csípős csirke 100g</t>
  </si>
  <si>
    <t>Nissin cup instant tészta csikés 63g</t>
  </si>
  <si>
    <t>Smack chilis leves 100g</t>
  </si>
  <si>
    <t>Vishu currys csirkehús tésztás leves 60g</t>
  </si>
  <si>
    <t>Nissin cup instant tészta marhás 64g</t>
  </si>
  <si>
    <t>Aranyfácán sűrített paradicsom 70g</t>
  </si>
  <si>
    <t>Nissin soba instant tészta thai 109g</t>
  </si>
  <si>
    <t>Nissin cup instant tészta csípős 66g</t>
  </si>
  <si>
    <t>Smack kacsahúsos leves 100g</t>
  </si>
  <si>
    <t>Hamé tonhalkrém 100g</t>
  </si>
  <si>
    <t>Rio mare Tonhal 52g</t>
  </si>
  <si>
    <t>Hamé vegetáriánus pástétom oliva 105g</t>
  </si>
  <si>
    <t>Nissin soba instant tészta classic 109g</t>
  </si>
  <si>
    <t>Univer mustár tubusos 70g</t>
  </si>
  <si>
    <t>Coop minden nap sertésmájkrém 48g</t>
  </si>
  <si>
    <t>Knorr marhaleves cérnametélttel 73g</t>
  </si>
  <si>
    <t>Nissin soba instant tészta chili 111g</t>
  </si>
  <si>
    <t>Nissin soba instant tészta teriyaki 110g</t>
  </si>
  <si>
    <t>Premiko meggybefőtt magozott 700g</t>
  </si>
  <si>
    <t>Rege csemegeuborka 5-8cm 720ml</t>
  </si>
  <si>
    <t>Univer ketchup 70g</t>
  </si>
  <si>
    <t>Univer majonéz 420g</t>
  </si>
  <si>
    <t>Coop csemegekukorica morzsolt 340g</t>
  </si>
  <si>
    <t>Giana fehérbab 425ml</t>
  </si>
  <si>
    <t>UNIVER ketchup flakonos 470g</t>
  </si>
  <si>
    <t>Vifon 60g tyúk</t>
  </si>
  <si>
    <t>Aranyfácán sűrített paradicsom 150g</t>
  </si>
  <si>
    <t>Giana olívabogyó magozott 195g</t>
  </si>
  <si>
    <t>Giana olívabogyó paprikával töltött 195g</t>
  </si>
  <si>
    <t>Hamé vegetáriánus pástétom paprika 105g</t>
  </si>
  <si>
    <t>Kofa sűrített paradicsom 70g</t>
  </si>
  <si>
    <t>Premiko zöldborsó 720g</t>
  </si>
  <si>
    <t>Univer majonézes torma tubusos 70g</t>
  </si>
  <si>
    <t>Univer piros arany csípős 160g</t>
  </si>
  <si>
    <t>Bonduelle csemege kukorica fémd 440g</t>
  </si>
  <si>
    <t>Coop majonéz flakonos 450g</t>
  </si>
  <si>
    <t>Coop vörösbab kidney 240g</t>
  </si>
  <si>
    <t>Dawtona sűrített paradicsom 80g</t>
  </si>
  <si>
    <t>Eko zöldborsó 720ml</t>
  </si>
  <si>
    <t>Giana őszibarack felezett befőtt 820g</t>
  </si>
  <si>
    <t>Globus melegszendvicskrém provance 290g</t>
  </si>
  <si>
    <t>Hamé tonhalkrém pikáns 100g</t>
  </si>
  <si>
    <t>Knorr tyúkhúsleveskocka 60g</t>
  </si>
  <si>
    <t>Maggi tészta tejszínes csirke 152g</t>
  </si>
  <si>
    <t>Premiko csemege uborka 6-9cm 680g</t>
  </si>
  <si>
    <t>Rege csemegeuborka 3-6cm 720ml</t>
  </si>
  <si>
    <t>Univer piros arany csemege 70g</t>
  </si>
  <si>
    <t>Coop őszibarack felezett 820g/470g</t>
  </si>
  <si>
    <t>Coop reszelt torma 200g</t>
  </si>
  <si>
    <t>Coop sűrített paradicsom 70g</t>
  </si>
  <si>
    <t>Dawtona sűrített paradicsom 360g</t>
  </si>
  <si>
    <t>Giana tonhal saláta mexico 185g</t>
  </si>
  <si>
    <t>Globus lencsefőzelék kolbásszal 400g</t>
  </si>
  <si>
    <t>Hame lazacos pástétom 105g</t>
  </si>
  <si>
    <t>Házias ízek chilis bab darált marhahússa</t>
  </si>
  <si>
    <t>Házias ízek húsgombóc paradicsommártásba</t>
  </si>
  <si>
    <t>Házias ízek sólet pácolt marhahússal 400</t>
  </si>
  <si>
    <t>Knorr vadas alap 60G</t>
  </si>
  <si>
    <t>Kofa sűrített paradicsom 140g</t>
  </si>
  <si>
    <t>UNIVER GULYÁSKRÉM CSEMEGE 70G</t>
  </si>
  <si>
    <t>Univer erős pista 200g</t>
  </si>
  <si>
    <t>Univer majonéz tubusos 160g</t>
  </si>
  <si>
    <t>Univer majonézes torma tubusos 160g</t>
  </si>
  <si>
    <t>Univer mustár tubusos 160g</t>
  </si>
  <si>
    <t>Bonduelle csemegekukorica 340g</t>
  </si>
  <si>
    <t>Coop darált paprika erős 200g</t>
  </si>
  <si>
    <t>Coop fehérboros sav. káposzta 810g</t>
  </si>
  <si>
    <t>Coop meggybefőtt magozott 700g</t>
  </si>
  <si>
    <t>Coop paradicsomlé 330ml</t>
  </si>
  <si>
    <t>Eko csemegekukorica morzsolt 340g</t>
  </si>
  <si>
    <t>Eko fehérbab sós lében 420g</t>
  </si>
  <si>
    <t>Eva tonhaldarab olivaolajban 80g</t>
  </si>
  <si>
    <t>Giana Tonhal texas 185g</t>
  </si>
  <si>
    <t>Globus melegszendvicskrém gombás 290g</t>
  </si>
  <si>
    <t>Globus melegszendvicskrém hamburger 290g</t>
  </si>
  <si>
    <t>Globus sólet pácolt marhahússal 400g</t>
  </si>
  <si>
    <t>Globus töltött paprika 400g</t>
  </si>
  <si>
    <t>Globus uzsonna sertésvagdalt 130g</t>
  </si>
  <si>
    <t>HAME SONKA 105G</t>
  </si>
  <si>
    <t>Hamé Kolbászos májkrém 105g</t>
  </si>
  <si>
    <t>Hamé afrikai harcsaástétom 100g</t>
  </si>
  <si>
    <t>Hamé aprított tonhal 185g</t>
  </si>
  <si>
    <t>Hamé csirkemájpástétom 48g</t>
  </si>
  <si>
    <t>Hamé libamájas ínyenc 105g</t>
  </si>
  <si>
    <t>Heinz ketchup 400ml/460g</t>
  </si>
  <si>
    <t>Heinz szójaszósz 150ml</t>
  </si>
  <si>
    <t>Jóljár sűrített paradicsom 360g</t>
  </si>
  <si>
    <t>Knorr alap lasagne 56g</t>
  </si>
  <si>
    <t>Laci májgombócleves 4-tányéros 64g</t>
  </si>
  <si>
    <t>Marhamájkrém 65g tépőzáras arany</t>
  </si>
  <si>
    <t>Premiko csemege kukorica 340g</t>
  </si>
  <si>
    <t>UNIVER PIROS ARANY CSEMEGE 160G</t>
  </si>
  <si>
    <t>Univer fokhagymakrém 70g</t>
  </si>
  <si>
    <t>Univer tormás mustár 70g</t>
  </si>
  <si>
    <t>Vifon 60g csirke</t>
  </si>
  <si>
    <t>Bonduelle szeletelt gomba 280g</t>
  </si>
  <si>
    <t>Bonduelle vörösbab maxi 545g</t>
  </si>
  <si>
    <t>COOP PREMIUM Z.BOR.-BÉBIRÉ.KE.400G/ 265G</t>
  </si>
  <si>
    <t>Coop Sűrített paradicsom üv.18-20% 360g</t>
  </si>
  <si>
    <t>Coop csemege kukorica szuperédes 340/285</t>
  </si>
  <si>
    <t>Coop darabolt ananász 567g</t>
  </si>
  <si>
    <t>Coop s.hüvelyű z.bab 680/360g</t>
  </si>
  <si>
    <t>Coop szeletelt csiperkegomba 400g</t>
  </si>
  <si>
    <t>Dawtona mexicói saláta 400g</t>
  </si>
  <si>
    <t>Dawtona milánói gombás mártás 360g</t>
  </si>
  <si>
    <t>Dawtona paradicsomital 330ml</t>
  </si>
  <si>
    <t>Eko lecsó 30% paprikával 680g</t>
  </si>
  <si>
    <t>Giana aprított tonhal olajban 185g</t>
  </si>
  <si>
    <t>Giana őszibarack befőtt 385g</t>
  </si>
  <si>
    <t>Giana szardinella olajban 125g/90g</t>
  </si>
  <si>
    <t>Giana vörösbab 425ml</t>
  </si>
  <si>
    <t>Globus majonéz cseppmentes k. 400g</t>
  </si>
  <si>
    <t>Globus melegszendvicskrém mexikói 290g</t>
  </si>
  <si>
    <t>Globus melegszendvicskrém pizza 290g</t>
  </si>
  <si>
    <t>Globus sertésmájkrém 45g</t>
  </si>
  <si>
    <t>Globus vagdalt különleges 130g</t>
  </si>
  <si>
    <t>Hamé Ördögi pirítós 105g</t>
  </si>
  <si>
    <t>Hamé makrélás pástétom 105g</t>
  </si>
  <si>
    <t>Hamé tonhalkrém zöldség</t>
  </si>
  <si>
    <t>Hunagro csemegeuborka 6-9cm  720ml</t>
  </si>
  <si>
    <t>Knorr ínyenc toszk.paradicsom 66g</t>
  </si>
  <si>
    <t>Kofa gomba szeletelt 400g fémdobozos</t>
  </si>
  <si>
    <t>Korona paradicsompüré 500g</t>
  </si>
  <si>
    <t>Menza darált löncs 400g</t>
  </si>
  <si>
    <t>Premiko Őszibarack felezett befőtt 700g</t>
  </si>
  <si>
    <t>Premiko Vegyesvágott 680g</t>
  </si>
  <si>
    <t>Rege kovászos uborka 6-9cm 720ml</t>
  </si>
  <si>
    <t>Rege körtebefőtt 700g/400g</t>
  </si>
  <si>
    <t>UNIVER GULYÁSKRÉM CSÍPŐS 70G</t>
  </si>
  <si>
    <t>UNIVER KETCHUP 160G</t>
  </si>
  <si>
    <t>Univer ketchup csípős 470g</t>
  </si>
  <si>
    <t>Univer pizzakrém 70g</t>
  </si>
  <si>
    <t>Univer vöröshagy.krém 160g</t>
  </si>
  <si>
    <t>Vifon 60g Currys Csirke</t>
  </si>
  <si>
    <t>Zengő Csemegeuborka 3-6cm 680g</t>
  </si>
  <si>
    <t>ARANYFÁCÁN SŰRÍTETT PARAD. 15-17% 360G</t>
  </si>
  <si>
    <t>Aranyfácán sűrített paradicsom 425g</t>
  </si>
  <si>
    <t>Bonduelle mexicana szószos bab 430g</t>
  </si>
  <si>
    <t>Coop csípős mexikói mártás 360g</t>
  </si>
  <si>
    <t>Coop gyöngyhagyma 330g</t>
  </si>
  <si>
    <t>Coop lekvár sárgabarack 410g</t>
  </si>
  <si>
    <t>Coop minden nap mustár 640g</t>
  </si>
  <si>
    <t>Coop natúr lecsó 30% paprikával 680g</t>
  </si>
  <si>
    <t>Coop prémium zöldh.zöldbab 400g</t>
  </si>
  <si>
    <t>Coop töltött káposzta 400g</t>
  </si>
  <si>
    <t>Coop zöldborsó üveges 680g</t>
  </si>
  <si>
    <t>Dawtona bolognai mártás 360g</t>
  </si>
  <si>
    <t>Dawtona csemegekukorica 340g</t>
  </si>
  <si>
    <t>Dawtona ketchup 500g</t>
  </si>
  <si>
    <t>Dawtona passata paradicsomlé 720ml</t>
  </si>
  <si>
    <t>Dr.Oetker eredeti puding epres 2db-os</t>
  </si>
  <si>
    <t>Eko nagymama Sárgabarack lekvár 370ml</t>
  </si>
  <si>
    <t>Eko sárgabarackíz 580g</t>
  </si>
  <si>
    <t>Eko vörösbab sós lében 420g</t>
  </si>
  <si>
    <t>Eva heringfilé paradicsommártásban 170g</t>
  </si>
  <si>
    <t>Giana ananász darabolt 580ml</t>
  </si>
  <si>
    <t>Giana aprított tonhal saját lében 185g</t>
  </si>
  <si>
    <t>Giana fehérbab chilis 400g</t>
  </si>
  <si>
    <t>Giana tonhalsaláta western 185g</t>
  </si>
  <si>
    <t>Globus családi csirke 190g</t>
  </si>
  <si>
    <t>Globus különleges vagdalt 130g</t>
  </si>
  <si>
    <t>Globus majonéz light 400g</t>
  </si>
  <si>
    <t>Globus mustár 440g</t>
  </si>
  <si>
    <t>Globus sertésmájas családi 190g</t>
  </si>
  <si>
    <t>Hamé reggeli csípős pástétom 105g</t>
  </si>
  <si>
    <t>Hamé tonhal darabok paradicsomos 185g</t>
  </si>
  <si>
    <t>Házias ízek babgulyás sertéshússal 400g</t>
  </si>
  <si>
    <t>Házias ízek borsos tokány tésztával 400g</t>
  </si>
  <si>
    <t>Házias ízek pacalpörkölt 400g</t>
  </si>
  <si>
    <t>Heinz majonéz 70% 395g</t>
  </si>
  <si>
    <t>Hunagro csemegeuborka 3-6cm 720ml</t>
  </si>
  <si>
    <t>Knorr grízgombóc leves 31g</t>
  </si>
  <si>
    <t>Knorr leveskocka Marha 60g</t>
  </si>
  <si>
    <t>Kofa pepperoni csípős 350/150g</t>
  </si>
  <si>
    <t>Menza babfőzelék kolbásszal 400g</t>
  </si>
  <si>
    <t>Menza lencsefőzelék kolbásszal 400g</t>
  </si>
  <si>
    <t>Nissin cup instant tészta rák 63g</t>
  </si>
  <si>
    <t>Ocean Sprotni Olajban 160+80g</t>
  </si>
  <si>
    <t>Premiko cseresznyepaprika csípős 340g</t>
  </si>
  <si>
    <t>Rege vöröskáposzta 720ml</t>
  </si>
  <si>
    <t>Reno szárnyas kutyaeledel 415g</t>
  </si>
  <si>
    <t>Torkos kacsamájas 50g</t>
  </si>
  <si>
    <t>Torkos sertésmájas 50g</t>
  </si>
  <si>
    <t>UNIVER GULYÁSKRÉM CSÍPŐS 160G</t>
  </si>
  <si>
    <t>UNIVER PIROS ARANY CSÍPŐS 70G</t>
  </si>
  <si>
    <t>Univer mustár cseppmentes k. 440g</t>
  </si>
  <si>
    <t>Univer reszelt torma 190g</t>
  </si>
  <si>
    <t>Univer reszelt torma csemege 190g</t>
  </si>
  <si>
    <t>Univer saláta öntet tzatziki 230g</t>
  </si>
  <si>
    <t>BONDUELLE EGÉSZ GOMBA ÜVEGES 280G/ 170G</t>
  </si>
  <si>
    <t>Bonduelle bébirépa 400g</t>
  </si>
  <si>
    <t>Bonduelle borsó- b. répa  340g</t>
  </si>
  <si>
    <t>Bonduelle csemegekukorica 530g</t>
  </si>
  <si>
    <t>Bonduelle gold sombrero mix 340g</t>
  </si>
  <si>
    <t>Bonduelle mexikói zöldségkeverék</t>
  </si>
  <si>
    <t>Bonduelle oliva mix 310g</t>
  </si>
  <si>
    <t>Bonduelle piedone szószos bab 430g</t>
  </si>
  <si>
    <t>Bonduelle salsa mix 300g</t>
  </si>
  <si>
    <t>Coop chilis bab 400g/240g</t>
  </si>
  <si>
    <t>Coop csemege uborka 6-9cm 680g</t>
  </si>
  <si>
    <t>Coop gomba sós lében üveges 280/170g</t>
  </si>
  <si>
    <t>Coop melegszendvicskrém magyaros 290g</t>
  </si>
  <si>
    <t>Coop melegszendvicskrém pizza 290g</t>
  </si>
  <si>
    <t>Coop mexikói chilis bab 400g</t>
  </si>
  <si>
    <t>Coop minden nap ketchup 700g</t>
  </si>
  <si>
    <t>Coop mn. sárgabarack dzsem 600g</t>
  </si>
  <si>
    <t>Coop mogyorókrém duó 400g</t>
  </si>
  <si>
    <t>Coop premium csirkemájas pástétom 105g</t>
  </si>
  <si>
    <t>Coop rakott káposzta 400g</t>
  </si>
  <si>
    <t>Coop vegyes vágott 670g</t>
  </si>
  <si>
    <t>Csereszenye paprika</t>
  </si>
  <si>
    <t>Dawtona dzsem barack 280g</t>
  </si>
  <si>
    <t>Dawtona édes-savanyú szósz 550g</t>
  </si>
  <si>
    <t>Dawtona mustár 500g</t>
  </si>
  <si>
    <t>EVA SPROTNI FŰSZERES NÖV.OL.170G/ 119G</t>
  </si>
  <si>
    <t>Eko céklasaláta 680g</t>
  </si>
  <si>
    <t>Eko chilisbab 400g</t>
  </si>
  <si>
    <t>Eko mexicorn 340g</t>
  </si>
  <si>
    <t>Eko vörösbab paradicsomos mártásban 420g</t>
  </si>
  <si>
    <t>Eva szardínia olajban 115g</t>
  </si>
  <si>
    <t>Giana szardínia 125g chilis</t>
  </si>
  <si>
    <t>Giana szeletelt ananász 565g</t>
  </si>
  <si>
    <t>Giana tarkabab borlotti 425ml</t>
  </si>
  <si>
    <t>Giana tonhalsaláta 185g</t>
  </si>
  <si>
    <t>Giana trópusi gyümölcskoktél 425ml</t>
  </si>
  <si>
    <t>Globus babgulyás marhahússal 840g</t>
  </si>
  <si>
    <t>Globus csirkemájas 65g tp</t>
  </si>
  <si>
    <t>Globus francia melegszendvicskrém 290g</t>
  </si>
  <si>
    <t>Globus luncheon meat 130g</t>
  </si>
  <si>
    <t>Globus sólet csípős kolbásszal 400g</t>
  </si>
  <si>
    <t>Globus tavaszi vagdalt 130g</t>
  </si>
  <si>
    <t>Globus vagdalt magyaros 130g</t>
  </si>
  <si>
    <t>Hamé afrikai harcsa pástétom zöldsége</t>
  </si>
  <si>
    <t>Hamé alu tonhalas  krém 45 g pik</t>
  </si>
  <si>
    <t>Hamé falusi pástétom 105g</t>
  </si>
  <si>
    <t>Hamé gomba szeletelt 425g</t>
  </si>
  <si>
    <t>Hamé kacsamájas ínyenc 105g</t>
  </si>
  <si>
    <t>Hamé parasztos sertésmájkrém 105g</t>
  </si>
  <si>
    <t>Hamé reggeli löncshús 105g</t>
  </si>
  <si>
    <t>Hamé sárgabarack dzsem prém.300g</t>
  </si>
  <si>
    <t>Hamé tonhalas krám alu 45 g</t>
  </si>
  <si>
    <t>Happy frucht fehérboros káposzta 810g</t>
  </si>
  <si>
    <t>Házias ízek pásztor tarhonya csípős kol.</t>
  </si>
  <si>
    <t>Házias ízek székelykáposzta 400g</t>
  </si>
  <si>
    <t>Heinz Worcester szósz 150ml</t>
  </si>
  <si>
    <t>Heinz barbeque szósz chilli 490g</t>
  </si>
  <si>
    <t>Heinz barbeque szósz classic 480g</t>
  </si>
  <si>
    <t>Hunagro zöldborsó üveges 720ml</t>
  </si>
  <si>
    <t>Ízmester mustár cseh 288g</t>
  </si>
  <si>
    <t>Ízmester mustár francia 290g</t>
  </si>
  <si>
    <t>Kalocsai gulyáskrém 80.5g</t>
  </si>
  <si>
    <t>Kalocsai paprikakrém 80.5 csípős</t>
  </si>
  <si>
    <t>Kézműves lekvár fekete ribizli 230g</t>
  </si>
  <si>
    <t>Knorr Édes-Savanyú mártás 525g</t>
  </si>
  <si>
    <t>Knorr Tejszínes-Pepr. Mártás 500g</t>
  </si>
  <si>
    <t>Knorr alap szecsuáni csípős 37g</t>
  </si>
  <si>
    <t>La perla ananász darabok 560g</t>
  </si>
  <si>
    <t>La perla ananász szeletek 560g</t>
  </si>
  <si>
    <t>Laci gulyásleves csipetkével 71g</t>
  </si>
  <si>
    <t>Maggi tészta paprikás csirke  156G</t>
  </si>
  <si>
    <t>Medo kukorica 247ml</t>
  </si>
  <si>
    <t>Menza húsgombóc paradicsommárt. 400g</t>
  </si>
  <si>
    <t>Menza sárgaborsófőzelék kolbásszal 400g</t>
  </si>
  <si>
    <t>Menza sóletbab csípős lecsókolb.400g</t>
  </si>
  <si>
    <t>Minden nap csemege uborka 8-10cm 350g</t>
  </si>
  <si>
    <t>Minden nap sár.barack töltelék süt.480g</t>
  </si>
  <si>
    <t>Ocean sprotni paradicsomos 240g</t>
  </si>
  <si>
    <t>POLISETT ÉDESÍTŐSZER 75DB</t>
  </si>
  <si>
    <t>Pramiko almabefőtt 720ml</t>
  </si>
  <si>
    <t>Premiko Natúr lecsó 720ml</t>
  </si>
  <si>
    <t>Premiko csemege cékla 680g</t>
  </si>
  <si>
    <t>Premiko sárgahüvelyű zöldbab 650g</t>
  </si>
  <si>
    <t>Premiko szilvabefőtt 720ml</t>
  </si>
  <si>
    <t>Premiko vegyesbefőtt 720ml</t>
  </si>
  <si>
    <t>Rege almaszósz 700g</t>
  </si>
  <si>
    <t>Rege cseresznye befőtt 720ml</t>
  </si>
  <si>
    <t>Rege uborkasaláta 720ml</t>
  </si>
  <si>
    <t>Snack falusi pástétom 70g</t>
  </si>
  <si>
    <t>Szegedi szárnyas májk. tz. 65g</t>
  </si>
  <si>
    <t>Top taste sült ropogós hagyma 200g</t>
  </si>
  <si>
    <t>Torkos alu csirkemájas 50g</t>
  </si>
  <si>
    <t>Torkos babfőzelék oldalassal 300g</t>
  </si>
  <si>
    <t>Torkos székelykáposzta 300g</t>
  </si>
  <si>
    <t>Uncle bens édes-savanyú mártás 400g</t>
  </si>
  <si>
    <t>Uncle bens mártás provence 395g</t>
  </si>
  <si>
    <t>Uncle bens thai pikáns mártás bébik.400g</t>
  </si>
  <si>
    <t>Univer édes anna 200g</t>
  </si>
  <si>
    <t>Univer gulyáskrém csemege 160g</t>
  </si>
  <si>
    <t>Univer saláta öntet fokhagymás 230g</t>
  </si>
  <si>
    <t>Vifon 60g Csípős csirke</t>
  </si>
  <si>
    <t>Vifon 60g kacsa</t>
  </si>
  <si>
    <t>Vifon 60g zöldséges</t>
  </si>
  <si>
    <t>Vishu sertéshús tésztás leves 60g</t>
  </si>
  <si>
    <t>Belux nedves törlőkendő 120db rózsa</t>
  </si>
  <si>
    <t>Belux nedves törlőkendő 120db oliva</t>
  </si>
  <si>
    <t>Palmolive tusfürdő ffi citrus 250ml</t>
  </si>
  <si>
    <t>Signal fogkrém nature zsálya 75 ml</t>
  </si>
  <si>
    <t>H&amp;S sampon többféle 400ml</t>
  </si>
  <si>
    <t>Head&amp;soulders homme 400ml</t>
  </si>
  <si>
    <t>Nivea testápoló tej Q10 feszesítő 250ml</t>
  </si>
  <si>
    <t>Blanco hasábburgonya 1kg</t>
  </si>
  <si>
    <t>Favorita hasábburgonya 1kg</t>
  </si>
  <si>
    <t>Royal zöldségkeverék 450g  bahamas</t>
  </si>
  <si>
    <t>Bahamas túrótöltelékes derelye 600g</t>
  </si>
  <si>
    <t>Bahamas zöldborsó 450g</t>
  </si>
  <si>
    <t>Oceán catch panhalrúd 250g</t>
  </si>
  <si>
    <t>Passner pan. csirkem.filé 750g</t>
  </si>
  <si>
    <t>Ripp-Ropp Nuggets 1kg</t>
  </si>
  <si>
    <t>Bahamas parajkrém 450g</t>
  </si>
  <si>
    <t>Bahamas sárgahüvelyű zöldbab 450g</t>
  </si>
  <si>
    <t>Bahamas zöldborsó 1kg</t>
  </si>
  <si>
    <t>Pingvin panírozott csirke nuggets 500g</t>
  </si>
  <si>
    <t>Saga Mini Kijev 250g</t>
  </si>
  <si>
    <t>Bahamas mexikói zöldségkev. 450g</t>
  </si>
  <si>
    <t>Bahamas szilvalekváros derelye 600g</t>
  </si>
  <si>
    <t>Farm Héjas burgonyagerezd 600g</t>
  </si>
  <si>
    <t>Nádudvari rántott hagymakarika 450g</t>
  </si>
  <si>
    <t>PANGASIUS FILÉ (WHITE) 800G</t>
  </si>
  <si>
    <t>Pingvin sárgahüvelyű zöldbab 450g</t>
  </si>
  <si>
    <t>Valdor Zizu csirkemellfilé 500g</t>
  </si>
  <si>
    <t>Pizza Domana szalámis 305g</t>
  </si>
  <si>
    <t>Bahamas fejtett bab 300g színes</t>
  </si>
  <si>
    <t>Domana pizza gombás 305g</t>
  </si>
  <si>
    <t>Gyf. sóskarém 450g</t>
  </si>
  <si>
    <t>Passner pan.sajt.tölt. sertéskaraj 500g</t>
  </si>
  <si>
    <t>Pingvin rántott sajt 500g</t>
  </si>
  <si>
    <t>Rántott hagymakarika 1kg</t>
  </si>
  <si>
    <t>Ring hamburger pogácsa 500g</t>
  </si>
  <si>
    <t>Saga Fasírtgolyók 375g</t>
  </si>
  <si>
    <t>Bahamas Nudli 500g</t>
  </si>
  <si>
    <t>Bahamas Vinica kínai zöldségk 350g</t>
  </si>
  <si>
    <t>Bahamas egres 300g</t>
  </si>
  <si>
    <t>Bahamas levelestészta 500g</t>
  </si>
  <si>
    <t>Bahamas sajttal töltött pulyka 1kg</t>
  </si>
  <si>
    <t>Bahamas túrótöltelékes gombóc 500g</t>
  </si>
  <si>
    <t>Csirke máj szív nélkül 500g</t>
  </si>
  <si>
    <t>Gallicoop pulykafasírt 1kg</t>
  </si>
  <si>
    <t>Morzsi Sajtos pogácsa 1kg</t>
  </si>
  <si>
    <t>Náduvari panírozott brokkoli 450g</t>
  </si>
  <si>
    <t>Passner sertéskaraj gombával 750g</t>
  </si>
  <si>
    <t>Pingvin panírozott csirkemellhús 600g</t>
  </si>
  <si>
    <t>Pingvin zöldborsó 450g</t>
  </si>
  <si>
    <t>Pingvon gyf. franciasaláta alap 450g</t>
  </si>
  <si>
    <t>Bahamas francia zöldségkeverék 450g</t>
  </si>
  <si>
    <t>Bahamas gesztenye püré 250g</t>
  </si>
  <si>
    <t>Bahamas húsleveszöldség keverék 450</t>
  </si>
  <si>
    <t>Farm röszti burgonya 450g</t>
  </si>
  <si>
    <t>Francia zöldségkeverék 2,5kg</t>
  </si>
  <si>
    <t>Gallicoop pulykafasírt 540g</t>
  </si>
  <si>
    <t>Gergely Vadasmártás 500g</t>
  </si>
  <si>
    <t>Retró bélszínroló 500g</t>
  </si>
  <si>
    <t>Ripp-ropp natúr vagdalt 1kg</t>
  </si>
  <si>
    <t>Kristálycukor Koronás 1kg</t>
  </si>
  <si>
    <t>Non-stop sütöde zsemlemorzsa 500g</t>
  </si>
  <si>
    <t>Coop finomliszt BL55 1kg</t>
  </si>
  <si>
    <t>Gyermelyi finomliszt 1kg</t>
  </si>
  <si>
    <t>Vénusz étolaj 1liter</t>
  </si>
  <si>
    <t>Coop NAPRAFORGÓ ÉTOLAJ 1L</t>
  </si>
  <si>
    <t>Finomliszt nagyi titka 1kg</t>
  </si>
  <si>
    <t>KORONÁS HÓKRISTÁLY KOCKACUKOR 0.5KG</t>
  </si>
  <si>
    <t>Napsugár étolaj 1L</t>
  </si>
  <si>
    <t>Coop paradicsompüré 500g</t>
  </si>
  <si>
    <t>Burg ételecet 10% 1liter</t>
  </si>
  <si>
    <t>Fit zabkása goji,vörösáfonya 65g</t>
  </si>
  <si>
    <t>Kunsági étolaj szuper 1l</t>
  </si>
  <si>
    <t>Coop ételecet 10% 1liter</t>
  </si>
  <si>
    <t>Coop konyhakész rizs 250g</t>
  </si>
  <si>
    <t>KUNSÁGI ÉDEN NAPRAFORGÓ ÉTOLAJ 100% 1L</t>
  </si>
  <si>
    <t>Coop só vákuum 1kg</t>
  </si>
  <si>
    <t>Maggi forróbögre sajtkrém 19g</t>
  </si>
  <si>
    <t>Vénusz NAPRAFORGÓ ÉTOLAJ 2L</t>
  </si>
  <si>
    <t>Diamant kristálycukor 1kg</t>
  </si>
  <si>
    <t>Diamant porcukor 500g</t>
  </si>
  <si>
    <t>Nagyi Titka süteményliszt kelt 1kg</t>
  </si>
  <si>
    <t>Riceland gyors rizs előfőzött 250g</t>
  </si>
  <si>
    <t>Tasty kókuszreszelék 100g</t>
  </si>
  <si>
    <t>Cerbona epres müzli 200g</t>
  </si>
  <si>
    <t>Coop NAPRAFORGÓ ÉTOLAJ 2L</t>
  </si>
  <si>
    <t>Knusperland levesgyöngy 200g</t>
  </si>
  <si>
    <t>Mester A minőségű rizs 1Kg</t>
  </si>
  <si>
    <t>Agri Corn kukoricadara 500g</t>
  </si>
  <si>
    <t>Burg Ételecet 1l 20%</t>
  </si>
  <si>
    <t>Coop búzadara 1kg</t>
  </si>
  <si>
    <t>Coop felezett szilvabefőtt 385g</t>
  </si>
  <si>
    <t>Coop só jódozott vákuum 1kg</t>
  </si>
  <si>
    <t>Delishine jázmin rizs 400g</t>
  </si>
  <si>
    <t>Excelsior sárgabarack befőtt light 850ml</t>
  </si>
  <si>
    <t>Knorr tészta tejszínes sajtos 153g</t>
  </si>
  <si>
    <t>Koronás porcukor 500g</t>
  </si>
  <si>
    <t>Lagris hosszú szemű 250g</t>
  </si>
  <si>
    <t>Riceland jázmin rizs 250g</t>
  </si>
  <si>
    <t>Szerencsi tortabevonó tej 100g</t>
  </si>
  <si>
    <t>Chef ételecet 10% 1L</t>
  </si>
  <si>
    <t>Coop A rizs 1kg állótasakos</t>
  </si>
  <si>
    <t>Coop B rizs 1kg</t>
  </si>
  <si>
    <t>Dr.Oetker gála krémpuding csoki 104g</t>
  </si>
  <si>
    <t>Dr.Oetker gála krémpuding vanília 80g</t>
  </si>
  <si>
    <t>Fit zabkása chia maggal,epres 65g</t>
  </si>
  <si>
    <t>Kalas tengeri só jódozott, görög 400g</t>
  </si>
  <si>
    <t>Kofa levesgyöngy 200g</t>
  </si>
  <si>
    <t>Lagris lencse 400g</t>
  </si>
  <si>
    <t>Maggi tészta pikáns thai 128g</t>
  </si>
  <si>
    <t>Paco diópótló keverék 250g</t>
  </si>
  <si>
    <t>Ripsz ropsz puff.rizs sós 100g</t>
  </si>
  <si>
    <t>Só 7001 finom párolt só 1kg</t>
  </si>
  <si>
    <t>Vénusz étolaj D-vitamin 1l</t>
  </si>
  <si>
    <t>Coop A rizs 1kg</t>
  </si>
  <si>
    <t>Coop Tarhonya 4 toj. 500g</t>
  </si>
  <si>
    <t>Coop carmen pomace olívaolaj 1l</t>
  </si>
  <si>
    <t>Coop fehérbab 500g</t>
  </si>
  <si>
    <t>Coop jó nekem extra szűz olivaolaj 250ml</t>
  </si>
  <si>
    <t>Dr.Oetker puding 2x40g puncs</t>
  </si>
  <si>
    <t>Dulcit sweete édesítőtab. 140szem</t>
  </si>
  <si>
    <t>Floriol étolaj e-vitaminnal 1liter</t>
  </si>
  <si>
    <t>Kalifa Étkezési Tarkabab 500g</t>
  </si>
  <si>
    <t>Kalifa Kókuszreszelék 100g</t>
  </si>
  <si>
    <t>Lagris hosszúszemű rizs főzőtasakos 480g</t>
  </si>
  <si>
    <t>Maggi forróbögre tyúkhús 12g</t>
  </si>
  <si>
    <t>Maggi pár perc csirkekrém 16g</t>
  </si>
  <si>
    <t>Maggi tészta bakonyi gombás 156g</t>
  </si>
  <si>
    <t>Maggi tészta indiai curry 118g</t>
  </si>
  <si>
    <t>Riceland kerekszemű rizs 500g</t>
  </si>
  <si>
    <t>Só 7001 finom párolt jódozott 1kg</t>
  </si>
  <si>
    <t>Só konyha finom 1kg</t>
  </si>
  <si>
    <t>Thymos fahéjas cukor 12g</t>
  </si>
  <si>
    <t>Univer light majonéz 420g</t>
  </si>
  <si>
    <t>7001 só adalékmentes 1kg párolt</t>
  </si>
  <si>
    <t>Backmit darált mák 200g</t>
  </si>
  <si>
    <t>COOP SZÍNESBAB 500G</t>
  </si>
  <si>
    <t>Chef ételecet 15% 1L</t>
  </si>
  <si>
    <t>Coop teaízesítő tabletta 20g</t>
  </si>
  <si>
    <t>Dr.Oetker dekor gyöngy fehér 30g</t>
  </si>
  <si>
    <t>Dr.Oetker tápiókapuding málna 50g</t>
  </si>
  <si>
    <t>Franz j. extra szűz olivaolaj 500ml</t>
  </si>
  <si>
    <t>Globus ketchup 485g</t>
  </si>
  <si>
    <t>Jóljár dzsem sárgabarack 500g</t>
  </si>
  <si>
    <t>Jóljár dzsem vegyesgyümölcs 500g</t>
  </si>
  <si>
    <t>Knorr tészta paradicsomos-mozzarel.163g</t>
  </si>
  <si>
    <t>Lagris gyors rizs 2x125g</t>
  </si>
  <si>
    <t>Lagris tarkabab 400g</t>
  </si>
  <si>
    <t>Maggi tészta négysajtos 146g</t>
  </si>
  <si>
    <t>Nagy és fia maci akácméz 250g</t>
  </si>
  <si>
    <t>Nagyi titka teljeskiörlésű liszt 1kg</t>
  </si>
  <si>
    <t>Niké tengeri só görög 1kg</t>
  </si>
  <si>
    <t>Paniero panírmorzsa 500g</t>
  </si>
  <si>
    <t>Riceland barna rizs 250g</t>
  </si>
  <si>
    <t>Riceland barna rizs előgőzölt 500g</t>
  </si>
  <si>
    <t>Riceland hosszúszemű A rizs 500g</t>
  </si>
  <si>
    <t>Ripsz ropsz puff.búza natúr 100g</t>
  </si>
  <si>
    <t>Risasia hosszúszemű rizs 1kg</t>
  </si>
  <si>
    <t>Só mama főztje vákuum 1kg</t>
  </si>
  <si>
    <t>Uncle Ben's rizs hosszú szemű 250g</t>
  </si>
  <si>
    <t>Vanilincukor 250g diamant</t>
  </si>
  <si>
    <t>NESTLÉ COOKIE CRIPS CSOKIS GABONAP. 225G</t>
  </si>
  <si>
    <t>Toll többféle</t>
  </si>
  <si>
    <t>Kínai áru nonfood 6-os kod</t>
    <phoneticPr fontId="3" type="noConversion"/>
  </si>
  <si>
    <t>Szatyor 9Ft/db</t>
  </si>
  <si>
    <t>Korona BIZTONSÁGI GYUFA HAGYOMÁNYOS</t>
  </si>
  <si>
    <t>Veled szemeteszsák 60x70cm 60l</t>
  </si>
  <si>
    <t>Asztali naptár 2020.évi TA24</t>
  </si>
  <si>
    <t>Mosogatószivacs 2db kókusz</t>
  </si>
  <si>
    <t>Tea mécses /db  1237-es kód</t>
  </si>
  <si>
    <t>2020 asztali naptár 189*134mm</t>
  </si>
  <si>
    <t>Boríték LA/4 kód:1261</t>
  </si>
  <si>
    <t>Uhu pillanatragasztó 2gr super glue</t>
  </si>
  <si>
    <t>Szemetes zsák 25l</t>
  </si>
  <si>
    <t>Union Knights ceruzaelem AA</t>
  </si>
  <si>
    <t>Boríték simia kicsi kód:1260</t>
  </si>
  <si>
    <t>Asztali naptár 2020 évi TA21</t>
  </si>
  <si>
    <t>Befőző Gumigyűrű 10g</t>
  </si>
  <si>
    <t>Bonus mosogatószivacs 5db-os</t>
  </si>
  <si>
    <t>Bonus mosogatószivacs formázott 3db-os</t>
  </si>
  <si>
    <t>Doboz bella mini 2</t>
  </si>
  <si>
    <t>Felmosófej eco 160g fehér</t>
  </si>
  <si>
    <t>Gumis szemetes lapát</t>
  </si>
  <si>
    <t>Coop öko táska Makaron</t>
  </si>
  <si>
    <t>Doboz ovál műanyag 0,5l</t>
  </si>
  <si>
    <t>Pentack pillanatragasztó 3g</t>
  </si>
  <si>
    <t>Speciális normál izzó 100W</t>
  </si>
  <si>
    <t>Bonus mosogatószivacs  10db</t>
  </si>
  <si>
    <t>Clean fürdőszivacs</t>
  </si>
  <si>
    <t>Cobor fogkefe</t>
  </si>
  <si>
    <t>Cobor fogkefe E-801</t>
  </si>
  <si>
    <t>Doboz bella közepes lapos</t>
  </si>
  <si>
    <t>Füzet A/4 kockás 87-32</t>
  </si>
  <si>
    <t>Radír háromszög TRI342</t>
  </si>
  <si>
    <t>Sárkefe</t>
  </si>
  <si>
    <t>Sony LR03 micro elem AAA 1,5V</t>
  </si>
  <si>
    <t>Sony LR03 microelem AAA 1,5V 4db-os</t>
  </si>
  <si>
    <t>Sony ceruzaelem 1,5V AA 4db-os</t>
  </si>
  <si>
    <t>Toll</t>
  </si>
  <si>
    <t>Veled szemeteszsák 50x60cm 30l</t>
  </si>
  <si>
    <t>Bella doboz mini 0,25l</t>
  </si>
  <si>
    <t>Bella müa. doboz nagy lapos</t>
  </si>
  <si>
    <t>Bonusz masszázs fürdőszivacs</t>
  </si>
  <si>
    <t>Füzet A/5 sima 20-32</t>
  </si>
  <si>
    <t>Füzet A/5 vonalas 12-32</t>
  </si>
  <si>
    <t>Füzet vonalas A5 32 lapos</t>
  </si>
  <si>
    <t>Krómos felmosónyél 130 cm</t>
  </si>
  <si>
    <t>Sony platinum microelem lr03 4db-os</t>
  </si>
  <si>
    <t>Speciális normál izzó 40W</t>
  </si>
  <si>
    <t>Speciális normál izzó 60W</t>
  </si>
  <si>
    <t>Spirál súroló 2db-os</t>
  </si>
  <si>
    <t>Spriál füzet vonalas</t>
  </si>
  <si>
    <t>Tungsram halogén gömb izzó 42W E14</t>
  </si>
  <si>
    <t>Tungsram halogén gyertya izzó 42W E14</t>
  </si>
  <si>
    <t>Tungsram halogén izzó 70W E27</t>
  </si>
  <si>
    <t>Cleanic P.Effect vattakorong 80db</t>
  </si>
  <si>
    <t>Csomagolópapír karácsonyi</t>
  </si>
  <si>
    <t>Doboz bella magas</t>
  </si>
  <si>
    <t>Doboz ovál műanyag 1l</t>
  </si>
  <si>
    <t>Doboz ovál műanyag 3l.</t>
  </si>
  <si>
    <t>Felmosóvödör+csavaró ovál 13l</t>
  </si>
  <si>
    <t>Füzet A/5 hangjegy 36-32</t>
  </si>
  <si>
    <t>Fűszertartó üveg 500ml M-220 BB81</t>
  </si>
  <si>
    <t>Gumikesztyű</t>
  </si>
  <si>
    <t>Hűtőtasak 25*35cm 2L 60db</t>
  </si>
  <si>
    <t>KORONA BIZTONSÁGI GYUFA HOSSZÚ</t>
  </si>
  <si>
    <t>Kelly alufólia 20m</t>
  </si>
  <si>
    <t>Lavor 15L</t>
  </si>
  <si>
    <t>Lavor 3L</t>
  </si>
  <si>
    <t>Sony CR2016 elem</t>
  </si>
  <si>
    <t>Sony CR2032 gomb elem 3V</t>
  </si>
  <si>
    <t>Sony R20 féltartós góliát 1,5V</t>
  </si>
  <si>
    <t>Sony féltartós elem AAA 1,5V 4 db-os</t>
  </si>
  <si>
    <t>Tároló doboz, 3L.</t>
  </si>
  <si>
    <t>Tungsram halogén gömb 30W E14</t>
  </si>
  <si>
    <t>Tungsram halogén gyertya izzó 30W E14</t>
  </si>
  <si>
    <t>Uhu pillanatragasztó jumbo 3gr</t>
  </si>
  <si>
    <t>Xwatt led izzó normál E27 7W</t>
  </si>
  <si>
    <t>wc kefe</t>
  </si>
  <si>
    <t>Alufólia 10 méteres</t>
  </si>
  <si>
    <t>B.B. kispohár</t>
  </si>
  <si>
    <t>Balerina felmosófej mikr.</t>
  </si>
  <si>
    <t>Bella doboz közepes</t>
  </si>
  <si>
    <t>Bella doboz mini 3</t>
  </si>
  <si>
    <t>Coop sütőzacskó 35*43cm 5db-os</t>
  </si>
  <si>
    <t>Croma Partvis</t>
  </si>
  <si>
    <t>Csilla tálca nagy</t>
  </si>
  <si>
    <t>Csomagoló papír</t>
  </si>
  <si>
    <t>Doboz bella mini 4</t>
  </si>
  <si>
    <t>Evőeszköz tartó kicsi 33x26</t>
  </si>
  <si>
    <t>Extra hosszú gumikesztyű</t>
  </si>
  <si>
    <t>Ételhordó 3 részes</t>
  </si>
  <si>
    <t>Ételhordó 3részes 1 személyes</t>
  </si>
  <si>
    <t>Felmosónyél 130cm fehér</t>
  </si>
  <si>
    <t>Füzet a/5 vonalas 16-32</t>
  </si>
  <si>
    <t>Fűszertartó üveg szögletes 340ml</t>
  </si>
  <si>
    <t>Jégkaparó</t>
  </si>
  <si>
    <t>Kávés pohár műanyag</t>
  </si>
  <si>
    <t>Lapát hosszúnyelű többféle</t>
  </si>
  <si>
    <t>Masculan óvszer 3db</t>
  </si>
  <si>
    <t>Mop felmosófej</t>
  </si>
  <si>
    <t>Ökotáska karácsonyi</t>
  </si>
  <si>
    <t>Öngyújtó</t>
  </si>
  <si>
    <t>Palmolive tusf. 250ml</t>
  </si>
  <si>
    <t>Paloma autóillatosító</t>
  </si>
  <si>
    <t>Paloma ego autóillatosító</t>
  </si>
  <si>
    <t>Paloma emo autóillatosító</t>
  </si>
  <si>
    <t>Plan szívószál 100db-os</t>
  </si>
  <si>
    <t>Pohár - kicsi</t>
  </si>
  <si>
    <t>Ruhaszárító</t>
  </si>
  <si>
    <t>Smart-line utazó körömkefe dupla</t>
  </si>
  <si>
    <t>Sony CR2025 elem</t>
  </si>
  <si>
    <t>Sony R14 féltartós baby elem 1,5V</t>
  </si>
  <si>
    <t>Szobai virágpermetező 1l</t>
  </si>
  <si>
    <t>Tungsram halogén izzó 30W</t>
  </si>
  <si>
    <t>U.K. gömb izzó 5W E27</t>
  </si>
  <si>
    <t>U.K. gömb izzó 7W E27</t>
  </si>
  <si>
    <t>Uzsonnás tasak 100db 30*40</t>
  </si>
  <si>
    <t>Üvegmosó kefe 0.3l</t>
  </si>
  <si>
    <t>Xwatt halogén izzó gyertya 42w</t>
  </si>
  <si>
    <t>Pohárr 2dl 25db</t>
  </si>
  <si>
    <t>Coop ökotáska magyarország</t>
  </si>
  <si>
    <t>Perfex wc papír 4tek 3 rétegű</t>
  </si>
  <si>
    <t>Sindy kéztörlő 2 tekercs</t>
  </si>
  <si>
    <t>Zewa papírzsebkendő 100db-os aloevera</t>
  </si>
  <si>
    <t>ZEWA DELUX PAPÍRZSEBKENDŐ NORM.90DB-OS</t>
  </si>
  <si>
    <t>Sindy papírzsepi spring floewrs 100db-os</t>
  </si>
  <si>
    <t>Perfex wc papír 8tek+2tek 3rétegű</t>
  </si>
  <si>
    <t>Sindy papírtörlő 1tek.</t>
  </si>
  <si>
    <t>Sindy papírzsebkendő classic 100db 3rét</t>
  </si>
  <si>
    <t>Perfex cotton like pure baby 10tek.</t>
  </si>
  <si>
    <t>Katica papírzsebkendő 80db</t>
  </si>
  <si>
    <t>Tento papírzsebkendő 10*10db</t>
  </si>
  <si>
    <t>Sindy papírzsebkendő 100db jázmin</t>
  </si>
  <si>
    <t>TENTO CLASSIC PAPÍRZSEBKEN.3R.10DB-OS</t>
  </si>
  <si>
    <t>Coala kéztörlő 2rétegű 2 tekercs</t>
  </si>
  <si>
    <t>Perfex wc papír 24tek. 3réteg</t>
  </si>
  <si>
    <t>Softino papírzsebkendő citrom 100db</t>
  </si>
  <si>
    <t>Tento cube dobozos papírzsebkendő 54db</t>
  </si>
  <si>
    <t>Zewa deluxe winter perfume 16db 3rét</t>
  </si>
  <si>
    <t>Lilla duo kéztörlő 2 tekercs 2réteg</t>
  </si>
  <si>
    <t>Tento dobozos papírzsebkendő 70db</t>
  </si>
  <si>
    <t>Perfex cotton comfortline toalettp.16db</t>
  </si>
  <si>
    <t>Perfex Wc papír Camomile 8+2tek.3réteg</t>
  </si>
  <si>
    <t>Naturella ult. maxi 8</t>
  </si>
  <si>
    <t>Zewa deluxe barack 16tek</t>
  </si>
  <si>
    <t>Perfex szalvéta 1 rétegű 33*33cm 100db</t>
  </si>
  <si>
    <t>Softimo papírzsebkendő kamilla 100db</t>
  </si>
  <si>
    <t>Softimo szalvéta 33*33 gyümölcs 40db</t>
  </si>
  <si>
    <t>Softimo papírzsebkendő 100db-os többféle</t>
  </si>
  <si>
    <t>Aquella törlőkendő citrom illattal 15db</t>
  </si>
  <si>
    <t>Müller papírzsebkendő aloe vera 100db</t>
  </si>
  <si>
    <t>Müller papírzsebkendő barack 100db</t>
  </si>
  <si>
    <t>Szalvéta 33*33cm 40db Torino</t>
  </si>
  <si>
    <t>ZEWA DELUXE PAPÍRZSEBK.KAMILLA 90DB-OS</t>
  </si>
  <si>
    <t>Zewa deluxe top aroma 16tek 3rét</t>
  </si>
  <si>
    <t>Léna papírzsebkendő 90db-os</t>
  </si>
  <si>
    <t>Müller papírzsebkendő bubble gum 100db</t>
  </si>
  <si>
    <t>Szalvéta 33*33cm Milánó 40db</t>
  </si>
  <si>
    <t>Softimo papírzsepkendő 100db</t>
  </si>
  <si>
    <t>Zewa Delux 16tek.3rét. jasmin</t>
  </si>
  <si>
    <t>Zewa delux 16 tek 3rét. wc papír</t>
  </si>
  <si>
    <t>Diszcsomagoló papír 70*200cm</t>
  </si>
  <si>
    <t>Zsemle/ kifli 60g</t>
  </si>
  <si>
    <t>Császár zsemle 60g</t>
  </si>
  <si>
    <t>Sajttal szórt kifli/telj.k.vágott zsemle</t>
  </si>
  <si>
    <t>Csömöri búzakenyér szeletelt 0,5kg</t>
  </si>
  <si>
    <t>Túrós batyu/csigák/ízes levél</t>
  </si>
  <si>
    <t>Ciabatta/Tigris bagett fokhagymás 120g</t>
  </si>
  <si>
    <t>Szezámmagos rozsos stangli 50g</t>
  </si>
  <si>
    <t>Bagett 150g</t>
  </si>
  <si>
    <t>Sajtos/tepertős pogácsa 140g</t>
  </si>
  <si>
    <t>Csömöri búzakenyér szeletelt 1kg</t>
  </si>
  <si>
    <t>Csömöri búzakenyér 0,5kg</t>
  </si>
  <si>
    <t>Puffancs 100g</t>
  </si>
  <si>
    <t>Csömöri félbarna kenyér szeletelt 1kg</t>
  </si>
  <si>
    <t>Csömöri búzakenyér/félbarna kenyér 1kg</t>
  </si>
  <si>
    <t>Házi rétes többféle</t>
  </si>
  <si>
    <t>Molnárka 60g</t>
  </si>
  <si>
    <t>Fonott kalács/mazsolás kalács 0,25kg</t>
  </si>
  <si>
    <t>Káposztával töltött hasé 210g</t>
  </si>
  <si>
    <t>Lekváros tekercs 164kód</t>
  </si>
  <si>
    <t>Rusztikus hagymás kenyér/rozs kenyér0,5k</t>
  </si>
  <si>
    <t>Baconos csavart 150g</t>
  </si>
  <si>
    <t>Csömöri rozsos kenyér szeletelt 0,5kg</t>
  </si>
  <si>
    <t>Fonott kalács 0,5kg</t>
  </si>
  <si>
    <t>Virslivel töltött croissant 100g</t>
  </si>
  <si>
    <t>Colussi 5 gabonás kenyér 400g</t>
  </si>
  <si>
    <t>Kókuszgolyó/csokigolyó kód: 66</t>
  </si>
  <si>
    <t>Pite többféle</t>
  </si>
  <si>
    <t>Isler/db 167kód</t>
  </si>
  <si>
    <t>Virslis stangli 90g</t>
  </si>
  <si>
    <t>Fittnes leveles sonkás/szilvás 150g</t>
  </si>
  <si>
    <t>Sajtos/virslis roló</t>
  </si>
  <si>
    <t>Kenyér többféle  kód:249</t>
  </si>
  <si>
    <t>Sonkás-gombás pizza 240g</t>
  </si>
  <si>
    <t>Sajtos pogácsa szittya 91</t>
  </si>
  <si>
    <t>Colussi fehér kenyér 400g</t>
  </si>
  <si>
    <t>Holland reggeli 100g</t>
  </si>
  <si>
    <t>Bejgli marcipános 0,5kg</t>
  </si>
  <si>
    <t>Colussi durum kenyér 400g</t>
  </si>
  <si>
    <t>Colussi teljeskiörlésű kenyér 400g</t>
  </si>
  <si>
    <t>Pékáru többféle 399Ft 349kód</t>
  </si>
  <si>
    <t>TÚRÓS RÁCSOS FAGY.DB.65</t>
  </si>
  <si>
    <t>Bejgli meggyes-mákos 500g kód:33</t>
  </si>
  <si>
    <t>Linzer rozs cipó 400g</t>
  </si>
  <si>
    <t>Linzer Pataji cipó 0,5kg</t>
  </si>
  <si>
    <t>Linzer tigris kenyér 0,75kg</t>
  </si>
  <si>
    <t>Linzer toast kenyér 0,5kg</t>
  </si>
  <si>
    <t>Linzer teljeskiörlésű búzakenyér 500g</t>
  </si>
  <si>
    <t>Linzer teljeskiörlésű kenyér 500g</t>
  </si>
  <si>
    <t>Linzer kalocsai barna kenyér 0,5kg</t>
  </si>
  <si>
    <t>Linzer édes/sós fonott kalács 0,25kg</t>
  </si>
  <si>
    <t>Linzer rozsos kenyér 750g</t>
  </si>
  <si>
    <t>Linzer kakaós kalács 0,5kg</t>
  </si>
  <si>
    <t>Linzer sötét magvas kenyér szel 0,5kg</t>
  </si>
  <si>
    <t>Linzer kakaós kuglóf 0,2kg</t>
  </si>
  <si>
    <t>Linzer kalocsai fehér kenyér szel. 0,5kg</t>
  </si>
  <si>
    <t>Linzer édes/sós fonott kalács 0,5kg</t>
  </si>
  <si>
    <t>Linzer gubakifli</t>
  </si>
  <si>
    <t>Linzer teljes kiörlésű tönköly zsemle 5d</t>
  </si>
  <si>
    <t>Szovjetszkoje Igr. Muskotály pezs. 0.75L</t>
  </si>
  <si>
    <t>Törley kölyök pezsgő szamóca 0,75l</t>
  </si>
  <si>
    <t>BB SPUMANTE PEZSGŐ ÉDES EGYUT.PAL. 0.75L</t>
  </si>
  <si>
    <t>Merry christmas&amp;happy new year pezsgő</t>
  </si>
  <si>
    <t>Szovjetszkoje Igr. száraz pezsgő 0.75L</t>
  </si>
  <si>
    <t>Süsü gyerekpezsgő szőlő 0,75l</t>
  </si>
  <si>
    <t>TÖRLEY CHARMANT DOUX PEZSGŐ EGYUT. 0.75L</t>
  </si>
  <si>
    <t>TÖRLEY GÁLA PEZSGŐ SZÁRAZ EGYUT. 0.75L</t>
  </si>
  <si>
    <t>Törley kölyök barack pezsgő 0,75l</t>
  </si>
  <si>
    <t>BB sec száraz pezsgő 0,75l</t>
  </si>
  <si>
    <t>Henkel piccolo száraz pezsgő 0,2l</t>
  </si>
  <si>
    <t>Sharky gyerekpezsgő kékszőlő</t>
  </si>
  <si>
    <t>Sharky gyerekpezsgő vadmálna</t>
  </si>
  <si>
    <t>Süsü gyerekpezsgő meggy 0,75l</t>
  </si>
  <si>
    <t>Szovjetszkoje Igr. édes pezsgő 0.75L</t>
  </si>
  <si>
    <t>Szovjetszkoje Igr. kül.száraz pezs.0.75L</t>
  </si>
  <si>
    <t>TÖRLEY FORTUNA PEZSGŐ ÉD.EGYUT.P. 0.75L</t>
  </si>
  <si>
    <t>TÖRLEY MUSCATELLER ÉDES EGYUT.PAL. 0.75L</t>
  </si>
  <si>
    <t>Tini pezsgő málna 0,75l</t>
  </si>
  <si>
    <t>Törley alkoholmentes pezsgő 0,75l</t>
  </si>
  <si>
    <t>Törley charmant rouge édes pezsgő 0,75l</t>
  </si>
  <si>
    <t>Törley pezsgő édes 0,2l</t>
  </si>
  <si>
    <t>Tolle Trapista sajt szel. 125g</t>
  </si>
  <si>
    <t>Tolle trappista sajt /kg  kód:601</t>
  </si>
  <si>
    <t>Trappista sajt /kg Kód: 933</t>
  </si>
  <si>
    <t>Coop Trappista szel 125g</t>
  </si>
  <si>
    <t>Coop Trappista füstölt 125g szel.</t>
  </si>
  <si>
    <t>Coop Edami sajt 125g szelet</t>
  </si>
  <si>
    <t>Mizo edami szeletelt sajt 125g</t>
  </si>
  <si>
    <t>Camping tömlős sajt fokhagymás 100g</t>
  </si>
  <si>
    <t>Boci tömlős sajt sonkás 100g</t>
  </si>
  <si>
    <t>Camping lapka natur 100g</t>
  </si>
  <si>
    <t>Tolle kördobozos sajt natúr 140g</t>
  </si>
  <si>
    <t>Fallini parmezán sajt reszelt 80g</t>
  </si>
  <si>
    <t>Mizo trappista sajt szeletelt 125g</t>
  </si>
  <si>
    <t>Szarvasi mozzarela sajt mini 100g</t>
  </si>
  <si>
    <t>Coop kördobozos sajt szalámis 140g</t>
  </si>
  <si>
    <t>Tolle edami sajt szeletelt 125g</t>
  </si>
  <si>
    <t>Apetina feta sajt Arla 200g classic</t>
  </si>
  <si>
    <t>Fitaki lágy sajt 200g</t>
  </si>
  <si>
    <t>President camembert zöldfűszeres 90g</t>
  </si>
  <si>
    <t>Tolle kördobozos sajt sonkás 140g</t>
  </si>
  <si>
    <t>Alpinetta mozzarella König-Trade 100g</t>
  </si>
  <si>
    <t>Camping lapka ementáli 100g</t>
  </si>
  <si>
    <t>Lotti sajt sonkás kördobozos 140g</t>
  </si>
  <si>
    <t>Zorba krémfehérsajt mizo 250g</t>
  </si>
  <si>
    <t>Talléros füstölt sajt/kg kód:883</t>
  </si>
  <si>
    <t>Lotti trappista sajt/kg kód:785</t>
  </si>
  <si>
    <t>Frico gouda sajt/kg  kód:820</t>
  </si>
  <si>
    <t>Mindennap trappista sajt /kg kód: 825</t>
  </si>
  <si>
    <t>Almapapr.cser.papr.pfefferoni/kg kód:772</t>
  </si>
  <si>
    <t>Káposztával töltött paprika/kg kód:775</t>
  </si>
  <si>
    <t>BONDUELLE CSEM.UBORKA 5-8CM 680G 370G</t>
  </si>
  <si>
    <t>Vecsési ecetes gyöngyhagyma/kg kód:773</t>
  </si>
  <si>
    <t>Kőbányai SÖR DOBOZOS 0.5L</t>
  </si>
  <si>
    <t>Dreher Gold sör 5% 0,5L</t>
  </si>
  <si>
    <t>Arany ászok sör dobozos 0.5liter</t>
  </si>
  <si>
    <t>Heineken SÖR DOBOZOS 0.5L</t>
  </si>
  <si>
    <t>Riesenbrau dobozos sör 0,5l</t>
  </si>
  <si>
    <t>PILSNER URQUELL SÖR DOBOZOS 0.5L</t>
  </si>
  <si>
    <t>Löwenbrau SÖR DOBOZOS 0.5L</t>
  </si>
  <si>
    <t>Rákóczi világos sör dobozos 0,5l</t>
  </si>
  <si>
    <t>Hofbrau Lager dobozos sör 0,5l</t>
  </si>
  <si>
    <t>SOPRONI 1895 SÖR DOBOZOS 0.5L</t>
  </si>
  <si>
    <t>Borsodi világos sör dob. 0.5liter</t>
  </si>
  <si>
    <t>Soproni dobozos sör 0,5liter</t>
  </si>
  <si>
    <t>Dreher Bak dob. 0.5l 7.3%</t>
  </si>
  <si>
    <t>Soproni óvatos duhaj meggy ale 4% 0,5L</t>
  </si>
  <si>
    <t>DREHER HIDEGKOMLÓS SÖR 0,5l</t>
  </si>
  <si>
    <t>Kozel prémium sör 4,6% 0,5l</t>
  </si>
  <si>
    <t>GÖSSER DOBOZOS SÖR 0.5L</t>
  </si>
  <si>
    <t>Heineken sör 5% 0,5l üveges+üveg</t>
  </si>
  <si>
    <t>Kőbányai 2 literes sör pet</t>
  </si>
  <si>
    <t>Royal cider meggy ízű 4,7% 1L</t>
  </si>
  <si>
    <t>Somersby pear cider 0,33l 4,5%</t>
  </si>
  <si>
    <t>SOPRONI FEKETE DÉMON DOB. 0.5L</t>
  </si>
  <si>
    <t>Royal cider kékáfonya 4,7% 1l</t>
  </si>
  <si>
    <t>Steffl sör dobozos 0.5liter</t>
  </si>
  <si>
    <t>Borsodi bivaly doboz 0,5l</t>
  </si>
  <si>
    <t>Corona Extra sör 0.355l 4.5%</t>
  </si>
  <si>
    <t>Stella artois leuven 0,5le alk.5%</t>
  </si>
  <si>
    <t>Royal cider zöldalma 4,7% 1l</t>
  </si>
  <si>
    <t>ARANY ÁSZOK SÖR PET PALACK 1.5L</t>
  </si>
  <si>
    <t>Beck's sör 0,5l dob.</t>
  </si>
  <si>
    <t>Dreher hidegkomlós félbarna sör 0,5l</t>
  </si>
  <si>
    <t>La vie cider blueberry 4,7% 275ml</t>
  </si>
  <si>
    <t>Soproni meggy-citrom 1,4% 0,5l</t>
  </si>
  <si>
    <t>Heineken alk.mentes 0.5l</t>
  </si>
  <si>
    <t>La vie cider eper-lime 4,7% 0,275l</t>
  </si>
  <si>
    <t>Soproni óvatos duhaj apa dob.sör 0,5l</t>
  </si>
  <si>
    <t>Staropramen dark dobozos sör 0,5l</t>
  </si>
  <si>
    <t>Royal cider körte 4,7% 1l</t>
  </si>
  <si>
    <t>Royal cider szilva ízű 4,7% 1L</t>
  </si>
  <si>
    <t>Somersby apple cider 0,33l 4.5%</t>
  </si>
  <si>
    <t>Strongbow Gold Apple 0.33l</t>
  </si>
  <si>
    <t>Gösser grapefruit alk.mentes 0.5l</t>
  </si>
  <si>
    <t>Heineken sör dobozos 0,33l  5%</t>
  </si>
  <si>
    <t>La vie cider green apple 4,7% 275ml</t>
  </si>
  <si>
    <t>Miller genuine draft sör 4,7% 0,5l</t>
  </si>
  <si>
    <t>Soproni Bodza-Citrom 0.5l  0,0%</t>
  </si>
  <si>
    <t>Soproni Zéró Citrom dob. 0% 0,5l</t>
  </si>
  <si>
    <t>Apps Apple cider körte 0,33L 5,9%</t>
  </si>
  <si>
    <t>Arany ÁSZOK SÖR ÜVEGES 0.5L+ü</t>
  </si>
  <si>
    <t>Arany fácán sör dob. 4% 0,5l</t>
  </si>
  <si>
    <t>Dreher gold sör üveges 5% 0,5l+üveg</t>
  </si>
  <si>
    <t>Rákóczi sör 2l. pet</t>
  </si>
  <si>
    <t>Staropramen dob sör 0,5l</t>
  </si>
  <si>
    <t>Dreher 24 gránátalma 0,5l</t>
  </si>
  <si>
    <t>Edelweiss búzasör 5,3% 0,5l</t>
  </si>
  <si>
    <t>Kőbányai SÖR ÜVEGES 0.5L +üvegbetét</t>
  </si>
  <si>
    <t>Krusovice barna sör 3,8% 0,5l dobozos</t>
  </si>
  <si>
    <t>La vie cider pear 4,7% 275ml</t>
  </si>
  <si>
    <t>Soproni Ipa dob. sör 4.8% 0.5l</t>
  </si>
  <si>
    <t>Soproni citromos sör 1,4%0,5L</t>
  </si>
  <si>
    <t>Strongbow P.gyüm/Alma 0.33l</t>
  </si>
  <si>
    <t>Mátyás keserű 0.05l</t>
  </si>
  <si>
    <t>Mézes barack likőr pet 24,5% 0,05l</t>
  </si>
  <si>
    <t>Royal vodka 0,1l 37,5%</t>
  </si>
  <si>
    <t>Pannónia Vodka 0,05L 37,5%</t>
  </si>
  <si>
    <t>Mátyás keserű szilva likőr 0,005L</t>
  </si>
  <si>
    <t>Royal vodka 0,2l 37,5%</t>
  </si>
  <si>
    <t>Kunsági cherry 0,05l</t>
  </si>
  <si>
    <t>Zubrowka biala vodka 37% 0,2l</t>
  </si>
  <si>
    <t>Zubrowka Biala vodka 0,1L 37,5ř%</t>
  </si>
  <si>
    <t>Jagermeister 0,02l 35%</t>
  </si>
  <si>
    <t>Mézes Körte 0.2l</t>
  </si>
  <si>
    <t>Kunsági waterloo szeszesital 0,05l</t>
  </si>
  <si>
    <t>Mézes körte likőr pet 24,5% 0,05l</t>
  </si>
  <si>
    <t>Kortyos mézes körte 24% 0,05l</t>
  </si>
  <si>
    <t>Mátyás keserű likőr 0,2l</t>
  </si>
  <si>
    <t>Royal vodka meggy 0,1L</t>
  </si>
  <si>
    <t>Somersby elderflower-lime 0,33l</t>
  </si>
  <si>
    <t>Kalinka vodka 0,2l 37,5%</t>
  </si>
  <si>
    <t>Royal vodka original 0,5l 37,5%</t>
  </si>
  <si>
    <t>Royal vodka szilva 30% 1dl</t>
  </si>
  <si>
    <t>Somersby Blueberry 0.33l</t>
  </si>
  <si>
    <t>Zubrowka biala vodka 0,5l 37,5%</t>
  </si>
  <si>
    <t>Mátyás keserű 0,2L 33% díszüveg</t>
  </si>
  <si>
    <t>KALINKA VODKA 0.5L</t>
  </si>
  <si>
    <t>Pannónia Vodka 0.2l 37.5%</t>
  </si>
  <si>
    <t>Royal vodka meggy 0,2l 30%</t>
  </si>
  <si>
    <t>Trois tours 0,2L 34,5%</t>
  </si>
  <si>
    <t>Barack pet 33% 0,05l</t>
  </si>
  <si>
    <t>Jagermeister 0.2l 35%</t>
  </si>
  <si>
    <t>Pincejava bor 2l pet vörös félédes</t>
  </si>
  <si>
    <t>Finlandia 0.2l</t>
  </si>
  <si>
    <t>Royal vodka mogyoró 30% 1dl</t>
  </si>
  <si>
    <t>Somersby blackberry 0,33l</t>
  </si>
  <si>
    <t>ZWACK UNICUM 0.2L 40%</t>
  </si>
  <si>
    <t>Bolyhos ágyas cigánymeggy pálinka 0,04l</t>
  </si>
  <si>
    <t>Bolyhos ágyas kajszibarack pálinka 0,04l</t>
  </si>
  <si>
    <t>Kunság-szesz körte 33% 0,05l pet</t>
  </si>
  <si>
    <t>Pannónia vodka 1L 37.5%</t>
  </si>
  <si>
    <t>Unicum 0,05l 40%</t>
  </si>
  <si>
    <t>Jagermeister scharf 33% 0,7l</t>
  </si>
  <si>
    <t>Mátyás keserű likőr 0,5l 24,5%</t>
  </si>
  <si>
    <t>Mézes barack 0,2l 24,5%</t>
  </si>
  <si>
    <t>Royal szilva 30% 0,2l</t>
  </si>
  <si>
    <t>Royal vodka f.ribizli 0,1L 30%</t>
  </si>
  <si>
    <t>Royal vodka mogyoró 0,2l 30%</t>
  </si>
  <si>
    <t>St hubertus 0,2l</t>
  </si>
  <si>
    <t>Tátra tea 62% 0.05l</t>
  </si>
  <si>
    <t>A.Aranya Szilva Pálinka 0.35l 38%</t>
  </si>
  <si>
    <t>BALLANTINES FINEST WHISKY 0.7L</t>
  </si>
  <si>
    <t>Bailey's krémlikőr 0,7l 17%</t>
  </si>
  <si>
    <t>Cherry 20% 0,2L likőr</t>
  </si>
  <si>
    <t>FINLANDIA VODKA 0.5L</t>
  </si>
  <si>
    <t>Fütyülős Barack 0.5L 37.5%</t>
  </si>
  <si>
    <t>Garrone fragola vermuth 0,75L 16%</t>
  </si>
  <si>
    <t>Grants 0,7l whiskey</t>
  </si>
  <si>
    <t>Jack Daniels whisky 0,05l 40%</t>
  </si>
  <si>
    <t>Jack Daniels whisky 0,7l  40%</t>
  </si>
  <si>
    <t>Jagermeister 0,5l 35%</t>
  </si>
  <si>
    <t>Jagermeister 0.7l 35%</t>
  </si>
  <si>
    <t>Jameson ír whiskey 0,7l 40%</t>
  </si>
  <si>
    <t>Jim Beam Whiskey 0,5l 40%</t>
  </si>
  <si>
    <t>Jim Beam Whisky 0,05l</t>
  </si>
  <si>
    <t>Johnnie walker red 0,5l</t>
  </si>
  <si>
    <t>Kunsági kevert 0,05l</t>
  </si>
  <si>
    <t>Kunsági körte 0,2l +üvegbetét</t>
  </si>
  <si>
    <t>Ó-Hazai Mézes Meggy 0.5L 30%</t>
  </si>
  <si>
    <t>Ó-Hazai Mézes Szilva 0.5L 30%</t>
  </si>
  <si>
    <t>Royal meggy 0,5L 30%</t>
  </si>
  <si>
    <t>Royal vodka 1l 37,5%</t>
  </si>
  <si>
    <t>Royal vodka mogyoró 0,5L 30%</t>
  </si>
  <si>
    <t>Royal vodka szilva 0,5L 30%</t>
  </si>
  <si>
    <t>Sally's csokoládé krémlikőr 0,5l 17%</t>
  </si>
  <si>
    <t>Sally's tojás krémlikőr 0,5l</t>
  </si>
  <si>
    <t>Tátra tea 22% 0.05l</t>
  </si>
  <si>
    <t>Trois Tours 0.5l 35%</t>
  </si>
  <si>
    <t>Waterloo 0,05L 33%</t>
  </si>
  <si>
    <t>ZWACK UNICUM 40% 0.5L</t>
  </si>
  <si>
    <t>Pölöskei gyüm.szörp erdei szamóca 1l</t>
  </si>
  <si>
    <t>Pölöskei bodza szörp 1liter</t>
  </si>
  <si>
    <t>Pölöskei szörp - Málna</t>
  </si>
  <si>
    <t>Szobi szörp Bodza 33% 0.7l</t>
  </si>
  <si>
    <t>Coop minden nap szörp szamóca ízű 2l</t>
  </si>
  <si>
    <t>Dino sárgabarack szörp 2liter</t>
  </si>
  <si>
    <t>Frutta max gyümölcsszörp epres 0,5l</t>
  </si>
  <si>
    <t>Frutta max gyümölcsszörp narancs 500ml</t>
  </si>
  <si>
    <t>Pölöskei trópusi gyümölcsös szőrp 1liter</t>
  </si>
  <si>
    <t>Coop minden nap szörp kiwi ízű 2l</t>
  </si>
  <si>
    <t>Coop szörp szamóca ízű csökk.en. 1,5l</t>
  </si>
  <si>
    <t>Dínó málna szörp 2liter</t>
  </si>
  <si>
    <t>Dínó narancs szörp 2liter</t>
  </si>
  <si>
    <t>Frutta max Light eper szörp 500ml</t>
  </si>
  <si>
    <t>Frutta max bodza-lime-menta szörp 500ml</t>
  </si>
  <si>
    <t>Frutta max gyümölcsszörp málna 500ml</t>
  </si>
  <si>
    <t>Frutta max gyümölcsszörp málnás 0,5l</t>
  </si>
  <si>
    <t>Frutta max gyümölcsszörp őszibarack 0,5l</t>
  </si>
  <si>
    <t>Frutta max szörp áfonya 62,5ml</t>
  </si>
  <si>
    <t>PIROSKA SZÖRP BODZA 0.7L</t>
  </si>
  <si>
    <t>Pölöskei gyüm.szörp körte-birs 1l</t>
  </si>
  <si>
    <t>Lipton ice tea zöld 2L</t>
  </si>
  <si>
    <t>LIPTON GREEN LABEL TEA 37.5G</t>
  </si>
  <si>
    <t>Coop őszibarack ízű tea 20X1.5g</t>
  </si>
  <si>
    <t>Lipton earl greytea 25X1.5g</t>
  </si>
  <si>
    <t>PICKWICK CSIPKEBOGYÓTEA EPERREL 20X2.5G</t>
  </si>
  <si>
    <t>PICKWICK TEA EPERÍZŰ 20X1.5G</t>
  </si>
  <si>
    <t>Sir morton earl grey tea 20X1.5g</t>
  </si>
  <si>
    <t>Coop tea csipkebogyó 20*3g</t>
  </si>
  <si>
    <t>Coop tea earl grey 20*1,5g</t>
  </si>
  <si>
    <t>Coop tea gyümölcs mix 20*2g</t>
  </si>
  <si>
    <t>Coop tea hársfavirágzat 20*1g</t>
  </si>
  <si>
    <t>Lipton Yellow label tea 25*2g</t>
  </si>
  <si>
    <t>Milford gyömbér-narancs tea 20*1,75g</t>
  </si>
  <si>
    <t>Pickwick gyerektea erdeigyümölcs 20*2g</t>
  </si>
  <si>
    <t>Pickwick tea 20*1,5g citrom</t>
  </si>
  <si>
    <t>Pickwick tea áfonya</t>
  </si>
  <si>
    <t>Pickwick tea levendula</t>
  </si>
  <si>
    <t>Pickwick tea variáció narancssárga 20db</t>
  </si>
  <si>
    <t>Pickwick tea variációk 20X1,5g</t>
  </si>
  <si>
    <t>Pickwick variáció green 20 filter</t>
  </si>
  <si>
    <t>Pickwick zöld tea variációk 20*2g</t>
  </si>
  <si>
    <t>Saga birs-eper ízű gyüm. tea 36g</t>
  </si>
  <si>
    <t>Saga vörösáfonyás tea 20X1,8g</t>
  </si>
  <si>
    <t>Saga zöld tea citrom 32,5g</t>
  </si>
  <si>
    <t>Sir morton garzon tea 20X1.5g</t>
  </si>
  <si>
    <t>Tátra Tea 52% 0.05l</t>
  </si>
  <si>
    <t>Riska UHT tej 1.5% 1l</t>
  </si>
  <si>
    <t>Magyar tej ESL dobozos 2,8% 1l</t>
  </si>
  <si>
    <t>Cserpes túrórudi 30g</t>
  </si>
  <si>
    <t>Pöttyös rudi ét csokis 30g</t>
  </si>
  <si>
    <t>Pöttyös óriás étcsokis 51g</t>
  </si>
  <si>
    <t>Kinder pingui hűtött desszert 30g</t>
  </si>
  <si>
    <t>Kinder maxi king desszertt 35g</t>
  </si>
  <si>
    <t>Kinder tejszelet hűtött 28g</t>
  </si>
  <si>
    <t>Oké natur rudi 23g</t>
  </si>
  <si>
    <t>Magyar tej ESL dobozos 1,5% 1l</t>
  </si>
  <si>
    <t>Milli jegeskávé palackos 300 ml</t>
  </si>
  <si>
    <t>Pöttyös Óriás túrórudi Mogyorókrém 51g</t>
  </si>
  <si>
    <t>Jogobella 150g barack,eper,málna,meggy</t>
  </si>
  <si>
    <t>Magyar tejföl 20% 330g</t>
  </si>
  <si>
    <t>Élesztő  5dkg.</t>
  </si>
  <si>
    <t>Magyar tejföl 12% 140g</t>
  </si>
  <si>
    <t>Oké rudi eper 23g</t>
  </si>
  <si>
    <t>Magyar tejföl 20% 140g</t>
  </si>
  <si>
    <t>Magyar joghurt natúr 140g</t>
  </si>
  <si>
    <t>Mars ital 180ml</t>
  </si>
  <si>
    <t>Magyar tejföl 12% 330g</t>
  </si>
  <si>
    <t>Magyar kefír 140g</t>
  </si>
  <si>
    <t>Milky way tejital klasszikus 180ml</t>
  </si>
  <si>
    <t>Pöttyös túrórudi sós karamell 51g</t>
  </si>
  <si>
    <t>COOP TEJFÖL 20% 150G</t>
  </si>
  <si>
    <t>Pöttyös Óriás Rudi szilvás 51g</t>
  </si>
  <si>
    <t>Tolnatej tejföl 12% 325g</t>
  </si>
  <si>
    <t>Nádudvari natúr joghurt 150g</t>
  </si>
  <si>
    <t>Magyar tej pet palackos 2,8% 1l</t>
  </si>
  <si>
    <t>Mizo rudi top madártej túródesszert 30g</t>
  </si>
  <si>
    <t>Pöttyös óriás rudi gesztenyés 51g</t>
  </si>
  <si>
    <t>COOP TEJFÖL 150G 12%</t>
  </si>
  <si>
    <t>Gazda tej pet palackos 2,8% 1l</t>
  </si>
  <si>
    <t>Milli krémtúró vanília 90g</t>
  </si>
  <si>
    <t>Nádudvar natúr joghurt 330g</t>
  </si>
  <si>
    <t>Nádudvari kefír 150g</t>
  </si>
  <si>
    <t>Pöttyös túró rudi eper 30g</t>
  </si>
  <si>
    <t>Zott habos puding csoki 175g</t>
  </si>
  <si>
    <t>Nádudvari kefír 330g</t>
  </si>
  <si>
    <t>Riska tej ESL 2,8% 0,5liter alföldi</t>
  </si>
  <si>
    <t>Jogobella 400g meggy,eper,erdei,barack</t>
  </si>
  <si>
    <t>Kinder PARADISO HŰTÖTT DESSZ.T1X28 29G</t>
  </si>
  <si>
    <t>Magyar teavaj 80% 100g</t>
  </si>
  <si>
    <t>Magyar tej uht 2,8% 1l</t>
  </si>
  <si>
    <t>Nádudvari tehéntúró 250g</t>
  </si>
  <si>
    <t>Nádudvari tejföl 20% 330g</t>
  </si>
  <si>
    <t>Pöttyös óriás rudi meggyes-mákos 51g</t>
  </si>
  <si>
    <t>Pöttyös óriás rudi tejes 51g</t>
  </si>
  <si>
    <t>Coop joghurt natur 150g</t>
  </si>
  <si>
    <t>Kinder pingui csersznye 30g</t>
  </si>
  <si>
    <t>Tolle trappista sajt szel.füstölt 125g</t>
  </si>
  <si>
    <t>Coop tejföl 20% 330g</t>
  </si>
  <si>
    <t>Kinder pinguin kókuszos 30g</t>
  </si>
  <si>
    <t>Magic milk laktózmentes tej uht 2,8% 1l</t>
  </si>
  <si>
    <t>Pöttyös guru 38g</t>
  </si>
  <si>
    <t>Zott habos puding vanilia 175g</t>
  </si>
  <si>
    <t>Gazda tej pet palackos 1,5% 1l</t>
  </si>
  <si>
    <t>Pöttyös rudi tejes 30g</t>
  </si>
  <si>
    <t>Jogobella 0% joghurt 150g</t>
  </si>
  <si>
    <t>Magic milk laktózmentes tej uht 1,5% 1l</t>
  </si>
  <si>
    <t>Mizo kakaó 450 ml</t>
  </si>
  <si>
    <t>Nádudvari tejföl 25%-os 270g</t>
  </si>
  <si>
    <t>Camping tömlős medve hagym.100g</t>
  </si>
  <si>
    <t>Liga kocka maragarin 250g</t>
  </si>
  <si>
    <t>Coop kávétejszín 10X10ml</t>
  </si>
  <si>
    <t>Coop tejföl 12% 330g</t>
  </si>
  <si>
    <t>Magyar túró 250g</t>
  </si>
  <si>
    <t>Milli krémtúró van-mazsola 90g</t>
  </si>
  <si>
    <t>Müller tejberizs csoki 200g</t>
  </si>
  <si>
    <t>Zott jogobella ital őszibarack 250ml</t>
  </si>
  <si>
    <t>Mizo kaukázusi kefír 450g</t>
  </si>
  <si>
    <t>Mizo madártej 450ml</t>
  </si>
  <si>
    <t>Pöttyös rudi natur joghurtos fitt 38g</t>
  </si>
  <si>
    <t>Tolle gouda sajt szeletelt 125g</t>
  </si>
  <si>
    <t>Tolle kakaóital 0,5l dobozos</t>
  </si>
  <si>
    <t>COOPÉ TEJES-KAKAÓS HŰTÖTT SNACK 30G</t>
  </si>
  <si>
    <t>Farmföl olcsó és finom 20% 320g Alföldi</t>
  </si>
  <si>
    <t>Frankenland light joghurt 125g</t>
  </si>
  <si>
    <t>Magic Milk jegeskávé lakt.mentes 500ml</t>
  </si>
  <si>
    <t>Pöttyös túró rudi 30g barackos</t>
  </si>
  <si>
    <t>COOP MARGARIN KOCKA 250G</t>
  </si>
  <si>
    <t>Coop lapka sajt natur 100g</t>
  </si>
  <si>
    <t>Cserpes joghurt áfonyás 250g</t>
  </si>
  <si>
    <t>Fittej frisstej dobozos 2.8% 0.5L</t>
  </si>
  <si>
    <t>Lotti tömlős sajt 100g</t>
  </si>
  <si>
    <t>Mizo Norbi update csokipuding 125g</t>
  </si>
  <si>
    <t>Mizo kaukázusi kefír 330g</t>
  </si>
  <si>
    <t>Mizo laktózmentes tej uht 1,5% 1l</t>
  </si>
  <si>
    <t>Mizo túró rudi duó 2*15g</t>
  </si>
  <si>
    <t>Mizo update desszert natúr 30g</t>
  </si>
  <si>
    <t>Müller tejberizs málna 200g</t>
  </si>
  <si>
    <t>Müller tejberizs vanília 200gr</t>
  </si>
  <si>
    <t>Bords eve margarin enyhén sózott 500g</t>
  </si>
  <si>
    <t>Kinder chocofresh 2*20,5g</t>
  </si>
  <si>
    <t>Kinder chocofresh 5*20,5g</t>
  </si>
  <si>
    <t>Magyar  kefír 330g</t>
  </si>
  <si>
    <t>Magyar tej UHT 1,5% 1liter</t>
  </si>
  <si>
    <t>Mizo Norbi update van. puding 125g</t>
  </si>
  <si>
    <t>Mizo top tejeskávé 450ml dobozos</t>
  </si>
  <si>
    <t>Oké rudi áfonyás 23g</t>
  </si>
  <si>
    <t>Riska teavaj 100g</t>
  </si>
  <si>
    <t>Tolle teavaj80% 100g</t>
  </si>
  <si>
    <t>Camping lapka sajt laktózmentes100g</t>
  </si>
  <si>
    <t>Completta kávétejszín 10x10g</t>
  </si>
  <si>
    <t>Cserpes joghurt erdei gyümölcsös 250g</t>
  </si>
  <si>
    <t>Cserpes joghurt málnás 250g</t>
  </si>
  <si>
    <t>Cserpes kefir 0.5liter</t>
  </si>
  <si>
    <t>Cserpes tej 2,8% 1liter</t>
  </si>
  <si>
    <t>Cserpes tej 3,5% 1liter</t>
  </si>
  <si>
    <t>Hazai teavaj sózott 100g</t>
  </si>
  <si>
    <t>Lotti Teavaj 100g</t>
  </si>
  <si>
    <t>Magyar túró  450g</t>
  </si>
  <si>
    <t>Magyar túró tégelyes 250g</t>
  </si>
  <si>
    <t>Waja margarin kocka 250g</t>
  </si>
  <si>
    <t>Coop kefír 150g</t>
  </si>
  <si>
    <t>Delma margarin multivitaminos 500g</t>
  </si>
  <si>
    <t>Gazda teavaj 100g</t>
  </si>
  <si>
    <t>Hazai teavaj 100g</t>
  </si>
  <si>
    <t>Liga margarin csészés 250g</t>
  </si>
  <si>
    <t>Liga margarinkrém 500g</t>
  </si>
  <si>
    <t>Magic Milk laktózmentes vajkrém 180g</t>
  </si>
  <si>
    <t>Magyar joghurt natúr 330g</t>
  </si>
  <si>
    <t>Mizo kakaó light 450ml</t>
  </si>
  <si>
    <t>Müller tejberizs epres 200g</t>
  </si>
  <si>
    <t>Parmalat ivójoghurt erdeigyümölcs 500ml</t>
  </si>
  <si>
    <t>Parmalat ivójoghurt meggy 500ml</t>
  </si>
  <si>
    <t>Zott jogobella jog.ital meggy/málna 250g</t>
  </si>
  <si>
    <t>Bords eve margarin 250g</t>
  </si>
  <si>
    <t>CAMPING tömlős100g  SONKA</t>
  </si>
  <si>
    <t>Camping cikkelyes sajt 140g télisz.</t>
  </si>
  <si>
    <t>Coop tejszínhab spray 250ml</t>
  </si>
  <si>
    <t>Coop tégelyes tehéntúró 250g</t>
  </si>
  <si>
    <t>Coop vajkrém natúr 190g</t>
  </si>
  <si>
    <t>Cserpes joghurt meggyes 250g</t>
  </si>
  <si>
    <t>Cserpes joghurt ribizlis 250g</t>
  </si>
  <si>
    <t>Cserpes kakóstej 0,5l pet</t>
  </si>
  <si>
    <t>Cserpes karamellás tej 0,5l</t>
  </si>
  <si>
    <t>Cserpes snidlinges krémsajt 250g</t>
  </si>
  <si>
    <t>Flóra margarin csészés 500g</t>
  </si>
  <si>
    <t>Laktózmentes natúr joghurt 150g</t>
  </si>
  <si>
    <t>Lotti tömlős sajt téliszalámis 100g</t>
  </si>
  <si>
    <t>Milli kaukázusi kefír 300g</t>
  </si>
  <si>
    <t>Milli kaukázusi kefír 450g</t>
  </si>
  <si>
    <t>Müller tejberizs pisztácia 200g</t>
  </si>
  <si>
    <t>Naszály Latózmentes tejföl 20% 150g</t>
  </si>
  <si>
    <t>Oké főzőmester 200ml</t>
  </si>
  <si>
    <t>Oké kakaóital féltartós 0,5l</t>
  </si>
  <si>
    <t>Parmalat ivójoghurt őszibarack 500ml</t>
  </si>
  <si>
    <t>Pöttyös tejsüti epres 28g</t>
  </si>
  <si>
    <t>Pöttyös tejsüti kakaós 28g</t>
  </si>
  <si>
    <t>Puding Paula vanília csokifoltos 2X100g</t>
  </si>
  <si>
    <t>Rama margarin 250g</t>
  </si>
  <si>
    <t>Ráma margarinkrém csészés 500g</t>
  </si>
  <si>
    <t>Ráma tégla margarin 500g</t>
  </si>
  <si>
    <t>Tolle trappista light sajt szeletelt 125</t>
  </si>
  <si>
    <t>Activia krémes natúr 125g</t>
  </si>
  <si>
    <t>Activia reggeli granola-v.áfonya 168g</t>
  </si>
  <si>
    <t>COOP LIGHT MARGARIN CSÉSZÉS 500G</t>
  </si>
  <si>
    <t>Coop kördobozos sajt natúr 140g</t>
  </si>
  <si>
    <t>Coop kördobozos sajt sonkás 140g</t>
  </si>
  <si>
    <t>Coop tömlős sajt tejszines 100g</t>
  </si>
  <si>
    <t>Coop tömlős sajt téliszalámis 100g</t>
  </si>
  <si>
    <t>Cserpes joghurt barackos 250g</t>
  </si>
  <si>
    <t>Cserpes joghurt epres 250g</t>
  </si>
  <si>
    <t>Cserpes joghurt homoktövises 250g</t>
  </si>
  <si>
    <t>Cserpes tejföl 20% 250g</t>
  </si>
  <si>
    <t>Délibábföl 20% 315gr</t>
  </si>
  <si>
    <t>LOTTI kakaós tej 500ml</t>
  </si>
  <si>
    <t>Meggle laktózmentes főzőtejszín 10%200ml</t>
  </si>
  <si>
    <t>Milli kakaós tej 300ml</t>
  </si>
  <si>
    <t>Milli krémtúró keksz 90g</t>
  </si>
  <si>
    <t>Milli vajkrém  füst. sajtos 200g</t>
  </si>
  <si>
    <t>Milli vajkrém natúr 200g</t>
  </si>
  <si>
    <t>Mizo coffee americano 330ml</t>
  </si>
  <si>
    <t>Mizo sűrített tej 170g</t>
  </si>
  <si>
    <t>Mizo szeletelt sajt 125g gouda</t>
  </si>
  <si>
    <t>Müller tejberizs csokis-mogyoró 200g</t>
  </si>
  <si>
    <t>Parmalat főzőtejszín 200g 20%</t>
  </si>
  <si>
    <t>Ráma margarin csészés 250g</t>
  </si>
  <si>
    <t>COOP VAJKRÉM MAGYAROS 190g</t>
  </si>
  <si>
    <t>Camembert Garnd Pix 75g Lactalis</t>
  </si>
  <si>
    <t>Camping lapka sajt füstölt 100g</t>
  </si>
  <si>
    <t>Completa tejszínhabspray 250ml</t>
  </si>
  <si>
    <t>Coop tehéntúró 450g</t>
  </si>
  <si>
    <t>Coop tömlős sajt csípős  100g</t>
  </si>
  <si>
    <t>Coop vajkrém zöldfűszeres 190g</t>
  </si>
  <si>
    <t>Cserpes joghurt fekete szedres 250g</t>
  </si>
  <si>
    <t>Cserpes vaníliás krémtúró 100g</t>
  </si>
  <si>
    <t>Delma margarin sós 500g</t>
  </si>
  <si>
    <t>Lotti habspray 250g</t>
  </si>
  <si>
    <t>Lotti körcikkes sajt 140g</t>
  </si>
  <si>
    <t>Lotti vajkrém natúr 200g</t>
  </si>
  <si>
    <t>Magyar főzőtejszín 180ml</t>
  </si>
  <si>
    <t>Meggle főzőtejszín 10% UHT 200ml</t>
  </si>
  <si>
    <t>Milli krémtúró eper 90g</t>
  </si>
  <si>
    <t>Mizo coffee cappuccino 330ml</t>
  </si>
  <si>
    <t>Müller tejberizs fahéj 200g</t>
  </si>
  <si>
    <t>Nádudvari félzsíros túró light 250g</t>
  </si>
  <si>
    <t>Pöttyös fitt rudi étbevonós 38g</t>
  </si>
  <si>
    <t>President camembert sajt light 90g</t>
  </si>
  <si>
    <t>White Combi feta jellegű sajt 500g</t>
  </si>
  <si>
    <t>Activia joghurtital kiwi-körte-lenm.320g</t>
  </si>
  <si>
    <t>Activia reggeli copack eper 168g</t>
  </si>
  <si>
    <t>Biotej UHT 2,8% 1liter</t>
  </si>
  <si>
    <t>Cserpes natúr krémsajt 250g</t>
  </si>
  <si>
    <t>Danone actimel multifruit 4x100g</t>
  </si>
  <si>
    <t>Danone görög jogh. 4X125g kekszes</t>
  </si>
  <si>
    <t>Delma szendvics margarin 250g csészés</t>
  </si>
  <si>
    <t>Delma szendvics margarin 500g</t>
  </si>
  <si>
    <t>Good milk joghurt ital 0,1% 500g több íz</t>
  </si>
  <si>
    <t>Happy soya szójaital natúr 1l</t>
  </si>
  <si>
    <t>Jászfriss tejital 1l 2,8%</t>
  </si>
  <si>
    <t>Meggle laktózmentes habtejszín 30%200ml</t>
  </si>
  <si>
    <t>Milli panna cotta karamell 2*100g</t>
  </si>
  <si>
    <t>Milli vajkrém magyaros 200g</t>
  </si>
  <si>
    <t>Mizo trappista sajt laktózmentes 125g</t>
  </si>
  <si>
    <t>Mizo vajkrém kolbászos 200g</t>
  </si>
  <si>
    <t>Müller tej banán 400g</t>
  </si>
  <si>
    <t>Müller tej csokoládé 400g</t>
  </si>
  <si>
    <t>Oikos citromos túrótorta 4*125g</t>
  </si>
  <si>
    <t>Pöttyös kakós tej 300ml</t>
  </si>
  <si>
    <t>President camambert chilis 90g</t>
  </si>
  <si>
    <t>President camambert natur 90g</t>
  </si>
  <si>
    <t>President camembert fokhagymás 90g</t>
  </si>
  <si>
    <t>Tolle vajkrém magyaros 200g</t>
  </si>
  <si>
    <t>Activia reggeli copack édes fehér 168g</t>
  </si>
  <si>
    <t>Biotej 1,5% 1literes uht</t>
  </si>
  <si>
    <t>Camping körcikkes sajt gourmet mix 140g</t>
  </si>
  <si>
    <t>Coop kördobozos sajt zöldfűszeres 140g</t>
  </si>
  <si>
    <t>Coop lapka sajt toast 100g</t>
  </si>
  <si>
    <t>Danone actimel erdei gyümölcs 4x100g</t>
  </si>
  <si>
    <t>Danone activia natúr pille 125g</t>
  </si>
  <si>
    <t>Danone kaukázusi kefír ital 350g</t>
  </si>
  <si>
    <t>Danone oikos kókusz-mandula 4*125g</t>
  </si>
  <si>
    <t>Danone sárgabarack 4*125g</t>
  </si>
  <si>
    <t>Flóra margarin 250g</t>
  </si>
  <si>
    <t>Gazda fokhagymás vajkrém 200g</t>
  </si>
  <si>
    <t>Gazda vajkrém paprikás 200g</t>
  </si>
  <si>
    <t>Gazda vajkrém sült hagymás 200g</t>
  </si>
  <si>
    <t>Lotti kávétejszín 10x10ml</t>
  </si>
  <si>
    <t>Meggle főzőtejszín uht 500ml</t>
  </si>
  <si>
    <t>Milli krémtúró ribizli 90g</t>
  </si>
  <si>
    <t>Milli vajkrém fokhagymás 200g</t>
  </si>
  <si>
    <t>Mizo kókuszos kakaó ízű tej 450ml</t>
  </si>
  <si>
    <t>Mizo meggy-csoki ízű tej 450ml</t>
  </si>
  <si>
    <t>Mizo update AB jogh.epres 125g</t>
  </si>
  <si>
    <t>Mizo vajkrém magyaros 200g</t>
  </si>
  <si>
    <t>Müller tejberizs 5 magos szilva 175g</t>
  </si>
  <si>
    <t>Müller tejberizs cseresznye 200g</t>
  </si>
  <si>
    <t>Müller-mix joghurt choco-balls</t>
  </si>
  <si>
    <t>Naszálytej főzőtejszín 20% 500ml</t>
  </si>
  <si>
    <t>Nádudvari félzs.tehéntúró 450g</t>
  </si>
  <si>
    <t>Nádudvari körített túró Házias 150g</t>
  </si>
  <si>
    <t>Nádudvari körített túró csípőspaprikás</t>
  </si>
  <si>
    <t>Parmalat ivójoghurt eper 500ml</t>
  </si>
  <si>
    <t>Pöttyös guru kókuszos 38g</t>
  </si>
  <si>
    <t>Pöttyös kakaós tej 0% cukor 300ml</t>
  </si>
  <si>
    <t>Pureland margarin 1kg</t>
  </si>
  <si>
    <t>Riska drink&amp;go ivójog. málna 450g</t>
  </si>
  <si>
    <t>Riska selection gyüm.jogh. szilva 200g</t>
  </si>
  <si>
    <t>Actimel 4*100g papaya</t>
  </si>
  <si>
    <t>Actimel vörösáf.-ribiz.-csipkebogy.400g</t>
  </si>
  <si>
    <t>Activia joghurtital erdei-gabona 320g</t>
  </si>
  <si>
    <t>Activia joghurtital málna-gránát  320g</t>
  </si>
  <si>
    <t>COMPLETA KÁVÉKRÉMPOR UTÁNTÖLTŐ 200G</t>
  </si>
  <si>
    <t>COOPÉ TEJES-KÓKUSZOS HŰTÖTT SNACK 30G</t>
  </si>
  <si>
    <t>Coop teavaj 80% 100g</t>
  </si>
  <si>
    <t>Danone Activia 4*125g Áfonya</t>
  </si>
  <si>
    <t>Danone actimel eper 4x100g</t>
  </si>
  <si>
    <t>Danone activia ital eper-kiwi 320g</t>
  </si>
  <si>
    <t>Danone erdei-banán 4*125g</t>
  </si>
  <si>
    <t>Danone málna 4*125g</t>
  </si>
  <si>
    <t>Danone meggy 4*125g</t>
  </si>
  <si>
    <t>Danone meggy-ananász 4*125g</t>
  </si>
  <si>
    <t>Gazda vajkrém natúr 200g</t>
  </si>
  <si>
    <t>Hajdúsági körözött 200g</t>
  </si>
  <si>
    <t>Hajdúsági mascarpone 250g</t>
  </si>
  <si>
    <t>Joya UHT bio zabital 1L</t>
  </si>
  <si>
    <t>Kiskanna magyaros szendvicskrém 200g</t>
  </si>
  <si>
    <t>Kiskanna natúr szendvicskrém 200g</t>
  </si>
  <si>
    <t>Krasno tepertőkrém sült ízű 180g</t>
  </si>
  <si>
    <t>Lotti tej Poly 2,8% 1l</t>
  </si>
  <si>
    <t>Magic Milk laktózmentes vaj 100g</t>
  </si>
  <si>
    <t>Magic kaukázusi kefír laktózmentes 500g</t>
  </si>
  <si>
    <t>Meggle cukrászhab 200ml</t>
  </si>
  <si>
    <t>Meggle édesített habalap 500ml</t>
  </si>
  <si>
    <t>Milli krémtúró banán 90g</t>
  </si>
  <si>
    <t>Milli krémtúró mangó-maracuja 90g</t>
  </si>
  <si>
    <t>Milli krémtúró rizses vaníliás 90g</t>
  </si>
  <si>
    <t>Milli perfecto habtejszín 35% UHT</t>
  </si>
  <si>
    <t>Milli tiramisu 2*80g</t>
  </si>
  <si>
    <t>Mizo coffee flat white 330ml</t>
  </si>
  <si>
    <t>Mizo laktózmentes főzőtejszín 330ml</t>
  </si>
  <si>
    <t>Mizo update AB jogh.barackos 125g</t>
  </si>
  <si>
    <t>Mizo vajkrém natúr 200g</t>
  </si>
  <si>
    <t>Müller mix choko stars 130g</t>
  </si>
  <si>
    <t>Müller tej eper 400g</t>
  </si>
  <si>
    <t>Müller tej pisztácia-kókusz 400g</t>
  </si>
  <si>
    <t>President sajtkocka kéksajt 150g</t>
  </si>
  <si>
    <t>Riska drink&amp;go ivójoghurt citrom 450g</t>
  </si>
  <si>
    <t>Riska drink&amp;go ivójoghurt mangó 450g</t>
  </si>
  <si>
    <t>Tebike pálpusztai sajt ömlesztett 100g</t>
  </si>
  <si>
    <t>Tolle Trap.s. krém natúr 125g</t>
  </si>
  <si>
    <t>Tolle esl tej 2,8% 1L</t>
  </si>
  <si>
    <t>Tolle főzőtejszín 10% 500ml</t>
  </si>
  <si>
    <t>Tolle vajkrém natúr 200g</t>
  </si>
  <si>
    <t>Pannónia sajt /kg  kód:465</t>
  </si>
  <si>
    <t>Karaván sajt /kg kód:502</t>
  </si>
  <si>
    <t>Coop fodros nagykocka 4tojásos t. 500g</t>
  </si>
  <si>
    <t>Coop csiga tészta 4 tojásos 400g</t>
  </si>
  <si>
    <t>Dunakeszi spagetti 500g</t>
  </si>
  <si>
    <t>Márta Néni csipetke tészta 200g</t>
  </si>
  <si>
    <t>VITA PASTA PENNE 500G</t>
  </si>
  <si>
    <t>COOP 4TOJ.SZÁRAZTÉSZTA SPAGETTI 500G</t>
  </si>
  <si>
    <t>Gyermelyi tarhonya 4tojásos tészta 500g</t>
  </si>
  <si>
    <t>COOP 4TOJ.SZÁRAZTÉSZTA TARHONYA 500G</t>
  </si>
  <si>
    <t>Coop csipetke 8toj. tészta 200g</t>
  </si>
  <si>
    <t>Coop sodort csiga 8tojásos tészta 200g</t>
  </si>
  <si>
    <t>Coop szélesmetélt 8toj. tészta 200g</t>
  </si>
  <si>
    <t>Durillo orsó tészta 500g</t>
  </si>
  <si>
    <t>Coop m.n. szarvacska tészta 400g</t>
  </si>
  <si>
    <t>Gyermelyi cérnametélt 500g tészta</t>
  </si>
  <si>
    <t>Gyermelyi fodros nagykocka 4tojásos 500g</t>
  </si>
  <si>
    <t>Márta néni tésztája boglyascérna 200g</t>
  </si>
  <si>
    <t>Coop cérnametélt 8tojásos 200g</t>
  </si>
  <si>
    <t>Coop csavartcső 4 tojásos 500g</t>
  </si>
  <si>
    <t>Durillo fodros nagykocka 500g</t>
  </si>
  <si>
    <t>Gyermelyi copfocska 4tojásos tészta 500g</t>
  </si>
  <si>
    <t>Gyermelyi csusza 4tojásos tészta 500g</t>
  </si>
  <si>
    <t>Gyermelyi lasagne durum 500g</t>
  </si>
  <si>
    <t>Gyermelyi spagetti 4tojásos t. 500g</t>
  </si>
  <si>
    <t>Márta néni göngykagyló tészta 200g</t>
  </si>
  <si>
    <t>Márta néni tésztája cérnametélt 200g</t>
  </si>
  <si>
    <t>COOP 4TOJ.SZÁRAZTÉSZTA MAKARÓNI 500G</t>
  </si>
  <si>
    <t>Coop boglyas cérna 8toj. 200g</t>
  </si>
  <si>
    <t>Coop orsó 4tojásos tészta 500g</t>
  </si>
  <si>
    <t>Coop rövidcső 4tojásos tészta 500g</t>
  </si>
  <si>
    <t>Durillo Masni tészta 500g</t>
  </si>
  <si>
    <t>Gyermely csiga tészta 8tojásos 250g</t>
  </si>
  <si>
    <t>Gyermelyi ABCtészta 4tojásos 500g</t>
  </si>
  <si>
    <t>Gyermelyi cérnácska 8tojásos tészta 250</t>
  </si>
  <si>
    <t>Gyermelyi makaróni 4tojásos tészta 500g</t>
  </si>
  <si>
    <t>Gyermelyi rövidcső 4tojásos tészta 500g</t>
  </si>
  <si>
    <t>Márta néni tésztája Orsó 4tojásos 400g</t>
  </si>
  <si>
    <t>Márta néni tésztája nagykocka 400g</t>
  </si>
  <si>
    <t>Márta néni tésztája sodrott csiga 200g</t>
  </si>
  <si>
    <t>GYERMELYI TÉSZTA 4TOJ.CSAVARTMETÉLT 500G</t>
  </si>
  <si>
    <t>GYERMELYI TOJÁS NÉLKÜLI ORSÓ SZT. 400G</t>
  </si>
  <si>
    <t>Gyermelyi gyufametélt 8tojásos 250g</t>
  </si>
  <si>
    <t>Gyermelyi hosszúmetélt 4tojásos 500g</t>
  </si>
  <si>
    <t>Gyermelyi orsó 4tojásos tészta 500g</t>
  </si>
  <si>
    <t>Gyermelyi szarvacska 4tojásos tészta 500</t>
  </si>
  <si>
    <t>Gyermelyi széles metélt 8tojásos tészta</t>
  </si>
  <si>
    <t>Márta néni csillag tészta 200g</t>
  </si>
  <si>
    <t>Márta néni epercsík 8tojásos 200g</t>
  </si>
  <si>
    <t>Márta néni hosszúmetélt 8tojásos 200g</t>
  </si>
  <si>
    <t>Márta néni tészta kiskocka 200g</t>
  </si>
  <si>
    <t>Márta néni tészta lebbencs 4toj. 200g</t>
  </si>
  <si>
    <t>Márta néni tésztája kézi tarhonya 400g</t>
  </si>
  <si>
    <t>Márta néni tésztája tarhonya 400g</t>
  </si>
  <si>
    <t>Reggia farfale/masni tészta 500g</t>
  </si>
  <si>
    <t>Tojás L méret 10-darabos</t>
  </si>
  <si>
    <t>Tojás M méret 10-darabos</t>
  </si>
  <si>
    <t>Tojás /db 1267-es kód</t>
  </si>
  <si>
    <t>Tojás L méret 10 darabos</t>
  </si>
  <si>
    <t>San benedetto ice tea barack zero 1,5l</t>
  </si>
  <si>
    <t>Coca cola 1,75liter</t>
  </si>
  <si>
    <t>Coca cola szénsavas üdítő 1,25liter</t>
  </si>
  <si>
    <t>Coca Cola 0.33l</t>
  </si>
  <si>
    <t>Coca Cola 2.25L</t>
  </si>
  <si>
    <t>Coca cola szénsavas üdítő 0,5liter</t>
  </si>
  <si>
    <t>Schweppes narancs 1.5L</t>
  </si>
  <si>
    <t>Hey-ho narancs 12% 1l</t>
  </si>
  <si>
    <t>Coca cola zero szénsavas ü. 1,25liter</t>
  </si>
  <si>
    <t>Queen narancs 2,5l</t>
  </si>
  <si>
    <t>Schweppes bitter lemon 1,5l</t>
  </si>
  <si>
    <t>TopJoy paradicsomlé 250ml</t>
  </si>
  <si>
    <t>Topjoy ice tea barack 0,25L</t>
  </si>
  <si>
    <t>Fanta narancs 330ml</t>
  </si>
  <si>
    <t>Sió őszibarack 25% 0,2l</t>
  </si>
  <si>
    <t>Sió vitatigris piros gyümölcsmix 1l</t>
  </si>
  <si>
    <t>Coca cola Zéro 1,75l</t>
  </si>
  <si>
    <t>Coke vanilia zéro 500ml</t>
  </si>
  <si>
    <t>Energy coffee latte 0,25l</t>
  </si>
  <si>
    <t>Fuzetea citrom és citromfű 1,5l</t>
  </si>
  <si>
    <t>Sió Multivitamin 1l</t>
  </si>
  <si>
    <t>Fanta Narancs 1,75l</t>
  </si>
  <si>
    <t>Fanta narancs szénsavas üdítő 0,5liter</t>
  </si>
  <si>
    <t>SIÓ ROSTOS ŐSZIBARACK 25%GYÜM.NEKT. 0.2</t>
  </si>
  <si>
    <t>Sió őszibarack-narancs 25% 1 liter</t>
  </si>
  <si>
    <t>Hey-ho alma 25% 1l</t>
  </si>
  <si>
    <t>Nestea barack 1,5L</t>
  </si>
  <si>
    <t>Olympos citromlé 50% 1liter</t>
  </si>
  <si>
    <t>Pepsi cola 1,75l</t>
  </si>
  <si>
    <t>Sió narancs 1literes 25%-os üditőital</t>
  </si>
  <si>
    <t>Burn sour zöldalma 250ml</t>
  </si>
  <si>
    <t>Coca cola 250ml</t>
  </si>
  <si>
    <t>Fuzetea barack és rózsa 1,5l</t>
  </si>
  <si>
    <t>Mizse ásványvíz szénsavmentes 1.5l</t>
  </si>
  <si>
    <t>Pepsi cola 2,25l</t>
  </si>
  <si>
    <t>Queen cola zero 2,5l</t>
  </si>
  <si>
    <t>Sió szőlő 25% 0,2l</t>
  </si>
  <si>
    <t>HOHES C MILD MULTIVITAMIN 100% 1L</t>
  </si>
  <si>
    <t>Kinley gyömbér 0,5liter</t>
  </si>
  <si>
    <t>Kubu Water 0.5l málna</t>
  </si>
  <si>
    <t>Pepsi gyömbér 0,33l</t>
  </si>
  <si>
    <t>TopJoy Sárkánygyümölcs 0.25l</t>
  </si>
  <si>
    <t>Yippy Peach 0,33l</t>
  </si>
  <si>
    <t>Frutti italpor 8,5g alma</t>
  </si>
  <si>
    <t>Kinley gyömbér 1,5l</t>
  </si>
  <si>
    <t>Sió őszi-alma-meggy-málna 0,2l</t>
  </si>
  <si>
    <t>Sió őszibarack rostos 1liter</t>
  </si>
  <si>
    <t>TopJoy alma-málna-menta 250ml</t>
  </si>
  <si>
    <t>TopJoy feketeribizli 0,25l</t>
  </si>
  <si>
    <t>Apenta vitamixx eper-áfonya 1,5l</t>
  </si>
  <si>
    <t>Bravo narancs 0,2l</t>
  </si>
  <si>
    <t>Coca Cola lemon Zero 0.5l</t>
  </si>
  <si>
    <t>Happy day alma 0,2l</t>
  </si>
  <si>
    <t>Kubu ice tea eper 0,4L</t>
  </si>
  <si>
    <t>Kubu play répa-málna-lime 0,4l</t>
  </si>
  <si>
    <t>Olympos citromlé 50% 0,5liter</t>
  </si>
  <si>
    <t>San benedetto ice tea többféle 1,5l</t>
  </si>
  <si>
    <t>Sió alma 25% 0,5l</t>
  </si>
  <si>
    <t>Apenta vitamixx áfonya-levendula 1,5l</t>
  </si>
  <si>
    <t>Dr. Pepper üdítőital 0,33l</t>
  </si>
  <si>
    <t>Fanta lichi 0,320L</t>
  </si>
  <si>
    <t>Frutti italpor barack ízű 8,5g</t>
  </si>
  <si>
    <t>Fuzetea citromfű zöldtea zero 1,5l</t>
  </si>
  <si>
    <t>Fuzetea őszibarack és hibiszkusz 1,5l</t>
  </si>
  <si>
    <t>Happy-day 100% multi vitamin</t>
  </si>
  <si>
    <t>Hey-ho kékszőlő 12% 1l</t>
  </si>
  <si>
    <t>Jana citrom-limetta 1,5l</t>
  </si>
  <si>
    <t>Lipton ice tea zöld 0,5l</t>
  </si>
  <si>
    <t>Mountain Dew 330ml</t>
  </si>
  <si>
    <t>Pepsi cola 0,5l</t>
  </si>
  <si>
    <t>SIÓ paradicsomlé 1literes</t>
  </si>
  <si>
    <t>Sió kajszibarack 1l</t>
  </si>
  <si>
    <t>Sió őszibarack 25% 0,5l</t>
  </si>
  <si>
    <t>Sió vitatigris püré banán 90g</t>
  </si>
  <si>
    <t>Sprite 0.5liter</t>
  </si>
  <si>
    <t>Topjoy narancs 100% 250ml</t>
  </si>
  <si>
    <t>Xixo ice tea barack 1.5L</t>
  </si>
  <si>
    <t>Absolute amino mix ananász-mangó-pap.0,6</t>
  </si>
  <si>
    <t>Apenta light málna 1,5l</t>
  </si>
  <si>
    <t>Bravo alma 0,2l</t>
  </si>
  <si>
    <t>Coca Cola lime 0,33L</t>
  </si>
  <si>
    <t>Fanta narancs szénsavas üdítő 1,25liter</t>
  </si>
  <si>
    <t>Happy day narancslé 100% 1L</t>
  </si>
  <si>
    <t>Hey-ho piros multivitamin 25% 1l</t>
  </si>
  <si>
    <t>Hohes C alma-gránátalma-málna 1l</t>
  </si>
  <si>
    <t>Jana blueberry-cranberry 1,5l</t>
  </si>
  <si>
    <t>Kinley tonic 0.5liter</t>
  </si>
  <si>
    <t>Kinley tonic 1,5l</t>
  </si>
  <si>
    <t>Kubu ice tea barack 0,4L</t>
  </si>
  <si>
    <t>Mirinda narancs 2,25l</t>
  </si>
  <si>
    <t>Power fruit málna 750ml,</t>
  </si>
  <si>
    <t>SIÓ VITATIGRIS PIROS 12%GYÜM.ITAL 0.2L</t>
  </si>
  <si>
    <t>Sió citrus friss narancs 25% 1l</t>
  </si>
  <si>
    <t>Sió light meggy-szilva-alma 25% 1l</t>
  </si>
  <si>
    <t>Sió szőlő 1literes 25%</t>
  </si>
  <si>
    <t>Sió vilmoskörte rostos 1liter</t>
  </si>
  <si>
    <t>Smart vitamin gránátalma-cink 0,6l</t>
  </si>
  <si>
    <t>Sprite 0.33l</t>
  </si>
  <si>
    <t>Sprite zero 1,75l</t>
  </si>
  <si>
    <t>7UP üdítő 2,25l</t>
  </si>
  <si>
    <t>Absolute collagen bodza-citrom-eper 0,6l</t>
  </si>
  <si>
    <t>Adrenalin spring mango pineapple 0,25l</t>
  </si>
  <si>
    <t>Apenta 1.5l pet exotic nar-man</t>
  </si>
  <si>
    <t>Apenta ÜDÍTŐITAL MEGGY PET 1.5L</t>
  </si>
  <si>
    <t>Apenta szőlő üdítő ital 1,5liter</t>
  </si>
  <si>
    <t>CAPPY ICE FRUIT ŐSZIB.S.DINNYE 12% 0.5L</t>
  </si>
  <si>
    <t>Cherry Coke zero 1.75l</t>
  </si>
  <si>
    <t>Coca cola vanília 0,355L</t>
  </si>
  <si>
    <t>Coca-cola multipack 4*250ml</t>
  </si>
  <si>
    <t>Fanta narancs 2,25l</t>
  </si>
  <si>
    <t>Fuzetea mangó és kamilla zöldtea 1,5l</t>
  </si>
  <si>
    <t>Fuztea passion zero 1.5l</t>
  </si>
  <si>
    <t>Happy day alma 100% 1L</t>
  </si>
  <si>
    <t>Happy day ananász 100% 1l</t>
  </si>
  <si>
    <t>Hey-ho eper 25% 1l.</t>
  </si>
  <si>
    <t>Hey-ho kékáfonya 25% 1l</t>
  </si>
  <si>
    <t>Hey-ho körte 25% 1l</t>
  </si>
  <si>
    <t>Hey-ho őszibarack light 1l</t>
  </si>
  <si>
    <t>Hey-ho szilva 25% 1l</t>
  </si>
  <si>
    <t>Jana eper-guava 1,5l</t>
  </si>
  <si>
    <t>Kubu 0,3L pet multivitamin</t>
  </si>
  <si>
    <t>Kubu play répa-cser-lime ital 0,4l</t>
  </si>
  <si>
    <t>Lipton green lime-mint 1,5l</t>
  </si>
  <si>
    <t>Lipton ice tea barack zero 1,5l</t>
  </si>
  <si>
    <t>Lipton ice tea citrom 1,5l</t>
  </si>
  <si>
    <t>Lipton ice tea green lemon zero 1,5l</t>
  </si>
  <si>
    <t>Lipton zöld ice tea 1,5liter</t>
  </si>
  <si>
    <t>Márka bodza üdítő 2liter</t>
  </si>
  <si>
    <t>Márka grapefruit limonádé</t>
  </si>
  <si>
    <t>Márka meggy üdítő 2liter</t>
  </si>
  <si>
    <t>Nestea citrom 0,5l</t>
  </si>
  <si>
    <t>Queen cola 2,5l</t>
  </si>
  <si>
    <t>Queen gyömbér 2,5l</t>
  </si>
  <si>
    <t>Rauch ice tea 0,5L zerő őszib.</t>
  </si>
  <si>
    <t>San Benedetto Zero Ice tea citrom 1.5l</t>
  </si>
  <si>
    <t>Sió ananász 100% 1l</t>
  </si>
  <si>
    <t>Sió prémium feketeribizli 25% 1l</t>
  </si>
  <si>
    <t>Absolute live l-karnitin ananász 1l</t>
  </si>
  <si>
    <t>Apenta Light eper-vanília 1,5L</t>
  </si>
  <si>
    <t>Apenta light grape-pomelo 1,5l</t>
  </si>
  <si>
    <t>COOP CITROM ÍZESÍTŐ 40% 1L</t>
  </si>
  <si>
    <t>Cappy MULTIVITAMIN 50% NEKTÁR 1L</t>
  </si>
  <si>
    <t>Cappy feketeribizli 1l</t>
  </si>
  <si>
    <t>Coca cola vanilía 0,5L</t>
  </si>
  <si>
    <t>Coca cola vanília 1,75l</t>
  </si>
  <si>
    <t>Coop multivitamin 100% 1l</t>
  </si>
  <si>
    <t>Fanta Bodza 1.25l</t>
  </si>
  <si>
    <t>Fanta berry 0,355L</t>
  </si>
  <si>
    <t>Frutti italpor mandarin és gránátalma</t>
  </si>
  <si>
    <t>Hey-ho barack 25% 1l</t>
  </si>
  <si>
    <t>Hohes c mild narancs juice 100% 1l</t>
  </si>
  <si>
    <t>Márka Cola 1.5l</t>
  </si>
  <si>
    <t>Márka alma-körte 1,5l üdítőital pet</t>
  </si>
  <si>
    <t>Márka ice tea barack 1,5l</t>
  </si>
  <si>
    <t>Márka limonádé málna citromfű 2L</t>
  </si>
  <si>
    <t>Márka őszibarack gyümölcsital 25% 1</t>
  </si>
  <si>
    <t>Mirinda narancs 1,75l</t>
  </si>
  <si>
    <t>Pepsi Black Lime 0.5l</t>
  </si>
  <si>
    <t>Pepsi black meggy 2,25l</t>
  </si>
  <si>
    <t>Pölöskei ind.cseresznya 1liter</t>
  </si>
  <si>
    <t>Rauch ice tea feketeribizlis 1,5l</t>
  </si>
  <si>
    <t>Rauch ice tea zöld 1,5l</t>
  </si>
  <si>
    <t>Rauch yippy alma pet 12% 0,33l</t>
  </si>
  <si>
    <t>Sió alma rostos 1liter</t>
  </si>
  <si>
    <t>Sió citrus friss grapefruit 25% 1l</t>
  </si>
  <si>
    <t>Sió kajszibarack-alma-körte 25% 1l</t>
  </si>
  <si>
    <t>Sió meggy-szilva 25% 1liter</t>
  </si>
  <si>
    <t>Sió őszi-alma-meggy-málna 25% 1l</t>
  </si>
  <si>
    <t>Sprite szénsavas üdítő 1,25liter</t>
  </si>
  <si>
    <t>Sprite zero 500ml</t>
  </si>
  <si>
    <t>Topjoy kaktusz 250ml</t>
  </si>
  <si>
    <t>Xixo Ice Tea Citromos 1.5L PET</t>
  </si>
  <si>
    <t>Absolute Live Magnézium 1L grape-banán</t>
  </si>
  <si>
    <t>Apenta Antiox acai-gránátalma 0,75l</t>
  </si>
  <si>
    <t>Apenta Light kaktuszfüge 1.5l</t>
  </si>
  <si>
    <t>Apenta lime-narancs-grapf. vitamix 1,5l</t>
  </si>
  <si>
    <t>Apenta+ Focus Alma-Kiwi 0.75l</t>
  </si>
  <si>
    <t>Bravo őszibarack rostos 1,5liter</t>
  </si>
  <si>
    <t>Cherry Coke zero 0.5l</t>
  </si>
  <si>
    <t>Coca-cola energy cukormentes 250ml</t>
  </si>
  <si>
    <t>Coke zero lemon 1,75l</t>
  </si>
  <si>
    <t>Fanta Bodza 500ml</t>
  </si>
  <si>
    <t>Fanta zero Eper-Kiwi 0.5l</t>
  </si>
  <si>
    <t>Frutti italpor 8,5g eper</t>
  </si>
  <si>
    <t>Frutti italpor citrom 8,5g</t>
  </si>
  <si>
    <t>Frutti italpor erdei gyümölcs ízű 8,5g</t>
  </si>
  <si>
    <t>Frutti italpor madeira 8,5g</t>
  </si>
  <si>
    <t>Fuzetea szilvás 0,5l</t>
  </si>
  <si>
    <t>Hey-ho ananász 25% 1l</t>
  </si>
  <si>
    <t>Hey-ho multivitamin light 25% 1l</t>
  </si>
  <si>
    <t>Hohes C narancs 100% 0,2l</t>
  </si>
  <si>
    <t>Hohes c red multivitamin 100% 1l</t>
  </si>
  <si>
    <t>Jana Ice Tea erdeigyüm. 1,5l</t>
  </si>
  <si>
    <t>Kubu 0,3l pet banán eper</t>
  </si>
  <si>
    <t>Kubu multivitamin 0,4l 0,4l</t>
  </si>
  <si>
    <t>Márka 2L körte-zsálya</t>
  </si>
  <si>
    <t>Márka Ice tea citrom 1,5l</t>
  </si>
  <si>
    <t>Márka ice tea eper 1,5l</t>
  </si>
  <si>
    <t>Márka multivitamin vegyes gyümölcs 1,5l</t>
  </si>
  <si>
    <t>Márka narancs üdítő 2liter</t>
  </si>
  <si>
    <t>Mountain dew 2l</t>
  </si>
  <si>
    <t>Nestea őszibarack 0,5l</t>
  </si>
  <si>
    <t>Olympos grapefruit-nar-citrom 1,5l</t>
  </si>
  <si>
    <t>Pepsi black lime 2,25l</t>
  </si>
  <si>
    <t>Pepsi ginger 0,5l</t>
  </si>
  <si>
    <t>Pepsi ginger 2,25l</t>
  </si>
  <si>
    <t>Power fruit exotic üdítő 750 ml</t>
  </si>
  <si>
    <t>Powerade vérnarancs</t>
  </si>
  <si>
    <t>Rauch ice tea zero citrom 1,5L</t>
  </si>
  <si>
    <t>Rauch my tea green 0,5l</t>
  </si>
  <si>
    <t>SIÓ LIGHT ŐSZIBARACK GYÜM.ITAL 25% 1L</t>
  </si>
  <si>
    <t>Schweppes canada dry 0,33l</t>
  </si>
  <si>
    <t>Sconto narancs szénsavas üditő 2liter</t>
  </si>
  <si>
    <t>Sió light alma 1l</t>
  </si>
  <si>
    <t>Sió vilmoskörte 25%  0,5l</t>
  </si>
  <si>
    <t>Smart water grape-eper-bazsalikom 0,6l</t>
  </si>
  <si>
    <t>Sprite 1,75l</t>
  </si>
  <si>
    <t>Sprite zero uborkás 0.5l</t>
  </si>
  <si>
    <t>Szentkirályi limonádé vadmálna 1,5l</t>
  </si>
  <si>
    <t>TopJoy alma-málna-menta 1,5l</t>
  </si>
  <si>
    <t>Xixo ice tea g.citrom 1,5l</t>
  </si>
  <si>
    <t>Xixo ice tea g.citrom 1,5l zero</t>
  </si>
  <si>
    <t>Xixo ice tea szilva 1,5L</t>
  </si>
  <si>
    <t>Yippy multivitamin 0,33l</t>
  </si>
  <si>
    <t>Absolute live mega BCCA grape-lime-pomlo</t>
  </si>
  <si>
    <t>Apenta ÜDÍTŐITAL MÁLNA PET 1.5L</t>
  </si>
  <si>
    <t>Apenta Vitamixx Alma-Mang 1,5l</t>
  </si>
  <si>
    <t>Apenta bodza üdítő ital 1,5liter</t>
  </si>
  <si>
    <t>Apenta light narancs 1.5l</t>
  </si>
  <si>
    <t>Apenta vitamixx körte rebarbara 1,5l</t>
  </si>
  <si>
    <t>Bravo őszibarack 0,2l</t>
  </si>
  <si>
    <t>CAPPY ICE FRUIT ALMA/KÖRTE 12%GY.I. 0.5L</t>
  </si>
  <si>
    <t>Cappy SÁRGABARACK 37% NEKTÁR 1L</t>
  </si>
  <si>
    <t>Cappy alma BRK 1l</t>
  </si>
  <si>
    <t>Cappy pulpy narancs  1liter</t>
  </si>
  <si>
    <t>Coca cola light szénsavas üdítő 0,5liter</t>
  </si>
  <si>
    <t>Frutti italpor 8,5g ribizli</t>
  </si>
  <si>
    <t>Fuzetea őszibarack és hibiszkusz 500ml</t>
  </si>
  <si>
    <t>Globetti citrom ízesítő 200ml</t>
  </si>
  <si>
    <t>Happy day amarena meggy 50% 1L</t>
  </si>
  <si>
    <t>Happy day őszibarack 50% 1L</t>
  </si>
  <si>
    <t>Hey-ho kajszibarack 1l</t>
  </si>
  <si>
    <t>Hohes c mild grapefruit 100% 1l</t>
  </si>
  <si>
    <t>Jana Ice Tea barack 1,5l</t>
  </si>
  <si>
    <t>Kinley tonic zero 0,5L</t>
  </si>
  <si>
    <t>Lipton ice tea őszibarack 1,5l</t>
  </si>
  <si>
    <t>Márka málna üdítő 2liter</t>
  </si>
  <si>
    <t>Márka szamóca limonádé 1,5l</t>
  </si>
  <si>
    <t>Márka szőlő üdítő 2liter</t>
  </si>
  <si>
    <t>Nestea citrom 1,5L</t>
  </si>
  <si>
    <t>Olympos narancs-citrom 1,5l</t>
  </si>
  <si>
    <t>Olympos piros multi-citrom 1,5l</t>
  </si>
  <si>
    <t>Pepsi cola 0,33l</t>
  </si>
  <si>
    <t>Power fruit zöldalma ízű üdítő 750 ml</t>
  </si>
  <si>
    <t>Rauch ice tea 0,5L zero citrom</t>
  </si>
  <si>
    <t>Rauch my tea citrom 0,5l</t>
  </si>
  <si>
    <t>San benedetto citrom zero 0,75l</t>
  </si>
  <si>
    <t>Sió vitatigris sárga 25% 1l</t>
  </si>
  <si>
    <t>Smart vitamin narancs-papaya 0,6l</t>
  </si>
  <si>
    <t>Szentkirályi limonádé vadszőlő 1,5l</t>
  </si>
  <si>
    <t>Xixo Ice Tea Eper-Rooibos 1.5L PET</t>
  </si>
  <si>
    <t>Xixo cola 250ml</t>
  </si>
  <si>
    <t>Xixo ice tea feketeribizli 1.5L</t>
  </si>
  <si>
    <t>Xixo sd citrom 1,5L</t>
  </si>
  <si>
    <t>Yippy cherry 330ml</t>
  </si>
  <si>
    <t>7 UP 0,5l</t>
  </si>
  <si>
    <t>Absolute izotóniás vérnarancs 1l</t>
  </si>
  <si>
    <t>Absolute live BCAA glutamin orange 1l</t>
  </si>
  <si>
    <t>Absolute live fat burner grape-coco 1L</t>
  </si>
  <si>
    <t>Absolute live mega amino mix nar-kaktusz</t>
  </si>
  <si>
    <t>Apenta 1,5l exotic trópusi széns.üdít</t>
  </si>
  <si>
    <t>Apenta ÜDÍTŐITAL GRAPEFRUIT PET 1.5L</t>
  </si>
  <si>
    <t>Bravo meggy rostos 12% 1,5liter</t>
  </si>
  <si>
    <t>CAPPY ICE FRUIT NARANCS MIX 12% 0.5L</t>
  </si>
  <si>
    <t>COOP CITROM ÍZESÍTŐ 40% 1.5L</t>
  </si>
  <si>
    <t>Cappy ŐSZIBARACK 46% NEKTÁR 1L</t>
  </si>
  <si>
    <t>Cappy barack BRK 1l</t>
  </si>
  <si>
    <t>Cappy citrus mix BRK 1l</t>
  </si>
  <si>
    <t>Cappy eper rostos 1liter</t>
  </si>
  <si>
    <t>Cappy pulpy őszibarack rostos 1liter</t>
  </si>
  <si>
    <t>Coca Zero 2,25l</t>
  </si>
  <si>
    <t>Coca cola zero szénsavas üdítő 0,5liter</t>
  </si>
  <si>
    <t>Dr.Pepper 1,5l</t>
  </si>
  <si>
    <t>Fanta dinnye-csillaggyümölcs zero 1,75l</t>
  </si>
  <si>
    <t>Fanta eper-kiwi zéro 1,75l</t>
  </si>
  <si>
    <t>Fanta zero 0.5l</t>
  </si>
  <si>
    <t>Frutta max gyüm. szörp light citrom 500m</t>
  </si>
  <si>
    <t>Frutti italpor 8,5g cola</t>
  </si>
  <si>
    <t>Frutti italpor 8,5g ice tea citrom</t>
  </si>
  <si>
    <t>Frutti italpor 8,5g narancs</t>
  </si>
  <si>
    <t>Frutti italpor 8,5g sárgadinnye</t>
  </si>
  <si>
    <t>Frutti italpor 8,5g tropic</t>
  </si>
  <si>
    <t>Frutti italpor barack 8,5g</t>
  </si>
  <si>
    <t>Frutti italpor málna ízű 8,5g</t>
  </si>
  <si>
    <t>Frutti italpor meggy ízű 8,5g</t>
  </si>
  <si>
    <t>Fuze tea gt gránátalma 400ml</t>
  </si>
  <si>
    <t>Fuzetea citromfű zöldtea zero 500ml</t>
  </si>
  <si>
    <t>Fuzetea zöldtea eper 500ml</t>
  </si>
  <si>
    <t>HOHES C MULTIVITAMIN GYÜMÖLCSLÉ 100% 1L</t>
  </si>
  <si>
    <t>Happy day gránátalma 30% 1l</t>
  </si>
  <si>
    <t>Happy day kajszibarack 1l</t>
  </si>
  <si>
    <t>Happy day narancs-mangó 65% 1l</t>
  </si>
  <si>
    <t>Hey-ho fehérszölő 12% 1l</t>
  </si>
  <si>
    <t>Hey-ho őszibarack 12% 1l</t>
  </si>
  <si>
    <t>Hohes c mild alma-acerola 1l 100%</t>
  </si>
  <si>
    <t>Hohes c narancs 100% 1l</t>
  </si>
  <si>
    <t>Jana Ice Tea citromos 1,5l</t>
  </si>
  <si>
    <t>Kubu 0,3L srépa-alma-málna</t>
  </si>
  <si>
    <t>Kubu Go alma 100% 0,3l</t>
  </si>
  <si>
    <t>Kubu play répa-eper-lime 0.4L</t>
  </si>
  <si>
    <t>LIPTON ICE TEA LEMON ZERO 1,5l</t>
  </si>
  <si>
    <t>Lipton tea green lemon zero 500ml</t>
  </si>
  <si>
    <t>Márka Citrom limonádé 2l</t>
  </si>
  <si>
    <t>Márka zöld tea 1.5l</t>
  </si>
  <si>
    <t>Nestea zöld 1,5l</t>
  </si>
  <si>
    <t>OLYMPOS ALMA-KÖRTE-SZŐLŐ 12% GY.I. 1.5L</t>
  </si>
  <si>
    <t>OLYMPOS TRÓPUSI GYÜMÖLCSITAL 12% 1.5L</t>
  </si>
  <si>
    <t>Olympos light ana-multifruit 1,5l</t>
  </si>
  <si>
    <t>Pepsi black 2,25l</t>
  </si>
  <si>
    <t>Power fruit ananász ízű ital 750ml</t>
  </si>
  <si>
    <t>Power fruit grapefriut ital 0,75l</t>
  </si>
  <si>
    <t>Power fruit gránátalma ízű ital 750ml</t>
  </si>
  <si>
    <t>Powerade lemon zero 500ml</t>
  </si>
  <si>
    <t>RAUCH BRAVO ALMAITAL 12% 1.5L</t>
  </si>
  <si>
    <t>SIÓ NARANCSITAL 12% 0.2L</t>
  </si>
  <si>
    <t>San Benedetto Ice tea citrom 1,5l</t>
  </si>
  <si>
    <t>San Benedetto ice tea citrom zero 0,5l</t>
  </si>
  <si>
    <t>San benedetto ice tea 0,5l zöld tea</t>
  </si>
  <si>
    <t>San benedetto ice tea őszi 0,5l</t>
  </si>
  <si>
    <t>San benedetto pompelmo zero 0,75l</t>
  </si>
  <si>
    <t>Sconto málna 2l</t>
  </si>
  <si>
    <t>Sió alma 100% 1l</t>
  </si>
  <si>
    <t>Sió light antioxidáns 25% 1l</t>
  </si>
  <si>
    <t>Sió light multiplusz 25% 1l</t>
  </si>
  <si>
    <t>Sió prém multivitamin 100% 1l</t>
  </si>
  <si>
    <t>Smart vitamin ananász 0,6l</t>
  </si>
  <si>
    <t>Swiss vitamins C-vitamin+D 250ml</t>
  </si>
  <si>
    <t>Szentkirályi limonádé citrom 1,5l</t>
  </si>
  <si>
    <t>Szentkirályi limonádé jaffás dús 1,5l</t>
  </si>
  <si>
    <t>Szentkirályi limonádé szamócás dús 1,5l</t>
  </si>
  <si>
    <t>Theodora ásványvíz dús eper-menta 1,5l</t>
  </si>
  <si>
    <t>TopJoy alma-görög 0,25l üveg</t>
  </si>
  <si>
    <t>TopJoy alma-meggy 1,5l</t>
  </si>
  <si>
    <t>TopJoy multifruit 1,5l</t>
  </si>
  <si>
    <t>TopJoy őszibarack 50%-os 0,25l</t>
  </si>
  <si>
    <t>Topjoy 250ml többféle</t>
  </si>
  <si>
    <t>Topjoy ice tea citrom 0,25L</t>
  </si>
  <si>
    <t>Xixo Ice tea barack 0.5 liter</t>
  </si>
  <si>
    <t>Xixo ice tea green citrom 0,5l</t>
  </si>
  <si>
    <t>Xixo orange 250ml</t>
  </si>
  <si>
    <t>Xixo sd cola zero 1,5L</t>
  </si>
  <si>
    <t>Xixo sd red grape zero 1,5l</t>
  </si>
  <si>
    <t>Yippy Rberry  0,33l</t>
  </si>
  <si>
    <t>7up 1,75l</t>
  </si>
  <si>
    <t>Absolute creatin-glutamin málna 1l</t>
  </si>
  <si>
    <t>Absolute live BCAA glutamin cherry 1l</t>
  </si>
  <si>
    <t>Absolute live collagen 1l</t>
  </si>
  <si>
    <t>Apenta narancs üdítő ital 1,5liter</t>
  </si>
  <si>
    <t>Bravo green apple 1,5l pet</t>
  </si>
  <si>
    <t>Bravo multivitamin tetra 1,5l</t>
  </si>
  <si>
    <t>Bravo narancs tetra 1,5l</t>
  </si>
  <si>
    <t>Bravo sunny orange üdítő 1,5liter</t>
  </si>
  <si>
    <t>CAPPY ICE FRUIT ALMA/KÖRTE 12%GY.I. 1.5L</t>
  </si>
  <si>
    <t>CAPPY ICE FRUIT NARANCS MIX 12% 1.5L</t>
  </si>
  <si>
    <t>Canada dry 0,5liter</t>
  </si>
  <si>
    <t>Canada dry gyömbér szénsavas üdítő 1,5li</t>
  </si>
  <si>
    <t>Cappy ice fruit Multivitamin 1,5liter</t>
  </si>
  <si>
    <t>Cappy meggy nektár 1l</t>
  </si>
  <si>
    <t>Cappy narancs rostos 1l</t>
  </si>
  <si>
    <t>Coca light 2,25l</t>
  </si>
  <si>
    <t>Coca zero 330ml</t>
  </si>
  <si>
    <t>Coop Tonic üdítő 2l</t>
  </si>
  <si>
    <t>Emotion mandarin-őszibarack 1,5l</t>
  </si>
  <si>
    <t>Empact-X Collagen ananász-papaya 600ml</t>
  </si>
  <si>
    <t>Fanta Bodza 1,75l</t>
  </si>
  <si>
    <t>Fit kids abs.multivitamin málna 0,6l</t>
  </si>
  <si>
    <t>Frutti italpor 8,5 g ananász</t>
  </si>
  <si>
    <t>Frutti italpor 8,5g körte</t>
  </si>
  <si>
    <t>Frutti italpor puncs ízű 8,5g</t>
  </si>
  <si>
    <t>Fuze tea ot szőlő 400ml</t>
  </si>
  <si>
    <t>Fuzetea citrom és citromfű 500ml</t>
  </si>
  <si>
    <t>Gatorade Rberry sportkupak 0,5l</t>
  </si>
  <si>
    <t>Happy day áfonya 30% 1l</t>
  </si>
  <si>
    <t>Happy day fekete ribizli 25% 1l</t>
  </si>
  <si>
    <t>Hey-ho alma 12% 1l</t>
  </si>
  <si>
    <t>Hohes C 1l Magnézium</t>
  </si>
  <si>
    <t>Hohes C plus+ D-vitamin 100% 1l</t>
  </si>
  <si>
    <t>Jana grape-mirabelle 1,5l</t>
  </si>
  <si>
    <t>Kubu 0,3l srépa-alma-körte</t>
  </si>
  <si>
    <t>Lipton ice tea citrom 0,5l</t>
  </si>
  <si>
    <t>Lipton ice tea citrom zero 0,5L</t>
  </si>
  <si>
    <t>Lipton ice tea őszibarack 0,5l</t>
  </si>
  <si>
    <t>Márka cola üdítő 2liter</t>
  </si>
  <si>
    <t>Márka ice tea feketeribizli 1,5l</t>
  </si>
  <si>
    <t>Márka kékszőlő limonádé 2l</t>
  </si>
  <si>
    <t>Márka narancs gyüm.ital 25% 1.5L</t>
  </si>
  <si>
    <t>Mirinda narancs 0,33l</t>
  </si>
  <si>
    <t>Mirinda orange 0,5l</t>
  </si>
  <si>
    <t>Mountain Dew 0.5l</t>
  </si>
  <si>
    <t>Naturaqua emotion lime-menta zero 1,5l</t>
  </si>
  <si>
    <t>Power fruit fradi ital zöldalma</t>
  </si>
  <si>
    <t>Power fruit vörös áfonya üdítő 750 ml</t>
  </si>
  <si>
    <t>SIÓ NARANCSLÉ 100% 1L</t>
  </si>
  <si>
    <t>San benedetto frutti rossi zero 0,75l</t>
  </si>
  <si>
    <t>San benedetto ice tea 0,5l citrom</t>
  </si>
  <si>
    <t>San benedetto narancs zero 0,75l</t>
  </si>
  <si>
    <t>San benedetto zöld ice tea 1,5l pet</t>
  </si>
  <si>
    <t>Schweppes citrus mix 0,5l</t>
  </si>
  <si>
    <t>Schweppes narancs 1,5l</t>
  </si>
  <si>
    <t>Schweppes orange 0,5l</t>
  </si>
  <si>
    <t>Schweppes tonic 1,5l</t>
  </si>
  <si>
    <t>Sconto őszibarack rostos 2liter</t>
  </si>
  <si>
    <t>Sió light alma 25% 0,5l</t>
  </si>
  <si>
    <t>Sió light ananász 25ř% 1L</t>
  </si>
  <si>
    <t>Sió prém őszibarack 50% 1l</t>
  </si>
  <si>
    <t>Smart multivitamin eper-kaktuszfüge 0,6l</t>
  </si>
  <si>
    <t>Süsü gyerekpezsgő alma 0,75L</t>
  </si>
  <si>
    <t>TopJoy Ananász&amp;Kókusz 250ml</t>
  </si>
  <si>
    <t>TopJoy alma 100% 0,25l</t>
  </si>
  <si>
    <t>TopJoy alma-eper-egres 1,5l</t>
  </si>
  <si>
    <t>Veroni izotonic lime 0,7l</t>
  </si>
  <si>
    <t>Veroni izotonic orange 0,7l</t>
  </si>
  <si>
    <t>Veroni vitamin L-Karnitin 0,7l</t>
  </si>
  <si>
    <t>Xixo Ice Tea körte 0,5l</t>
  </si>
  <si>
    <t>Xixo ice tea green citrus 0,5l</t>
  </si>
  <si>
    <t>Xixo ice tea körte 1,5L</t>
  </si>
  <si>
    <t>Xixo sd narancs 1,5</t>
  </si>
  <si>
    <t>Sio vitatigris mix 0.2l</t>
  </si>
  <si>
    <t>Újs.nemzeti sport</t>
  </si>
  <si>
    <t>Könyv, füzet, magazin 499Ft/db 340kód</t>
  </si>
  <si>
    <t>Újs.Story</t>
  </si>
  <si>
    <t>Újs.P.Fifa365ADR.XL kártya</t>
  </si>
  <si>
    <t>Újs.kiskegyed</t>
  </si>
  <si>
    <t>Újs.best</t>
  </si>
  <si>
    <t>Újs.színes rtv</t>
  </si>
  <si>
    <t>Újs.nők lapja</t>
  </si>
  <si>
    <t>Újs. színes rtv</t>
  </si>
  <si>
    <t>Újs. blikk nők</t>
  </si>
  <si>
    <t>Újs.hot</t>
  </si>
  <si>
    <t>Újs.Füles a rejtvénylap</t>
  </si>
  <si>
    <t>Újs.meglepetés</t>
  </si>
  <si>
    <t>ÚJS. Bors</t>
  </si>
  <si>
    <t>Újs.Bors</t>
  </si>
  <si>
    <t>ÚJS.Bors</t>
  </si>
  <si>
    <t>Újs.Telenovella</t>
  </si>
  <si>
    <t>Újs. Kis füles különszám</t>
  </si>
  <si>
    <t>Újs. fanny újság</t>
  </si>
  <si>
    <t>Újs.blikk</t>
  </si>
  <si>
    <t>Újs.népszava</t>
  </si>
  <si>
    <t>Újs. blikk</t>
  </si>
  <si>
    <t>Újs.Hahota</t>
  </si>
  <si>
    <t>Újs.UCLMATCHATTAX 19/20 kártya</t>
  </si>
  <si>
    <t>Újs.tévé revű</t>
  </si>
  <si>
    <t>Újs. pawpetrol matrica</t>
  </si>
  <si>
    <t>Újs.Kedvenc szám szerint</t>
  </si>
  <si>
    <t>Újs.Lego star wars magazin</t>
  </si>
  <si>
    <t>Újs.Macskák naptár 2020.évi</t>
  </si>
  <si>
    <t>Újs.Ripost szombat-vasárnap</t>
  </si>
  <si>
    <t>Újs.Sport plusz</t>
  </si>
  <si>
    <t>Újs.Star</t>
  </si>
  <si>
    <t>Matematika világa</t>
  </si>
  <si>
    <t>Újs. Tvr hét</t>
  </si>
  <si>
    <t>Újs. kétheti rtv műsormagazin</t>
  </si>
  <si>
    <t>Újs. kiskegyed + tvr hét csomag</t>
  </si>
  <si>
    <t>Újs.Heti skandi</t>
  </si>
  <si>
    <t>Újs.Képes Tv műsor</t>
  </si>
  <si>
    <t>Újs.Kis füles különszám Tél</t>
  </si>
  <si>
    <t>Újs.Nagybetűs skandi</t>
  </si>
  <si>
    <t>Újs.Ripost</t>
  </si>
  <si>
    <t>Újs.Természet naptár 2020</t>
  </si>
  <si>
    <t>99 plusz 1 vicc</t>
  </si>
  <si>
    <t>Nagyi kedvence rejtv.könyvl</t>
  </si>
  <si>
    <t>TVR-HÉT-Kiskegyed</t>
  </si>
  <si>
    <t>Újs. Hercegnők magazin</t>
  </si>
  <si>
    <t>Újs. TVR újság</t>
  </si>
  <si>
    <t>Újs. blikk péntek</t>
  </si>
  <si>
    <t>Újs. füles plusz őszi</t>
  </si>
  <si>
    <t>Újs. kéthetes tv</t>
  </si>
  <si>
    <t>Újs. maxi skandi</t>
  </si>
  <si>
    <t>Újs.Disney mesék az aranygyűjteményből</t>
  </si>
  <si>
    <t>Újs.Házi kedvenceink naptár 2020.évi</t>
  </si>
  <si>
    <t>Újs.Kedvenc Skandi</t>
  </si>
  <si>
    <t>Újs.Magyar Nemzet</t>
  </si>
  <si>
    <t>Újs.Nemzeti Sport</t>
  </si>
  <si>
    <t>Újs.Ripost kedd</t>
  </si>
  <si>
    <t>Diana filéhorgolás special</t>
  </si>
  <si>
    <t>Fifa365 2020 kártya</t>
  </si>
  <si>
    <t>Kertek naptár 2020</t>
  </si>
  <si>
    <t>Legendás buszok a múltból</t>
  </si>
  <si>
    <t>Lovak naptár 2020</t>
  </si>
  <si>
    <t>ÚJS. blikk</t>
  </si>
  <si>
    <t>Új.Blikk</t>
  </si>
  <si>
    <t>Újs. Barbie</t>
  </si>
  <si>
    <t>Újs. HVG</t>
  </si>
  <si>
    <t>Újs. Playmobil movie matrica</t>
  </si>
  <si>
    <t>Újs. Vidék íze</t>
  </si>
  <si>
    <t>Újs. cosmopolitan</t>
  </si>
  <si>
    <t>Újs. ezoteria</t>
  </si>
  <si>
    <t>Újs. kéthetes színes</t>
  </si>
  <si>
    <t>Újs. nők lapja konyha</t>
  </si>
  <si>
    <t>Újs.A3-as Kutyák naptár 2020.évi</t>
  </si>
  <si>
    <t>Újs.Betűvadász</t>
  </si>
  <si>
    <t>Újs.Kedvenc naptár Hűség 2020</t>
  </si>
  <si>
    <t>Újs.Kifestő-színező</t>
  </si>
  <si>
    <t>Újs.Kiskegyed extra</t>
  </si>
  <si>
    <t>Újs.Kreatív divattervező</t>
  </si>
  <si>
    <t>Újs.Magyar nemzet</t>
  </si>
  <si>
    <t>Újs.Népszava</t>
  </si>
  <si>
    <t>Újs.Praktika ksz. gyerek</t>
  </si>
  <si>
    <t>Újs.Ripost hétfő</t>
  </si>
  <si>
    <t>Újs.Tarka-barka barkácsfüzet</t>
  </si>
  <si>
    <t>Veranda Starfield Magazin</t>
  </si>
  <si>
    <t>Virágok naptár 2020</t>
  </si>
  <si>
    <t>Coop minden nap HYPO 1l</t>
  </si>
  <si>
    <t>Naturella eü betét night 7db-os</t>
  </si>
  <si>
    <t>Biolux macskaalom 5kg</t>
  </si>
  <si>
    <t>Nemdil baby wet wipes 120db-os</t>
  </si>
  <si>
    <t>Palmolive szappan 90g többfée</t>
  </si>
  <si>
    <t>Coccolino öblítő sensitive 1000/1050ml</t>
  </si>
  <si>
    <t>Baba lanolinos szappan 125g</t>
  </si>
  <si>
    <t>Coop háztartási sósav 1liter</t>
  </si>
  <si>
    <t>Domestos fertőtlenítő pine fresh 750ml</t>
  </si>
  <si>
    <t>Gillette eldobh.borotva blue</t>
  </si>
  <si>
    <t>NATURELLA ULTRA NORMAL EÜ.BETÉT 10DB</t>
  </si>
  <si>
    <t>Signal fogkrém nature kókusz 75ml</t>
  </si>
  <si>
    <t>Coccolino öblítő t.flower 925ml</t>
  </si>
  <si>
    <t>Eszter körömlakklemosó 100ml acetonmente</t>
  </si>
  <si>
    <t>Jar mosogatószer aloe&amp;pink 450ml</t>
  </si>
  <si>
    <t>O.B. Tampon normál 16db</t>
  </si>
  <si>
    <t>Pur mosogató 450ml kéz és körömápoló</t>
  </si>
  <si>
    <t>Tomi mosógél levendula 20 mosás</t>
  </si>
  <si>
    <t>Always ultra super eü.betét super 16db</t>
  </si>
  <si>
    <t>Biopon mosópor color 280g</t>
  </si>
  <si>
    <t>Coccolino öblítő blue splash 1050ml</t>
  </si>
  <si>
    <t>Colgate max fresh 75ml</t>
  </si>
  <si>
    <t>Coop szemeteszsák zárószalagos 60l 15db</t>
  </si>
  <si>
    <t>Flóraszept CITROM TISZTÍTÓSZER 1l</t>
  </si>
  <si>
    <t>Jar mosogatószer aloe&amp;pink 1000/900ml</t>
  </si>
  <si>
    <t>Labello classic  4,8g</t>
  </si>
  <si>
    <t>Ola vattakorong 80db</t>
  </si>
  <si>
    <t>Trixline halogén izzó E27 52W</t>
  </si>
  <si>
    <t>Ariel mosókapszula 14/15 db Levendula</t>
  </si>
  <si>
    <t>CIf spray 750ml vízköoló</t>
  </si>
  <si>
    <t>Coccolino öblítő P.Orchidea 925ml</t>
  </si>
  <si>
    <t>Coccolino öblítő orange rush 1050ml</t>
  </si>
  <si>
    <t>Coop gyufa</t>
  </si>
  <si>
    <t>Doboz bella 1l</t>
  </si>
  <si>
    <t>Ételhordó 3 darabos</t>
  </si>
  <si>
    <t>Mr.Muscle lefolyótisztító 1000ml</t>
  </si>
  <si>
    <t>Signal FAMILY HERBAL FRESH FOGKRÉM 75ML</t>
  </si>
  <si>
    <t>Silkylux mosógél 4liter</t>
  </si>
  <si>
    <t>Szemeteszsák 10L 45X50cm</t>
  </si>
  <si>
    <t>Tiret lefolyó tisztító 750+250ml</t>
  </si>
  <si>
    <t>Tomi kapszula color 14/15 mosás</t>
  </si>
  <si>
    <t>Ajax lemosó türkiz 1l</t>
  </si>
  <si>
    <t>Alufólia 20m</t>
  </si>
  <si>
    <t>Always ultra normál plusz 2X10DB</t>
  </si>
  <si>
    <t>Amodent fogkrém original 100ml</t>
  </si>
  <si>
    <t>Ariel 300g Color</t>
  </si>
  <si>
    <t>BABA vadszeder gyömbér tus 400ml</t>
  </si>
  <si>
    <t>Belux nedves törlőkendő Málna 120db</t>
  </si>
  <si>
    <t>CIF súrolókrém 500ml lemon</t>
  </si>
  <si>
    <t>Carefreetisz. betét aloe 30db</t>
  </si>
  <si>
    <t>Clin ablaktisztító szórófej.citr.500ml</t>
  </si>
  <si>
    <t>Coccolino öblítő blue s. 1800ml</t>
  </si>
  <si>
    <t>Colgate fogkrém 100 ml Propolis</t>
  </si>
  <si>
    <t>Coop tampon szuper 16db-os</t>
  </si>
  <si>
    <t>Domestos fertőtlenítő citrus 750ml</t>
  </si>
  <si>
    <t>Domestos fertőtlenítő levendula 750ml</t>
  </si>
  <si>
    <t>Dove tusfürdő nutrium moisture 250ml</t>
  </si>
  <si>
    <t>Duck fresh Wc tiszt. Marine 750ml</t>
  </si>
  <si>
    <t>Flóraszept OTTHON TISZTÍTÓSZER 1L</t>
  </si>
  <si>
    <t>Fürdőkesztyű</t>
  </si>
  <si>
    <t>Girafe pelenka junior 12</t>
  </si>
  <si>
    <t>Ludwik mosogatószer 500ml Kamilla</t>
  </si>
  <si>
    <t>MIRax lefolyótisztító 1l</t>
  </si>
  <si>
    <t>O.B. tampon normal procomf. 16db</t>
  </si>
  <si>
    <t>Palmolive szappan Thermal Spa 90g</t>
  </si>
  <si>
    <t>Palmolive tusfürdő 750ml Többféle</t>
  </si>
  <si>
    <t>Pur balzsam mosogatószer 450ml</t>
  </si>
  <si>
    <t>Silky folyékony szappan citrom 1L</t>
  </si>
  <si>
    <t>Tomi mosópor amazonia 18 mosás</t>
  </si>
  <si>
    <t>Tomi mosópor color 4 mosás 300g</t>
  </si>
  <si>
    <t>Tomi mosópor japánkert color 18 mosás</t>
  </si>
  <si>
    <t>lenor öblítő summer breeze 930ml</t>
  </si>
  <si>
    <t>1olgate fogkrém 100ml fresh mint</t>
  </si>
  <si>
    <t>AJAX ÁLT.LEMOSÓ Marseille 1L</t>
  </si>
  <si>
    <t>Ajax lemosó lemon 1l</t>
  </si>
  <si>
    <t>Ajax lemosó zöld/gyöngyvirág 1l</t>
  </si>
  <si>
    <t>Always ultra night sensitive 14db-os</t>
  </si>
  <si>
    <t>Aquafresh allinone fogkrém 100ml</t>
  </si>
  <si>
    <t>Aquafresh fogkrém white&amp;shine 100ml</t>
  </si>
  <si>
    <t>Ariel mosókapszula Active 3in1 13db</t>
  </si>
  <si>
    <t>BABA TUSFÜRDŐ LANOLINOS 400ML</t>
  </si>
  <si>
    <t>Baba tusfürdő Zöldcitrom és menta 400ml</t>
  </si>
  <si>
    <t>Baba tusfürdő férfi sport 400ml</t>
  </si>
  <si>
    <t>Baba tusfürdő levendula 400ml</t>
  </si>
  <si>
    <t>Búvár lefolyócső tisztító 250g</t>
  </si>
  <si>
    <t>Calgon ball tabletta 15db</t>
  </si>
  <si>
    <t>Cif mosogató utántöltő 500ml mint</t>
  </si>
  <si>
    <t>Clean mosogatókendő 5db</t>
  </si>
  <si>
    <t>Clorfix fehérítő virág 1l</t>
  </si>
  <si>
    <t>Coccolino öblítő 1680ml nárcisz</t>
  </si>
  <si>
    <t>Coccolino öblítő Snapdragon 1680ml</t>
  </si>
  <si>
    <t>Coccolino öblítő nárcisz 925ml</t>
  </si>
  <si>
    <t>Coccolino öblítő p.flower 925ml</t>
  </si>
  <si>
    <t>Coccolino öblítő waterlily 925ml</t>
  </si>
  <si>
    <t>Colgate fogkrém 100ml triple action</t>
  </si>
  <si>
    <t>Colgate fogkrém whitening 100ml</t>
  </si>
  <si>
    <t>Coop mosogatószer koncentrátum 500ml</t>
  </si>
  <si>
    <t>Coop szemeteszsák zárószalagos 110l 10db</t>
  </si>
  <si>
    <t>Coop tampon normál 16db-os</t>
  </si>
  <si>
    <t>Dalma ecetes vízkőoldó 1l</t>
  </si>
  <si>
    <t>Domestos fertőtlenítő 750ml pink</t>
  </si>
  <si>
    <t>Elseve sampon 250ml többféle</t>
  </si>
  <si>
    <t>Elseve újra felt.samp</t>
  </si>
  <si>
    <t>Fay fültisztító dobozos 200db</t>
  </si>
  <si>
    <t>Flup lefolyótisztító gran. 60g hideg</t>
  </si>
  <si>
    <t>Hip-tom vízkőoldó háztartási 1l</t>
  </si>
  <si>
    <t>Jar mosogató chanomille&amp;vit 500/450ml</t>
  </si>
  <si>
    <t>Jar mosogató tabletta platplus 15db</t>
  </si>
  <si>
    <t>Jar mosogatószer orange&amp;lemon 450ml</t>
  </si>
  <si>
    <t>Kelly frissentartó fólia 30m</t>
  </si>
  <si>
    <t>Labello ajakápoló mango 4,8g</t>
  </si>
  <si>
    <t>Lenor öblítő spring awaking 930ml</t>
  </si>
  <si>
    <t>Lorin folyékony szappan 500ml antis</t>
  </si>
  <si>
    <t>Ludwik mosogatószer argán olaj 500g</t>
  </si>
  <si>
    <t>Mazzini Sütőpapír szilikonos 8m</t>
  </si>
  <si>
    <t>Mosószóda 1kg</t>
  </si>
  <si>
    <t>Nivea 250ml Silver Protect</t>
  </si>
  <si>
    <t>Nivea Tusfürdő ffi. 250ml, nature/sens</t>
  </si>
  <si>
    <t>O.B.tampon night normál 16db</t>
  </si>
  <si>
    <t>PALMOLIVE FOLY.SZAPPAN MANDULATEJ 300ML</t>
  </si>
  <si>
    <t>PALMOLIVE FOLY.SZAPPAN MILK&amp;HONEY 300ML</t>
  </si>
  <si>
    <t>Palmolive ffi tusfürdő 250ml többféle</t>
  </si>
  <si>
    <t>Pk hűtőtasak 20x30cm 60 darabos</t>
  </si>
  <si>
    <t>Pur mosogató 450ml 3action citrom</t>
  </si>
  <si>
    <t>Pur mosogatóbalzsam 900ml</t>
  </si>
  <si>
    <t>Pur ut 450ml 3*act lemon</t>
  </si>
  <si>
    <t>Pure aroma légfrissítő 250ml</t>
  </si>
  <si>
    <t>Pure aroma légfrissítő utt 250ml</t>
  </si>
  <si>
    <t>Silan 2l/1,85l Patchouli&amp;lotus</t>
  </si>
  <si>
    <t>Silan öblítő 1850ml citrus&amp;frang</t>
  </si>
  <si>
    <t>Silan öblítő 925ml Sensitive</t>
  </si>
  <si>
    <t>Silan öblítő coconat water 2l/1,8l</t>
  </si>
  <si>
    <t>Silan öblítő orange&amp;magnolia 925ml</t>
  </si>
  <si>
    <t>Speciális normál izzó 75W</t>
  </si>
  <si>
    <t>Szivacskendő 5 db</t>
  </si>
  <si>
    <t>Taft hajzselé power active 150ml</t>
  </si>
  <si>
    <t>Tálka fodros közepes</t>
  </si>
  <si>
    <t>Tomi 4mosás amazónia mosópor 300g</t>
  </si>
  <si>
    <t>Tomi mosógél japánkert color 20 mosás</t>
  </si>
  <si>
    <t>Tomi mosógél maláj orchidea 20 mosás</t>
  </si>
  <si>
    <t>Tomi mosógél mandulatej 20 mosás</t>
  </si>
  <si>
    <t>Tomi mosópor color 18 mosás</t>
  </si>
  <si>
    <t>Veled Szemeteszsák 70x110cm 135l</t>
  </si>
  <si>
    <t>Well done hideg zsíroldó 1literes szfej</t>
  </si>
  <si>
    <t>ALWAYS ULTRA EÜ.BETÉT NIGHT 7DB</t>
  </si>
  <si>
    <t>AXE DEO DARK TEMPTATION 150ML</t>
  </si>
  <si>
    <t>Ajax lemosó lila 1l</t>
  </si>
  <si>
    <t>Ajax lemosó mandula 1000ml</t>
  </si>
  <si>
    <t>Always ultra night duo 14</t>
  </si>
  <si>
    <t>Ambi pur textilfrissítő lenor 500ml</t>
  </si>
  <si>
    <t>Ambi pur textilfrissítő thai 500ml</t>
  </si>
  <si>
    <t>Aquafresh Fresh&amp;Minty 100ml</t>
  </si>
  <si>
    <t>Ariel mosópor 1,4kg Fresh 20 mosás</t>
  </si>
  <si>
    <t>Ariel mosópor touch of lenor 2,8kg</t>
  </si>
  <si>
    <t>BABA TUSFÜRDŐ FÉRFIAKNAK 400ML</t>
  </si>
  <si>
    <t>BROS molyírtó spray 150ml</t>
  </si>
  <si>
    <t>Baba sheavaj narancsvirág 400ml</t>
  </si>
  <si>
    <t>Baba testápoló 400ml intenzív</t>
  </si>
  <si>
    <t>Baba testápoló kakaóvaj 400ml</t>
  </si>
  <si>
    <t>Baba tusfürdő Gyöngyvirág&amp;Viola 400ml</t>
  </si>
  <si>
    <t>Baba tusfürdő görögdinnye 400ml</t>
  </si>
  <si>
    <t>Baba tusfürdő kakaóvaj 400ML</t>
  </si>
  <si>
    <t>Baba tusfürdő magnólia 400ml</t>
  </si>
  <si>
    <t>Bebe ajakír 4,9g classic</t>
  </si>
  <si>
    <t>Bebe ajakír többféle 4,9g</t>
  </si>
  <si>
    <t>Bella vatta 100g</t>
  </si>
  <si>
    <t>Biopon áztató 500g</t>
  </si>
  <si>
    <t>Biopon mosógél 20mosás Color</t>
  </si>
  <si>
    <t>Bonus lapsúroló 5db</t>
  </si>
  <si>
    <t>Bref megapack power aktív  3*50g</t>
  </si>
  <si>
    <t>Bros gél rovarcsípésre 35ml</t>
  </si>
  <si>
    <t>Búvár lefolyócső tisztító meleg v.200g</t>
  </si>
  <si>
    <t>CIF MOSOGATÓ SENSITIV BL.UTT.ÚJ 500ML</t>
  </si>
  <si>
    <t>CIF súrolószer fehér 250ml</t>
  </si>
  <si>
    <t>CLEANIC fültisztító pálcika aloe vera</t>
  </si>
  <si>
    <t>Caola babahintőpor 100g narancsvirág</t>
  </si>
  <si>
    <t>Caola hintőpor kamilla 100g</t>
  </si>
  <si>
    <t>Carefree tiszt.betét illatmentes 34db</t>
  </si>
  <si>
    <t>Chirton légfrissítő jázmin 300ml</t>
  </si>
  <si>
    <t>Cif Súrolókrém 500ml, Pink</t>
  </si>
  <si>
    <t>Cif brillance ocean 1l</t>
  </si>
  <si>
    <t>Cif súrolókrém 250 ml pink flower</t>
  </si>
  <si>
    <t>Cif súrolókrém lemon 250ml</t>
  </si>
  <si>
    <t>Cleanic vattakorong 120db+50db gratis</t>
  </si>
  <si>
    <t>Clin ablaktisztító gyümölcsecetes 500ml</t>
  </si>
  <si>
    <t>Coccolino öblítő happy y. 1800ml</t>
  </si>
  <si>
    <t>Coccolino öblítő sensitive 1800ml</t>
  </si>
  <si>
    <t>Coccolino öblítő t.flower 1680ml</t>
  </si>
  <si>
    <t>Colgate herbal 100ml</t>
  </si>
  <si>
    <t>Coop FOLYÉKONY COLOR MOSÓSZER 1500ML</t>
  </si>
  <si>
    <t>Coop SWEET BABY TÖRLŐKENDŐ 72DB 365G</t>
  </si>
  <si>
    <t>Coop ablaktisztító szórófejes 500ml</t>
  </si>
  <si>
    <t>Coop hideg zsíroldó 500ml</t>
  </si>
  <si>
    <t>Coop minden nap mosószappan 200g</t>
  </si>
  <si>
    <t>Denim deo gold 150ml</t>
  </si>
  <si>
    <t>Dino gyermek fogkrém 50ml junior</t>
  </si>
  <si>
    <t>Domestos Universal spray 750ml</t>
  </si>
  <si>
    <t>Domestos zéro wc tisztító blue 750ml</t>
  </si>
  <si>
    <t>Dosia Mosópor 300g white</t>
  </si>
  <si>
    <t>Dove tusf. Relaxing ritual 250ml</t>
  </si>
  <si>
    <t>Dove tusf. invigorating ritual 250ml</t>
  </si>
  <si>
    <t>Dove tusfürdő 250ml kókusz-jázmin</t>
  </si>
  <si>
    <t>Dove tusfürdő fresh revitalize 250ml</t>
  </si>
  <si>
    <t>Duck Fresh Wc tisztító Dazzlin 750ml</t>
  </si>
  <si>
    <t>Elseve balzsam dream long 200ml</t>
  </si>
  <si>
    <t>Elseve hajbalzsam 200ml arginine resist</t>
  </si>
  <si>
    <t>Elseve sampon Arginine res. 250ml</t>
  </si>
  <si>
    <t>Elseve sampon dream long 250ml</t>
  </si>
  <si>
    <t>Eszter körömlakklemosó 100ml</t>
  </si>
  <si>
    <t>Fa deo 150ml</t>
  </si>
  <si>
    <t>Fa tusfürdő men comfort dive 250ml</t>
  </si>
  <si>
    <t>Felmosófej 120g fehér</t>
  </si>
  <si>
    <t>Fine fehérítő kendő 12db</t>
  </si>
  <si>
    <t>Fine színvédő kendő 12db</t>
  </si>
  <si>
    <t>Flóraszept fertőtlenítő spray 700ml</t>
  </si>
  <si>
    <t>Flóraszept fertőtlenítő spray fürdő700ml</t>
  </si>
  <si>
    <t>Flup lefolyótisztító 60g meleg</t>
  </si>
  <si>
    <t>Funtastic légfrissítő levendula 250ml</t>
  </si>
  <si>
    <t>Funtastic légfrissítő vanília 250ml</t>
  </si>
  <si>
    <t>Gabi tusfürdő 400ml</t>
  </si>
  <si>
    <t>General légfrissítő 300+100ml gyöngyv</t>
  </si>
  <si>
    <t>Gilette blue3 piros 3db-os</t>
  </si>
  <si>
    <t>Giraffe pelenka midi 16</t>
  </si>
  <si>
    <t>Giraffe szódabikarbóna 1500g</t>
  </si>
  <si>
    <t>H&amp;S sampon old spice 270ml</t>
  </si>
  <si>
    <t>Jar mosogató 900ml kamilla</t>
  </si>
  <si>
    <t>Jar mosogató citrom 500/450ml</t>
  </si>
  <si>
    <t>Jar mosogató orange 1000/900ml</t>
  </si>
  <si>
    <t>Jar mosogató tea tree&amp;mint 1000/900ml</t>
  </si>
  <si>
    <t>Kelly folpack 20fm</t>
  </si>
  <si>
    <t>Kék pille kozmetikai korong 30db-os</t>
  </si>
  <si>
    <t>Kék pille kozmetikai sminkvatta 70db</t>
  </si>
  <si>
    <t>Kímélő hatású mosószappan 175g</t>
  </si>
  <si>
    <t>Listerine szájvíz total care 250ml</t>
  </si>
  <si>
    <t>Lorilux mosógél color fresh 4l</t>
  </si>
  <si>
    <t>Lorilux mosógél universal 4L</t>
  </si>
  <si>
    <t>Lorin folyékony szappan többféle 1l</t>
  </si>
  <si>
    <t>Lorin folyékonyszappan 500ml almond</t>
  </si>
  <si>
    <t>Lorin öblítő soft white 1000ml</t>
  </si>
  <si>
    <t>Lorin sensitive öblitő 1l</t>
  </si>
  <si>
    <t>Malizia foly.szappan antibakteriál 300ml</t>
  </si>
  <si>
    <t>Malizia foly.szappan szedres 300ml</t>
  </si>
  <si>
    <t>Mazzini folpack 30m</t>
  </si>
  <si>
    <t>Mazzini sütőpapír 8m-es</t>
  </si>
  <si>
    <t>Naturella eü betét 20db-os calendula</t>
  </si>
  <si>
    <t>Nivea 250 ml Active Clean</t>
  </si>
  <si>
    <t>Nivea kézkrém 75ml jojoba</t>
  </si>
  <si>
    <t>Nivea sampon ffi cool kick 250ml</t>
  </si>
  <si>
    <t>Nivea sampon ffi strong 250ml</t>
  </si>
  <si>
    <t>Nivea soft krém 100ml</t>
  </si>
  <si>
    <t>Nivea soft krém 50ml</t>
  </si>
  <si>
    <t>Nivea tusfürdő creme soft 750ml</t>
  </si>
  <si>
    <t>O.B. tampon procomfort mini 16db</t>
  </si>
  <si>
    <t>Old spice csomag deo+tusf. Wolfthorn</t>
  </si>
  <si>
    <t>Ovenáll fogkrém huncut 50ml</t>
  </si>
  <si>
    <t>PALMOLIVE FOLY.SZAPPAN OLIVE MILK 300ML</t>
  </si>
  <si>
    <t>PALMOLIVE TUSFÜRDŐ OLIVE MILK 250ML</t>
  </si>
  <si>
    <t>Palette BW12 term.szőke</t>
  </si>
  <si>
    <t>Palette C10 sarki ezüstszőke</t>
  </si>
  <si>
    <t>Palette ICC 7-560 bronz barna</t>
  </si>
  <si>
    <t>Palette ICC BW7</t>
  </si>
  <si>
    <t>Palette ICC W2 étcsoki</t>
  </si>
  <si>
    <t>Palette intenzív sötét vörös 4-88</t>
  </si>
  <si>
    <t>Palmolive foly. szap. 300ml Black Orchid</t>
  </si>
  <si>
    <t>Palmolive szappan for men 90g</t>
  </si>
  <si>
    <t>Palmolive szappan makadám olaj 90g</t>
  </si>
  <si>
    <t>Palmolive tusfürdő kókuszos 500ml</t>
  </si>
  <si>
    <t>Palmolive tusfürdő strawberry  250ml</t>
  </si>
  <si>
    <t>Persil duo kapszula emerald 14db-os</t>
  </si>
  <si>
    <t>Perwoll care&amp;repair 900ml</t>
  </si>
  <si>
    <t>Perwoll color&amp;fiber 900ml</t>
  </si>
  <si>
    <t>Perwoll mosószer black 3D 900ml</t>
  </si>
  <si>
    <t>Pk sütőpapír 10méter 35cm</t>
  </si>
  <si>
    <t>Pur mosogató 900ml 3action lemon</t>
  </si>
  <si>
    <t>Pur mosogató 900ml kézkimélő</t>
  </si>
  <si>
    <t>Pur mosogató argánolaj 900ml</t>
  </si>
  <si>
    <t>Pur mosogató gold kókusz 700ml</t>
  </si>
  <si>
    <t>Pur mosogató málna 900ml</t>
  </si>
  <si>
    <t>Pur ut 450ml 3*act aloe vera</t>
  </si>
  <si>
    <t>Schauma sampon férfi 250ml</t>
  </si>
  <si>
    <t>Schauma sampon ffi citromfű 250ml</t>
  </si>
  <si>
    <t>Schauma sampon strength&amp;vital 250ml</t>
  </si>
  <si>
    <t>Silan öblítő 1L/925ml Lotus</t>
  </si>
  <si>
    <t>Silan öblítő 2l/1,85l Fresh Sky</t>
  </si>
  <si>
    <t>Silan öblítő 925ml Spring Fresh</t>
  </si>
  <si>
    <t>Silan öblítő Fresh spring 1,85l</t>
  </si>
  <si>
    <t>Silan öblítő citrus 925ml</t>
  </si>
  <si>
    <t>Silan öblítő fresh sky 1l/925ml</t>
  </si>
  <si>
    <t>Silan öblítő jasmine&amp;lily 925ml</t>
  </si>
  <si>
    <t>Silan öblítő rose&amp;peony 925ml</t>
  </si>
  <si>
    <t>Silan rose oil&amp;peony 1,85l</t>
  </si>
  <si>
    <t>Silky folyékony szappan atlantic 0,5l</t>
  </si>
  <si>
    <t>Silky folyékony szappan barack 1L</t>
  </si>
  <si>
    <t>Silkylux mosógél white power 2l</t>
  </si>
  <si>
    <t>TAFT POWER AKTÍV HAJZSELÉ 150ML</t>
  </si>
  <si>
    <t>Taft hajlakk Power express 250ml</t>
  </si>
  <si>
    <t>Taft looks hajzselé káosz hatás 150ml</t>
  </si>
  <si>
    <t>Tetra hűtőszagtalanító gömb</t>
  </si>
  <si>
    <t>Tomi kapszula Color 14 mosás</t>
  </si>
  <si>
    <t>Tomi mosógél amazonia 20 mosás</t>
  </si>
  <si>
    <t>Tomi mosópor maláj orchidea 18 mosás</t>
  </si>
  <si>
    <t>Trixline Halogén izzó E 27 70W</t>
  </si>
  <si>
    <t>Uzsonnás tasak 100db 25*35</t>
  </si>
  <si>
    <t>Üvegtisztító kendő 1db</t>
  </si>
  <si>
    <t>Vanish szappan 250g</t>
  </si>
  <si>
    <t>Silky mosógél 1,5l többféle</t>
  </si>
  <si>
    <t>COOP EXTRUDÁLT KUKORICAPEH.PAPRIKÁS 75G</t>
  </si>
  <si>
    <t>Zöldség akciós termék 8-as kód</t>
    <phoneticPr fontId="3" type="noConversion"/>
  </si>
  <si>
    <t>Burgonya/kg kód:388</t>
  </si>
  <si>
    <t>Hegyes erős paprika /db kód:265</t>
  </si>
  <si>
    <t>Petrezselyem /cs 237</t>
  </si>
  <si>
    <t>Alma idared /kg 111 kód</t>
  </si>
  <si>
    <t>Mandarin /kg  kód:224</t>
  </si>
  <si>
    <t>Paradicsom I.o. /kg 382 kód</t>
  </si>
  <si>
    <t>Vöröshagyma /kg 234</t>
  </si>
  <si>
    <t>Sárgarépa /kg kód:231</t>
  </si>
  <si>
    <t>Kígyó uborka /kg 257 kód</t>
  </si>
  <si>
    <t>Aszalványok , magvak Ferike-R nagyker</t>
  </si>
  <si>
    <t>Karalábé /db 216 kód</t>
  </si>
  <si>
    <t>Újhagyma /db 236 kód</t>
  </si>
  <si>
    <t>CITROM /kg.207</t>
  </si>
  <si>
    <t>Káposzta fejes /kg 210-es kód</t>
  </si>
  <si>
    <t>Szilva /kg 112 kód</t>
  </si>
  <si>
    <t>Alma golden /kg 144</t>
  </si>
  <si>
    <t>Lila hagyma /kg 222</t>
  </si>
  <si>
    <t>Körte /kg 221</t>
  </si>
  <si>
    <t>Kínai kel/kg   kód:262</t>
  </si>
  <si>
    <t>Kelkáposzta  /kg. 108</t>
  </si>
  <si>
    <t>GYÖKÉR /kg.213</t>
  </si>
  <si>
    <t>Zeller gumó /kg 258 kód</t>
  </si>
  <si>
    <t>Karfiol/kg 106-os kód</t>
  </si>
  <si>
    <t>Kiwi /kg kód:316</t>
  </si>
  <si>
    <t>Grapefruit /kg 212kód</t>
  </si>
  <si>
    <t>Póréhagyma /db 230kód</t>
  </si>
  <si>
    <t>Champion gomba tálcás 987kód</t>
  </si>
  <si>
    <t>Sörretek/db kód: 1241</t>
  </si>
  <si>
    <t>Burgonya piros édesburgonya /kg 675</t>
  </si>
  <si>
    <t>Jégcsap retek /KG.670</t>
  </si>
  <si>
    <t>SÜTŐTÖK /kg 233kód</t>
  </si>
  <si>
    <t>FOKHAGYMA /kg 208</t>
  </si>
  <si>
    <t>GYÖMBÉR /kg  214kód</t>
  </si>
  <si>
    <t>Kiwi /db 318kód</t>
  </si>
  <si>
    <t>Lila káposzta /kg.242</t>
  </si>
  <si>
    <t>Mangó/db   kód:425</t>
  </si>
  <si>
    <t>PoMELO /db 244-es kód</t>
  </si>
  <si>
    <t>Sótlan mogyoró /kg 211kód</t>
  </si>
  <si>
    <t>Banán /kg 241-es kód</t>
  </si>
  <si>
    <t>Narancs /kg   kód:225</t>
  </si>
  <si>
    <t>Tv paprika/kg 1211-es kód</t>
  </si>
  <si>
    <t>Vecsési káposzta/kg  kód:770</t>
  </si>
  <si>
    <t>Vecsési,cékla,paprika,uborka,hagyma/kg</t>
  </si>
  <si>
    <t>Búzadara Nagyi titka 1kg</t>
  </si>
  <si>
    <t>Blikk</t>
  </si>
  <si>
    <t>Fitactive dog 180g crispillo</t>
  </si>
  <si>
    <t>Prevital száraz eledel 400g marha</t>
  </si>
  <si>
    <t>Fiactive cat 300g3in1</t>
  </si>
  <si>
    <t>Rice Up snack étcsokis 50g</t>
  </si>
  <si>
    <t>Product Description</t>
    <phoneticPr fontId="1" type="noConversion"/>
  </si>
  <si>
    <t>Moher food kft</t>
    <phoneticPr fontId="3" type="noConversion"/>
  </si>
  <si>
    <t>Moher food kft</t>
  </si>
  <si>
    <t>Slepp ker</t>
  </si>
  <si>
    <t>Honi</t>
  </si>
  <si>
    <t>VízSztár Kereskedelmi kft</t>
  </si>
  <si>
    <t>Power Life Team kft</t>
  </si>
  <si>
    <t>One euro market</t>
  </si>
  <si>
    <t>LmLand kereskedelmi kft</t>
  </si>
  <si>
    <t>Prezentex kft</t>
  </si>
  <si>
    <t>Vimpex drink kft</t>
  </si>
  <si>
    <t>Gasztroizmus</t>
  </si>
  <si>
    <t>Pince Term. és Ker. Kft</t>
  </si>
  <si>
    <t>Dion Bor &amp; Mámor</t>
  </si>
  <si>
    <t>Főv ásv és üdítő ital</t>
  </si>
  <si>
    <t>Csokisztár Kft</t>
  </si>
  <si>
    <t>Fuky-Csoki E.V.</t>
  </si>
  <si>
    <t>Készlet rendezés</t>
  </si>
  <si>
    <t>ALICE</t>
  </si>
  <si>
    <t>Pastry Lizola Kft</t>
  </si>
  <si>
    <t>Kovács sütis Mézes Krémes</t>
  </si>
  <si>
    <t>Kozma attila mágnás sütis</t>
  </si>
  <si>
    <t>Kinga-süti Kft</t>
  </si>
  <si>
    <t>M.L. energy kft</t>
  </si>
  <si>
    <t>Bed-Boy's Kft</t>
  </si>
  <si>
    <t>Aquarius-Aqua kft.</t>
  </si>
  <si>
    <t>Bahamas kft</t>
  </si>
  <si>
    <t>UNI-FLOCK KFT</t>
  </si>
  <si>
    <t>Biomark Kft</t>
  </si>
  <si>
    <t>Goodmilk kft</t>
  </si>
  <si>
    <t>KEDVENC JIM KFT</t>
  </si>
  <si>
    <t>Zádor Kft.</t>
  </si>
  <si>
    <t>Nyerthús Kft</t>
  </si>
  <si>
    <t>HH LÉtavértes</t>
  </si>
  <si>
    <t>Selejt felvágottas hűtő</t>
  </si>
  <si>
    <t>Dvori baromfi csirke</t>
  </si>
  <si>
    <t>SJS-MEAT BT</t>
  </si>
  <si>
    <t>Selejt csirke</t>
  </si>
  <si>
    <t>Nyomtatvány és Irodai E.</t>
  </si>
  <si>
    <t>Simple Everyday ltd.</t>
  </si>
  <si>
    <t>Tofu kínai</t>
  </si>
  <si>
    <t>Leilei Kft</t>
  </si>
  <si>
    <t>Leilei Paper Kft</t>
  </si>
  <si>
    <t>Baráti árak kft</t>
  </si>
  <si>
    <t>Selejt szárazáru bolti</t>
  </si>
  <si>
    <t>Teveszed kft</t>
  </si>
  <si>
    <t>Windy-ker kft</t>
  </si>
  <si>
    <t>LIDL</t>
  </si>
  <si>
    <t>Lidl</t>
  </si>
  <si>
    <t>Báthory Imre</t>
  </si>
  <si>
    <t>TimerPlusz Kft</t>
  </si>
  <si>
    <t>Gnt impex kft</t>
  </si>
  <si>
    <t>Non-stop sütöde 2000 kft</t>
  </si>
  <si>
    <t>Non-stop sütöde kft</t>
  </si>
  <si>
    <t>Péceli kenyérgyár kft</t>
  </si>
  <si>
    <t>Linzer pékség</t>
  </si>
  <si>
    <t>Schaff zöldség savanyú</t>
  </si>
  <si>
    <t>Tesco</t>
  </si>
  <si>
    <t>Cserpes-Sajtműhely KFT.</t>
  </si>
  <si>
    <t>Danone kft</t>
  </si>
  <si>
    <t>Pro Pasta Floriana</t>
  </si>
  <si>
    <t>Méri tojás kft</t>
  </si>
  <si>
    <t>Selejt zöldség</t>
  </si>
  <si>
    <t>Swiss Laboratory Kft</t>
  </si>
  <si>
    <t>Lapker zrt</t>
  </si>
  <si>
    <t>Iq service</t>
  </si>
  <si>
    <t>Lapker</t>
  </si>
  <si>
    <t>Foodluck hungary kft</t>
  </si>
  <si>
    <t>Korno-Tát</t>
  </si>
  <si>
    <t>Dai dong</t>
  </si>
  <si>
    <t>Ad-Vesz Kft.</t>
  </si>
  <si>
    <t>Satin silk kft</t>
  </si>
  <si>
    <t>Zöldség</t>
  </si>
  <si>
    <t>Metro</t>
  </si>
  <si>
    <t>Németh Ferenc e.v.</t>
  </si>
  <si>
    <t>Supplier</t>
    <phoneticPr fontId="1" type="noConversion"/>
  </si>
  <si>
    <t>Unit</t>
    <phoneticPr fontId="1" type="noConversion"/>
  </si>
  <si>
    <t>Amount</t>
    <phoneticPr fontId="1" type="noConversion"/>
  </si>
  <si>
    <t>Price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</si>
</sst>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##########"/>
    <numFmt numFmtId="177" formatCode="#,##0.00;[Blue]\-#,##0.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238"/>
      <scheme val="minor"/>
    </font>
    <font>
      <sz val="9"/>
      <name val="等线"/>
      <family val="3"/>
      <charset val="134"/>
      <scheme val="minor"/>
    </font>
    <font>
      <sz val="11"/>
      <color theme="1"/>
      <name val="Cambria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>
      <alignment horizontal="left"/>
    </xf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77" fontId="0" fillId="0" borderId="0" xfId="0" applyNumberFormat="1" applyAlignment="1"/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/>
    <xf numFmtId="49" fontId="0" fillId="0" borderId="0" xfId="0" applyNumberFormat="1" applyAlignmen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2181-DE2E-4935-857B-5F6F53C5CE68}">
  <dimension ref="A1:F3447"/>
  <sheetViews>
    <sheetView tabSelected="1" workbookViewId="0">
      <selection activeCell="B3400" sqref="B3400"/>
    </sheetView>
  </sheetViews>
  <sheetFormatPr defaultRowHeight="14.25" x14ac:dyDescent="0.2"/>
  <cols>
    <col min="1" max="1" width="19.75" style="1" bestFit="1" customWidth="1"/>
    <col min="2" max="2" width="45.25" style="1" bestFit="1" customWidth="1"/>
    <col min="3" max="3" width="25.25" style="1" bestFit="1" customWidth="1"/>
    <col min="4" max="4" width="14" style="1" customWidth="1"/>
  </cols>
  <sheetData>
    <row r="1" spans="1:6" s="4" customFormat="1" x14ac:dyDescent="0.2">
      <c r="A1" s="4" t="s">
        <v>0</v>
      </c>
      <c r="B1" s="4" t="s">
        <v>3372</v>
      </c>
      <c r="C1" s="4" t="s">
        <v>3447</v>
      </c>
      <c r="D1" s="7" t="s">
        <v>3450</v>
      </c>
      <c r="E1" s="4" t="s">
        <v>3448</v>
      </c>
      <c r="F1" s="4" t="s">
        <v>3449</v>
      </c>
    </row>
    <row r="2" spans="1:6" x14ac:dyDescent="0.2">
      <c r="A2" s="2" t="str">
        <f>"5998749106877"</f>
        <v>5998749106877</v>
      </c>
      <c r="B2" s="1" t="s">
        <v>1</v>
      </c>
      <c r="C2" s="9" t="s">
        <v>3373</v>
      </c>
      <c r="D2" s="6">
        <v>163.93</v>
      </c>
      <c r="F2">
        <v>100</v>
      </c>
    </row>
    <row r="3" spans="1:6" x14ac:dyDescent="0.2">
      <c r="A3" s="2" t="str">
        <f>"5900951017322"</f>
        <v>5900951017322</v>
      </c>
      <c r="B3" s="1" t="s">
        <v>2</v>
      </c>
      <c r="C3" s="9" t="s">
        <v>3374</v>
      </c>
      <c r="D3" s="6">
        <v>122.09</v>
      </c>
      <c r="F3">
        <v>100</v>
      </c>
    </row>
    <row r="4" spans="1:6" x14ac:dyDescent="0.2">
      <c r="A4" s="2" t="str">
        <f>"4008429713316"</f>
        <v>4008429713316</v>
      </c>
      <c r="B4" s="1" t="s">
        <v>3</v>
      </c>
      <c r="C4" s="9" t="s">
        <v>3374</v>
      </c>
      <c r="D4" s="6">
        <v>369.5</v>
      </c>
      <c r="F4">
        <v>100</v>
      </c>
    </row>
    <row r="5" spans="1:6" x14ac:dyDescent="0.2">
      <c r="A5" s="2" t="str">
        <f>"5999508137514"</f>
        <v>5999508137514</v>
      </c>
      <c r="B5" s="1" t="s">
        <v>4</v>
      </c>
      <c r="C5" s="9" t="s">
        <v>3374</v>
      </c>
      <c r="D5" s="6">
        <v>115.43</v>
      </c>
      <c r="F5">
        <v>100</v>
      </c>
    </row>
    <row r="6" spans="1:6" x14ac:dyDescent="0.2">
      <c r="A6" s="2" t="str">
        <f>"5900951017292"</f>
        <v>5900951017292</v>
      </c>
      <c r="B6" s="1" t="s">
        <v>5</v>
      </c>
      <c r="C6" s="9" t="s">
        <v>3375</v>
      </c>
      <c r="D6" s="6">
        <v>122.18</v>
      </c>
      <c r="F6">
        <v>100</v>
      </c>
    </row>
    <row r="7" spans="1:6" x14ac:dyDescent="0.2">
      <c r="A7" s="2" t="str">
        <f>"4008429090110"</f>
        <v>4008429090110</v>
      </c>
      <c r="B7" s="1" t="s">
        <v>6</v>
      </c>
      <c r="C7" s="9" t="s">
        <v>3375</v>
      </c>
      <c r="D7" s="6">
        <v>302.48</v>
      </c>
      <c r="F7">
        <v>100</v>
      </c>
    </row>
    <row r="8" spans="1:6" x14ac:dyDescent="0.2">
      <c r="A8" s="2" t="str">
        <f>"5900951017261"</f>
        <v>5900951017261</v>
      </c>
      <c r="B8" s="1" t="s">
        <v>7</v>
      </c>
      <c r="C8" s="9" t="s">
        <v>3374</v>
      </c>
      <c r="D8" s="6">
        <v>122.84</v>
      </c>
      <c r="F8">
        <v>100</v>
      </c>
    </row>
    <row r="9" spans="1:6" x14ac:dyDescent="0.2">
      <c r="A9" s="2" t="str">
        <f>"7613035339910"</f>
        <v>7613035339910</v>
      </c>
      <c r="B9" s="1" t="s">
        <v>8</v>
      </c>
      <c r="C9" s="9" t="s">
        <v>3374</v>
      </c>
      <c r="D9" s="6">
        <v>105.74</v>
      </c>
      <c r="F9">
        <v>100</v>
      </c>
    </row>
    <row r="10" spans="1:6" x14ac:dyDescent="0.2">
      <c r="A10" s="2" t="str">
        <f>"5999508137538"</f>
        <v>5999508137538</v>
      </c>
      <c r="B10" s="1" t="s">
        <v>9</v>
      </c>
      <c r="C10" s="9" t="s">
        <v>3374</v>
      </c>
      <c r="D10" s="6">
        <v>276.45</v>
      </c>
      <c r="F10">
        <v>100</v>
      </c>
    </row>
    <row r="11" spans="1:6" x14ac:dyDescent="0.2">
      <c r="A11" s="2" t="str">
        <f>"5900951014031"</f>
        <v>5900951014031</v>
      </c>
      <c r="B11" s="1" t="s">
        <v>10</v>
      </c>
      <c r="C11" s="9" t="s">
        <v>3375</v>
      </c>
      <c r="D11" s="6">
        <v>321.14</v>
      </c>
      <c r="F11">
        <v>100</v>
      </c>
    </row>
    <row r="12" spans="1:6" x14ac:dyDescent="0.2">
      <c r="A12" s="2" t="str">
        <f>"5999546170405"</f>
        <v>5999546170405</v>
      </c>
      <c r="B12" s="1" t="s">
        <v>11</v>
      </c>
      <c r="C12" s="9" t="s">
        <v>3374</v>
      </c>
      <c r="D12" s="6">
        <v>276.42</v>
      </c>
      <c r="F12">
        <v>100</v>
      </c>
    </row>
    <row r="13" spans="1:6" x14ac:dyDescent="0.2">
      <c r="A13" s="2" t="str">
        <f>"5999508137699"</f>
        <v>5999508137699</v>
      </c>
      <c r="B13" s="1" t="s">
        <v>12</v>
      </c>
      <c r="C13" s="9" t="s">
        <v>3374</v>
      </c>
      <c r="D13" s="6">
        <v>276.44</v>
      </c>
      <c r="F13">
        <v>100</v>
      </c>
    </row>
    <row r="14" spans="1:6" x14ac:dyDescent="0.2">
      <c r="A14" s="2" t="str">
        <f>"5999508137507"</f>
        <v>5999508137507</v>
      </c>
      <c r="B14" s="1" t="s">
        <v>13</v>
      </c>
      <c r="C14" s="9" t="s">
        <v>3374</v>
      </c>
      <c r="D14" s="6">
        <v>115.43</v>
      </c>
      <c r="F14">
        <v>100</v>
      </c>
    </row>
    <row r="15" spans="1:6" x14ac:dyDescent="0.2">
      <c r="A15" s="2" t="str">
        <f>"7613033735837"</f>
        <v>7613033735837</v>
      </c>
      <c r="B15" s="1" t="s">
        <v>14</v>
      </c>
      <c r="C15" s="9" t="s">
        <v>3374</v>
      </c>
      <c r="D15" s="6">
        <v>502.55</v>
      </c>
      <c r="F15">
        <v>100</v>
      </c>
    </row>
    <row r="16" spans="1:6" x14ac:dyDescent="0.2">
      <c r="A16" s="2" t="str">
        <f>"7613035343603"</f>
        <v>7613035343603</v>
      </c>
      <c r="B16" s="1" t="s">
        <v>15</v>
      </c>
      <c r="C16" s="9" t="s">
        <v>3374</v>
      </c>
      <c r="D16" s="6">
        <v>373.46</v>
      </c>
      <c r="F16">
        <v>100</v>
      </c>
    </row>
    <row r="17" spans="1:6" x14ac:dyDescent="0.2">
      <c r="A17" s="2" t="str">
        <f>"7613035343948"</f>
        <v>7613035343948</v>
      </c>
      <c r="B17" s="1" t="s">
        <v>16</v>
      </c>
      <c r="C17" s="9" t="s">
        <v>3374</v>
      </c>
      <c r="D17" s="6">
        <v>105.74</v>
      </c>
      <c r="F17">
        <v>100</v>
      </c>
    </row>
    <row r="18" spans="1:6" x14ac:dyDescent="0.2">
      <c r="A18" s="2" t="str">
        <f>"9003579302279"</f>
        <v>9003579302279</v>
      </c>
      <c r="B18" s="1" t="s">
        <v>17</v>
      </c>
      <c r="C18" s="9" t="s">
        <v>3374</v>
      </c>
      <c r="D18" s="6">
        <v>345</v>
      </c>
      <c r="F18">
        <v>100</v>
      </c>
    </row>
    <row r="19" spans="1:6" x14ac:dyDescent="0.2">
      <c r="A19" s="2" t="str">
        <f>"5010394002981"</f>
        <v>5010394002981</v>
      </c>
      <c r="B19" s="1" t="s">
        <v>18</v>
      </c>
      <c r="C19" s="9" t="s">
        <v>3374</v>
      </c>
      <c r="D19" s="6">
        <v>338.53</v>
      </c>
      <c r="F19">
        <v>100</v>
      </c>
    </row>
    <row r="20" spans="1:6" x14ac:dyDescent="0.2">
      <c r="A20" s="2" t="str">
        <f>"5999508137521"</f>
        <v>5999508137521</v>
      </c>
      <c r="B20" s="1" t="s">
        <v>19</v>
      </c>
      <c r="C20" s="9" t="s">
        <v>3374</v>
      </c>
      <c r="D20" s="6">
        <v>276.45</v>
      </c>
      <c r="F20">
        <v>100</v>
      </c>
    </row>
    <row r="21" spans="1:6" x14ac:dyDescent="0.2">
      <c r="A21" s="2" t="str">
        <f>"5999508137552"</f>
        <v>5999508137552</v>
      </c>
      <c r="B21" s="1" t="s">
        <v>20</v>
      </c>
      <c r="C21" s="9" t="s">
        <v>3374</v>
      </c>
      <c r="D21" s="6">
        <v>115.24</v>
      </c>
      <c r="F21">
        <v>100</v>
      </c>
    </row>
    <row r="22" spans="1:6" x14ac:dyDescent="0.2">
      <c r="A22" s="2" t="str">
        <f>"5999508137569"</f>
        <v>5999508137569</v>
      </c>
      <c r="B22" s="1" t="s">
        <v>21</v>
      </c>
      <c r="C22" s="9" t="s">
        <v>3374</v>
      </c>
      <c r="D22" s="6">
        <v>117.62</v>
      </c>
      <c r="F22">
        <v>100</v>
      </c>
    </row>
    <row r="23" spans="1:6" x14ac:dyDescent="0.2">
      <c r="A23" s="2" t="str">
        <f>"7613033016141"</f>
        <v>7613033016141</v>
      </c>
      <c r="B23" s="1" t="s">
        <v>22</v>
      </c>
      <c r="C23" s="9" t="s">
        <v>3374</v>
      </c>
      <c r="D23" s="6">
        <v>150.36000000000001</v>
      </c>
      <c r="F23">
        <v>100</v>
      </c>
    </row>
    <row r="24" spans="1:6" x14ac:dyDescent="0.2">
      <c r="A24" s="2" t="str">
        <f>"9003579302552"</f>
        <v>9003579302552</v>
      </c>
      <c r="B24" s="1" t="s">
        <v>23</v>
      </c>
      <c r="C24" s="9" t="s">
        <v>3375</v>
      </c>
      <c r="D24" s="6">
        <v>294.47000000000003</v>
      </c>
      <c r="F24">
        <v>100</v>
      </c>
    </row>
    <row r="25" spans="1:6" x14ac:dyDescent="0.2">
      <c r="A25" s="2" t="str">
        <f>"9003579302545"</f>
        <v>9003579302545</v>
      </c>
      <c r="B25" s="1" t="s">
        <v>24</v>
      </c>
      <c r="C25" s="9" t="s">
        <v>3374</v>
      </c>
      <c r="D25" s="6">
        <v>280.33</v>
      </c>
      <c r="F25">
        <v>100</v>
      </c>
    </row>
    <row r="26" spans="1:6" x14ac:dyDescent="0.2">
      <c r="A26" s="2" t="str">
        <f>"5999546172768"</f>
        <v>5999546172768</v>
      </c>
      <c r="B26" s="1" t="s">
        <v>25</v>
      </c>
      <c r="C26" s="9" t="s">
        <v>3375</v>
      </c>
      <c r="D26" s="6">
        <v>95.04</v>
      </c>
      <c r="F26">
        <v>100</v>
      </c>
    </row>
    <row r="27" spans="1:6" x14ac:dyDescent="0.2">
      <c r="A27" s="2" t="str">
        <f>"4770608239671"</f>
        <v>4770608239671</v>
      </c>
      <c r="B27" s="1" t="s">
        <v>26</v>
      </c>
      <c r="C27" s="9" t="s">
        <v>3375</v>
      </c>
      <c r="D27" s="6">
        <v>133.44</v>
      </c>
      <c r="F27">
        <v>100</v>
      </c>
    </row>
    <row r="28" spans="1:6" x14ac:dyDescent="0.2">
      <c r="A28" s="2" t="str">
        <f>"4770608239138"</f>
        <v>4770608239138</v>
      </c>
      <c r="B28" s="1" t="s">
        <v>27</v>
      </c>
      <c r="C28" s="9" t="s">
        <v>3375</v>
      </c>
      <c r="D28" s="6">
        <v>133.44</v>
      </c>
      <c r="F28">
        <v>100</v>
      </c>
    </row>
    <row r="29" spans="1:6" x14ac:dyDescent="0.2">
      <c r="A29" s="2" t="str">
        <f>"5998749119754"</f>
        <v>5998749119754</v>
      </c>
      <c r="B29" s="1" t="s">
        <v>28</v>
      </c>
      <c r="C29" s="9" t="s">
        <v>3375</v>
      </c>
      <c r="D29" s="6">
        <v>264.01</v>
      </c>
      <c r="F29">
        <v>100</v>
      </c>
    </row>
    <row r="30" spans="1:6" x14ac:dyDescent="0.2">
      <c r="A30" s="2" t="str">
        <f>"5999508137682"</f>
        <v>5999508137682</v>
      </c>
      <c r="B30" s="1" t="s">
        <v>29</v>
      </c>
      <c r="C30" s="9" t="s">
        <v>3374</v>
      </c>
      <c r="D30" s="6">
        <v>276.45</v>
      </c>
      <c r="F30">
        <v>100</v>
      </c>
    </row>
    <row r="31" spans="1:6" x14ac:dyDescent="0.2">
      <c r="A31" s="2" t="str">
        <f>"5999546171426"</f>
        <v>5999546171426</v>
      </c>
      <c r="B31" s="1" t="s">
        <v>30</v>
      </c>
      <c r="C31" s="9" t="s">
        <v>3374</v>
      </c>
      <c r="D31" s="6">
        <v>82.42</v>
      </c>
      <c r="F31">
        <v>100</v>
      </c>
    </row>
    <row r="32" spans="1:6" x14ac:dyDescent="0.2">
      <c r="A32" s="2" t="str">
        <f>"7613033016202"</f>
        <v>7613033016202</v>
      </c>
      <c r="B32" s="1" t="s">
        <v>31</v>
      </c>
      <c r="C32" s="9" t="s">
        <v>3374</v>
      </c>
      <c r="D32" s="6">
        <v>150.59</v>
      </c>
      <c r="F32">
        <v>100</v>
      </c>
    </row>
    <row r="33" spans="1:6" x14ac:dyDescent="0.2">
      <c r="A33" s="2" t="str">
        <f>"7613035343580"</f>
        <v>7613035343580</v>
      </c>
      <c r="B33" s="1" t="s">
        <v>32</v>
      </c>
      <c r="C33" s="9" t="s">
        <v>3374</v>
      </c>
      <c r="D33" s="6">
        <v>372.49</v>
      </c>
      <c r="F33">
        <v>100</v>
      </c>
    </row>
    <row r="34" spans="1:6" x14ac:dyDescent="0.2">
      <c r="A34" s="2" t="str">
        <f>"5999508137989"</f>
        <v>5999508137989</v>
      </c>
      <c r="B34" s="1" t="s">
        <v>33</v>
      </c>
      <c r="C34" s="9" t="s">
        <v>3374</v>
      </c>
      <c r="D34" s="6">
        <v>95.46</v>
      </c>
      <c r="F34">
        <v>100</v>
      </c>
    </row>
    <row r="35" spans="1:6" x14ac:dyDescent="0.2">
      <c r="A35" s="2" t="str">
        <f>"5999882459073"</f>
        <v>5999882459073</v>
      </c>
      <c r="B35" s="1" t="s">
        <v>34</v>
      </c>
      <c r="C35" s="9" t="s">
        <v>3376</v>
      </c>
      <c r="D35" s="6">
        <v>353.56</v>
      </c>
      <c r="F35">
        <v>100</v>
      </c>
    </row>
    <row r="36" spans="1:6" x14ac:dyDescent="0.2">
      <c r="A36" s="2" t="str">
        <f>"7613034734945"</f>
        <v>7613034734945</v>
      </c>
      <c r="B36" s="1" t="s">
        <v>35</v>
      </c>
      <c r="C36" s="9" t="s">
        <v>3374</v>
      </c>
      <c r="D36" s="6">
        <v>229.34</v>
      </c>
      <c r="F36">
        <v>100</v>
      </c>
    </row>
    <row r="37" spans="1:6" x14ac:dyDescent="0.2">
      <c r="A37" s="2" t="str">
        <f>"5999546171211"</f>
        <v>5999546171211</v>
      </c>
      <c r="B37" s="1" t="s">
        <v>36</v>
      </c>
      <c r="C37" s="9" t="s">
        <v>3374</v>
      </c>
      <c r="D37" s="6">
        <v>168.2</v>
      </c>
      <c r="F37">
        <v>100</v>
      </c>
    </row>
    <row r="38" spans="1:6" x14ac:dyDescent="0.2">
      <c r="A38" s="2" t="str">
        <f>"7613033016172"</f>
        <v>7613033016172</v>
      </c>
      <c r="B38" s="1" t="s">
        <v>37</v>
      </c>
      <c r="C38" s="9" t="s">
        <v>3374</v>
      </c>
      <c r="D38" s="6">
        <v>150.36000000000001</v>
      </c>
      <c r="F38">
        <v>100</v>
      </c>
    </row>
    <row r="39" spans="1:6" x14ac:dyDescent="0.2">
      <c r="A39" s="2" t="str">
        <f>"5998274308968"</f>
        <v>5998274308968</v>
      </c>
      <c r="B39" s="1" t="s">
        <v>38</v>
      </c>
      <c r="C39" s="9" t="s">
        <v>3374</v>
      </c>
      <c r="D39" s="6">
        <v>173.62</v>
      </c>
      <c r="F39">
        <v>100</v>
      </c>
    </row>
    <row r="40" spans="1:6" x14ac:dyDescent="0.2">
      <c r="A40" s="2" t="str">
        <f>"5998274309118"</f>
        <v>5998274309118</v>
      </c>
      <c r="B40" s="1" t="s">
        <v>39</v>
      </c>
      <c r="C40" s="9" t="s">
        <v>3375</v>
      </c>
      <c r="D40" s="6">
        <v>172.5</v>
      </c>
      <c r="F40">
        <v>100</v>
      </c>
    </row>
    <row r="41" spans="1:6" x14ac:dyDescent="0.2">
      <c r="A41" s="2" t="str">
        <f>"5998274302904"</f>
        <v>5998274302904</v>
      </c>
      <c r="B41" s="1" t="s">
        <v>40</v>
      </c>
      <c r="C41" s="9" t="s">
        <v>3375</v>
      </c>
      <c r="D41" s="6">
        <v>282.82</v>
      </c>
      <c r="F41">
        <v>100</v>
      </c>
    </row>
    <row r="42" spans="1:6" x14ac:dyDescent="0.2">
      <c r="A42" s="2" t="str">
        <f>"5998274308685"</f>
        <v>5998274308685</v>
      </c>
      <c r="B42" s="1" t="s">
        <v>41</v>
      </c>
      <c r="C42" s="9" t="s">
        <v>3375</v>
      </c>
      <c r="D42" s="6">
        <v>623.04</v>
      </c>
      <c r="F42">
        <v>100</v>
      </c>
    </row>
    <row r="43" spans="1:6" x14ac:dyDescent="0.2">
      <c r="A43" s="2" t="str">
        <f>"5998749128060"</f>
        <v>5998749128060</v>
      </c>
      <c r="B43" s="1" t="s">
        <v>42</v>
      </c>
      <c r="C43" s="9" t="s">
        <v>3374</v>
      </c>
      <c r="D43" s="6">
        <v>548.04</v>
      </c>
      <c r="F43">
        <v>100</v>
      </c>
    </row>
    <row r="44" spans="1:6" x14ac:dyDescent="0.2">
      <c r="A44" s="2" t="str">
        <f>"5999546170436"</f>
        <v>5999546170436</v>
      </c>
      <c r="B44" s="1" t="s">
        <v>43</v>
      </c>
      <c r="C44" s="9" t="s">
        <v>3374</v>
      </c>
      <c r="D44" s="6">
        <v>96.11</v>
      </c>
      <c r="F44">
        <v>100</v>
      </c>
    </row>
    <row r="45" spans="1:6" x14ac:dyDescent="0.2">
      <c r="A45" s="2" t="str">
        <f>"5999508134339"</f>
        <v>5999508134339</v>
      </c>
      <c r="B45" s="1" t="s">
        <v>44</v>
      </c>
      <c r="C45" s="9" t="s">
        <v>3375</v>
      </c>
      <c r="D45" s="6">
        <v>258.24</v>
      </c>
      <c r="F45">
        <v>100</v>
      </c>
    </row>
    <row r="46" spans="1:6" x14ac:dyDescent="0.2">
      <c r="A46" s="2" t="str">
        <f>"8595606400023"</f>
        <v>8595606400023</v>
      </c>
      <c r="B46" s="1" t="s">
        <v>45</v>
      </c>
      <c r="C46" s="9" t="s">
        <v>3375</v>
      </c>
      <c r="D46" s="6">
        <v>84.44</v>
      </c>
      <c r="F46">
        <v>100</v>
      </c>
    </row>
    <row r="47" spans="1:6" x14ac:dyDescent="0.2">
      <c r="A47" s="2" t="str">
        <f>"4770608257804"</f>
        <v>4770608257804</v>
      </c>
      <c r="B47" s="1" t="s">
        <v>46</v>
      </c>
      <c r="C47" s="9" t="s">
        <v>3374</v>
      </c>
      <c r="D47" s="6">
        <v>441.35</v>
      </c>
      <c r="F47">
        <v>100</v>
      </c>
    </row>
    <row r="48" spans="1:6" x14ac:dyDescent="0.2">
      <c r="A48" s="2" t="str">
        <f>"5999567920287"</f>
        <v>5999567920287</v>
      </c>
      <c r="B48" s="1" t="s">
        <v>47</v>
      </c>
      <c r="C48" s="9" t="s">
        <v>3375</v>
      </c>
      <c r="D48" s="6">
        <v>283.2</v>
      </c>
      <c r="F48">
        <v>100</v>
      </c>
    </row>
    <row r="49" spans="1:6" x14ac:dyDescent="0.2">
      <c r="A49" s="2" t="str">
        <f>"7613034966162"</f>
        <v>7613034966162</v>
      </c>
      <c r="B49" s="1" t="s">
        <v>48</v>
      </c>
      <c r="C49" s="9" t="s">
        <v>3374</v>
      </c>
      <c r="D49" s="6">
        <v>503.43</v>
      </c>
      <c r="F49">
        <v>100</v>
      </c>
    </row>
    <row r="50" spans="1:6" x14ac:dyDescent="0.2">
      <c r="A50" s="2" t="str">
        <f>"7613034629852"</f>
        <v>7613034629852</v>
      </c>
      <c r="B50" s="1" t="s">
        <v>49</v>
      </c>
      <c r="C50" s="9" t="s">
        <v>3374</v>
      </c>
      <c r="D50" s="6">
        <v>150.36000000000001</v>
      </c>
      <c r="F50">
        <v>100</v>
      </c>
    </row>
    <row r="51" spans="1:6" x14ac:dyDescent="0.2">
      <c r="A51" s="2" t="str">
        <f>"5998274310510"</f>
        <v>5998274310510</v>
      </c>
      <c r="B51" s="1" t="s">
        <v>50</v>
      </c>
      <c r="C51" s="9" t="s">
        <v>3374</v>
      </c>
      <c r="D51" s="6">
        <v>305.55</v>
      </c>
      <c r="F51">
        <v>100</v>
      </c>
    </row>
    <row r="52" spans="1:6" x14ac:dyDescent="0.2">
      <c r="A52" s="2" t="str">
        <f>"5999546170481"</f>
        <v>5999546170481</v>
      </c>
      <c r="B52" s="1" t="s">
        <v>51</v>
      </c>
      <c r="C52" s="9" t="s">
        <v>3376</v>
      </c>
      <c r="D52" s="6">
        <v>114.53</v>
      </c>
      <c r="F52">
        <v>100</v>
      </c>
    </row>
    <row r="53" spans="1:6" x14ac:dyDescent="0.2">
      <c r="A53" s="2" t="str">
        <f>"5998274302935"</f>
        <v>5998274302935</v>
      </c>
      <c r="B53" s="1" t="s">
        <v>52</v>
      </c>
      <c r="C53" s="9" t="s">
        <v>3375</v>
      </c>
      <c r="D53" s="6">
        <v>283.2</v>
      </c>
      <c r="F53">
        <v>100</v>
      </c>
    </row>
    <row r="54" spans="1:6" x14ac:dyDescent="0.2">
      <c r="A54" s="2" t="str">
        <f>"5998274307947"</f>
        <v>5998274307947</v>
      </c>
      <c r="B54" s="1" t="s">
        <v>53</v>
      </c>
      <c r="C54" s="9" t="s">
        <v>3375</v>
      </c>
      <c r="D54" s="6">
        <v>133.44</v>
      </c>
      <c r="F54">
        <v>100</v>
      </c>
    </row>
    <row r="55" spans="1:6" x14ac:dyDescent="0.2">
      <c r="A55" s="2" t="str">
        <f>"5998274308692"</f>
        <v>5998274308692</v>
      </c>
      <c r="B55" s="1" t="s">
        <v>54</v>
      </c>
      <c r="C55" s="9" t="s">
        <v>3375</v>
      </c>
      <c r="D55" s="6">
        <v>623.04</v>
      </c>
      <c r="F55">
        <v>100</v>
      </c>
    </row>
    <row r="56" spans="1:6" x14ac:dyDescent="0.2">
      <c r="A56" s="2" t="str">
        <f>"5900951017315"</f>
        <v>5900951017315</v>
      </c>
      <c r="B56" s="1" t="s">
        <v>55</v>
      </c>
      <c r="C56" s="9" t="s">
        <v>3374</v>
      </c>
      <c r="D56" s="6">
        <v>123.94</v>
      </c>
      <c r="F56">
        <v>100</v>
      </c>
    </row>
    <row r="57" spans="1:6" x14ac:dyDescent="0.2">
      <c r="A57" s="2" t="str">
        <f>"5999508137996"</f>
        <v>5999508137996</v>
      </c>
      <c r="B57" s="1" t="s">
        <v>56</v>
      </c>
      <c r="C57" s="9" t="s">
        <v>3375</v>
      </c>
      <c r="D57" s="6">
        <v>95.24</v>
      </c>
      <c r="F57">
        <v>100</v>
      </c>
    </row>
    <row r="58" spans="1:6" x14ac:dyDescent="0.2">
      <c r="A58" s="2" t="str">
        <f>"5999508134360"</f>
        <v>5999508134360</v>
      </c>
      <c r="B58" s="1" t="s">
        <v>57</v>
      </c>
      <c r="C58" s="9" t="s">
        <v>3375</v>
      </c>
      <c r="D58" s="6">
        <v>114.24</v>
      </c>
      <c r="F58">
        <v>100</v>
      </c>
    </row>
    <row r="59" spans="1:6" x14ac:dyDescent="0.2">
      <c r="A59" s="2" t="str">
        <f>"4008429056710"</f>
        <v>4008429056710</v>
      </c>
      <c r="B59" s="1" t="s">
        <v>58</v>
      </c>
      <c r="C59" s="9" t="s">
        <v>3374</v>
      </c>
      <c r="D59" s="6">
        <v>367.64</v>
      </c>
      <c r="F59">
        <v>100</v>
      </c>
    </row>
    <row r="60" spans="1:6" x14ac:dyDescent="0.2">
      <c r="A60" s="2" t="str">
        <f>"4770608239152"</f>
        <v>4770608239152</v>
      </c>
      <c r="B60" s="1" t="s">
        <v>59</v>
      </c>
      <c r="C60" s="9" t="s">
        <v>3375</v>
      </c>
      <c r="D60" s="6">
        <v>133.44</v>
      </c>
      <c r="F60">
        <v>100</v>
      </c>
    </row>
    <row r="61" spans="1:6" x14ac:dyDescent="0.2">
      <c r="A61" s="2" t="str">
        <f>"5900951014093"</f>
        <v>5900951014093</v>
      </c>
      <c r="B61" s="1" t="s">
        <v>60</v>
      </c>
      <c r="C61" s="9" t="s">
        <v>3375</v>
      </c>
      <c r="D61" s="6">
        <v>337.87</v>
      </c>
      <c r="F61">
        <v>100</v>
      </c>
    </row>
    <row r="62" spans="1:6" x14ac:dyDescent="0.2">
      <c r="A62" s="2" t="str">
        <f>"5999562460047"</f>
        <v>5999562460047</v>
      </c>
      <c r="B62" s="1" t="s">
        <v>61</v>
      </c>
      <c r="C62" s="9" t="s">
        <v>3376</v>
      </c>
      <c r="D62" s="6">
        <v>187.96</v>
      </c>
      <c r="F62">
        <v>100</v>
      </c>
    </row>
    <row r="63" spans="1:6" x14ac:dyDescent="0.2">
      <c r="A63" s="2" t="str">
        <f>"5999562460023"</f>
        <v>5999562460023</v>
      </c>
      <c r="B63" s="1" t="s">
        <v>62</v>
      </c>
      <c r="C63" s="9" t="s">
        <v>3376</v>
      </c>
      <c r="D63" s="6">
        <v>187.96</v>
      </c>
      <c r="F63">
        <v>100</v>
      </c>
    </row>
    <row r="64" spans="1:6" x14ac:dyDescent="0.2">
      <c r="A64" s="2" t="str">
        <f>"5999567920263"</f>
        <v>5999567920263</v>
      </c>
      <c r="B64" s="1" t="s">
        <v>63</v>
      </c>
      <c r="C64" s="9" t="s">
        <v>3375</v>
      </c>
      <c r="D64" s="6">
        <v>254.39</v>
      </c>
      <c r="F64">
        <v>100</v>
      </c>
    </row>
    <row r="65" spans="1:6" x14ac:dyDescent="0.2">
      <c r="A65" s="2" t="str">
        <f>"5998749119778"</f>
        <v>5998749119778</v>
      </c>
      <c r="B65" s="1" t="s">
        <v>64</v>
      </c>
      <c r="C65" s="9" t="s">
        <v>3374</v>
      </c>
      <c r="D65" s="6">
        <v>260.85000000000002</v>
      </c>
      <c r="F65">
        <v>100</v>
      </c>
    </row>
    <row r="66" spans="1:6" x14ac:dyDescent="0.2">
      <c r="A66" s="2" t="str">
        <f>"5999508137705"</f>
        <v>5999508137705</v>
      </c>
      <c r="B66" s="1" t="s">
        <v>65</v>
      </c>
      <c r="C66" s="9" t="s">
        <v>3374</v>
      </c>
      <c r="D66" s="6">
        <v>276.45</v>
      </c>
      <c r="F66">
        <v>100</v>
      </c>
    </row>
    <row r="67" spans="1:6" x14ac:dyDescent="0.2">
      <c r="A67" s="2" t="str">
        <f>"5999508137712"</f>
        <v>5999508137712</v>
      </c>
      <c r="B67" s="1" t="s">
        <v>66</v>
      </c>
      <c r="C67" s="9" t="s">
        <v>3374</v>
      </c>
      <c r="D67" s="6">
        <v>118.04</v>
      </c>
      <c r="F67">
        <v>100</v>
      </c>
    </row>
    <row r="68" spans="1:6" x14ac:dyDescent="0.2">
      <c r="A68" s="2" t="str">
        <f>"5999508139266"</f>
        <v>5999508139266</v>
      </c>
      <c r="B68" s="1" t="s">
        <v>67</v>
      </c>
      <c r="C68" s="9" t="s">
        <v>3374</v>
      </c>
      <c r="D68" s="6">
        <v>629.5</v>
      </c>
      <c r="F68">
        <v>100</v>
      </c>
    </row>
    <row r="69" spans="1:6" x14ac:dyDescent="0.2">
      <c r="A69" s="2" t="str">
        <f>"5999508139273"</f>
        <v>5999508139273</v>
      </c>
      <c r="B69" s="1" t="s">
        <v>68</v>
      </c>
      <c r="C69" s="9" t="s">
        <v>3374</v>
      </c>
      <c r="D69" s="6">
        <v>629.28</v>
      </c>
      <c r="F69">
        <v>100</v>
      </c>
    </row>
    <row r="70" spans="1:6" x14ac:dyDescent="0.2">
      <c r="A70" s="2" t="str">
        <f>"5999508139259"</f>
        <v>5999508139259</v>
      </c>
      <c r="B70" s="1" t="s">
        <v>69</v>
      </c>
      <c r="C70" s="9" t="s">
        <v>3374</v>
      </c>
      <c r="D70" s="6">
        <v>629.20000000000005</v>
      </c>
      <c r="F70">
        <v>100</v>
      </c>
    </row>
    <row r="71" spans="1:6" x14ac:dyDescent="0.2">
      <c r="A71" s="2" t="str">
        <f>"7613033017391"</f>
        <v>7613033017391</v>
      </c>
      <c r="B71" s="1" t="s">
        <v>70</v>
      </c>
      <c r="C71" s="9" t="s">
        <v>3374</v>
      </c>
      <c r="D71" s="6">
        <v>503.43</v>
      </c>
      <c r="F71">
        <v>100</v>
      </c>
    </row>
    <row r="72" spans="1:6" x14ac:dyDescent="0.2">
      <c r="A72" s="2" t="str">
        <f>"5998274310527"</f>
        <v>5998274310527</v>
      </c>
      <c r="B72" s="1" t="s">
        <v>71</v>
      </c>
      <c r="C72" s="9" t="s">
        <v>3374</v>
      </c>
      <c r="D72" s="6">
        <v>305.55</v>
      </c>
      <c r="F72">
        <v>100</v>
      </c>
    </row>
    <row r="73" spans="1:6" x14ac:dyDescent="0.2">
      <c r="A73" s="2" t="str">
        <f>"4008429043314"</f>
        <v>4008429043314</v>
      </c>
      <c r="B73" s="1" t="s">
        <v>72</v>
      </c>
      <c r="C73" s="9" t="s">
        <v>3374</v>
      </c>
      <c r="D73" s="6">
        <v>315.26</v>
      </c>
      <c r="F73">
        <v>100</v>
      </c>
    </row>
    <row r="74" spans="1:6" x14ac:dyDescent="0.2">
      <c r="A74" s="2" t="str">
        <f>"5900951134005"</f>
        <v>5900951134005</v>
      </c>
      <c r="B74" s="1" t="s">
        <v>73</v>
      </c>
      <c r="C74" s="9" t="s">
        <v>3375</v>
      </c>
      <c r="D74" s="6">
        <v>349.94</v>
      </c>
      <c r="F74">
        <v>100</v>
      </c>
    </row>
    <row r="75" spans="1:6" x14ac:dyDescent="0.2">
      <c r="A75" s="2" t="str">
        <f>"4008429044212"</f>
        <v>4008429044212</v>
      </c>
      <c r="B75" s="1" t="s">
        <v>74</v>
      </c>
      <c r="C75" s="9" t="s">
        <v>3374</v>
      </c>
      <c r="D75" s="6">
        <v>315.25</v>
      </c>
      <c r="F75">
        <v>100</v>
      </c>
    </row>
    <row r="76" spans="1:6" x14ac:dyDescent="0.2">
      <c r="A76" s="2" t="str">
        <f>"5998274310268"</f>
        <v>5998274310268</v>
      </c>
      <c r="B76" s="1" t="s">
        <v>75</v>
      </c>
      <c r="C76" s="9" t="s">
        <v>3375</v>
      </c>
      <c r="D76" s="6">
        <v>200.15</v>
      </c>
      <c r="F76">
        <v>100</v>
      </c>
    </row>
    <row r="77" spans="1:6" x14ac:dyDescent="0.2">
      <c r="A77" s="2" t="str">
        <f>"5998274310473"</f>
        <v>5998274310473</v>
      </c>
      <c r="B77" s="1" t="s">
        <v>76</v>
      </c>
      <c r="C77" s="9" t="s">
        <v>3375</v>
      </c>
      <c r="D77" s="6">
        <v>191.04</v>
      </c>
      <c r="F77">
        <v>100</v>
      </c>
    </row>
    <row r="78" spans="1:6" x14ac:dyDescent="0.2">
      <c r="A78" s="2" t="str">
        <f>"5900951015854"</f>
        <v>5900951015854</v>
      </c>
      <c r="B78" s="1" t="s">
        <v>77</v>
      </c>
      <c r="C78" s="9" t="s">
        <v>3374</v>
      </c>
      <c r="D78" s="6">
        <v>788.55</v>
      </c>
      <c r="F78">
        <v>100</v>
      </c>
    </row>
    <row r="79" spans="1:6" x14ac:dyDescent="0.2">
      <c r="A79" s="2" t="str">
        <f>"5999546172027"</f>
        <v>5999546172027</v>
      </c>
      <c r="B79" s="1" t="s">
        <v>78</v>
      </c>
      <c r="C79" s="9" t="s">
        <v>3375</v>
      </c>
      <c r="D79" s="6">
        <v>95.03</v>
      </c>
      <c r="F79">
        <v>100</v>
      </c>
    </row>
    <row r="80" spans="1:6" x14ac:dyDescent="0.2">
      <c r="A80" s="2" t="str">
        <f>"5999546172034"</f>
        <v>5999546172034</v>
      </c>
      <c r="B80" s="1" t="s">
        <v>79</v>
      </c>
      <c r="C80" s="9" t="s">
        <v>3375</v>
      </c>
      <c r="D80" s="6">
        <v>95.43</v>
      </c>
      <c r="F80">
        <v>100</v>
      </c>
    </row>
    <row r="81" spans="1:6" x14ac:dyDescent="0.2">
      <c r="A81" s="2" t="str">
        <f>"5999508134315"</f>
        <v>5999508134315</v>
      </c>
      <c r="B81" s="1" t="s">
        <v>80</v>
      </c>
      <c r="C81" s="9" t="s">
        <v>3375</v>
      </c>
      <c r="D81" s="6">
        <v>256.72000000000003</v>
      </c>
      <c r="F81">
        <v>100</v>
      </c>
    </row>
    <row r="82" spans="1:6" x14ac:dyDescent="0.2">
      <c r="A82" s="2" t="str">
        <f>"5999508134308"</f>
        <v>5999508134308</v>
      </c>
      <c r="B82" s="1" t="s">
        <v>81</v>
      </c>
      <c r="C82" s="9" t="s">
        <v>3375</v>
      </c>
      <c r="D82" s="6">
        <v>256.58999999999997</v>
      </c>
      <c r="F82">
        <v>100</v>
      </c>
    </row>
    <row r="83" spans="1:6" x14ac:dyDescent="0.2">
      <c r="A83" s="2" t="str">
        <f>"8595606400016"</f>
        <v>8595606400016</v>
      </c>
      <c r="B83" s="1" t="s">
        <v>82</v>
      </c>
      <c r="C83" s="9" t="s">
        <v>3375</v>
      </c>
      <c r="D83" s="6">
        <v>85.34</v>
      </c>
      <c r="F83">
        <v>100</v>
      </c>
    </row>
    <row r="84" spans="1:6" x14ac:dyDescent="0.2">
      <c r="A84" s="2" t="str">
        <f>"5900951273155"</f>
        <v>5900951273155</v>
      </c>
      <c r="B84" s="1" t="s">
        <v>83</v>
      </c>
      <c r="C84" s="9" t="s">
        <v>3374</v>
      </c>
      <c r="D84" s="6">
        <v>441.35</v>
      </c>
      <c r="F84">
        <v>100</v>
      </c>
    </row>
    <row r="85" spans="1:6" x14ac:dyDescent="0.2">
      <c r="A85" s="2" t="str">
        <f>"4770608254995"</f>
        <v>4770608254995</v>
      </c>
      <c r="B85" s="1" t="s">
        <v>84</v>
      </c>
      <c r="C85" s="9" t="s">
        <v>3374</v>
      </c>
      <c r="D85" s="6">
        <v>441.35</v>
      </c>
      <c r="F85">
        <v>100</v>
      </c>
    </row>
    <row r="86" spans="1:6" x14ac:dyDescent="0.2">
      <c r="A86" s="2" t="str">
        <f>"5900951272820"</f>
        <v>5900951272820</v>
      </c>
      <c r="B86" s="1" t="s">
        <v>85</v>
      </c>
      <c r="C86" s="9" t="s">
        <v>3375</v>
      </c>
      <c r="D86" s="6">
        <v>133.44</v>
      </c>
      <c r="F86">
        <v>100</v>
      </c>
    </row>
    <row r="87" spans="1:6" x14ac:dyDescent="0.2">
      <c r="A87" s="2" t="str">
        <f>"80007951     "</f>
        <v xml:space="preserve">80007951     </v>
      </c>
      <c r="B87" s="1" t="s">
        <v>86</v>
      </c>
      <c r="C87" s="9" t="s">
        <v>3377</v>
      </c>
      <c r="D87" s="6">
        <v>77.83</v>
      </c>
      <c r="F87">
        <v>100</v>
      </c>
    </row>
    <row r="88" spans="1:6" x14ac:dyDescent="0.2">
      <c r="A88" s="2" t="str">
        <f>"5999881783582"</f>
        <v>5999881783582</v>
      </c>
      <c r="B88" s="1" t="s">
        <v>87</v>
      </c>
      <c r="C88" s="9" t="s">
        <v>3377</v>
      </c>
      <c r="D88" s="6">
        <v>107.82</v>
      </c>
      <c r="F88">
        <v>100</v>
      </c>
    </row>
    <row r="89" spans="1:6" x14ac:dyDescent="0.2">
      <c r="A89" s="2" t="str">
        <f>"5901067461108"</f>
        <v>5901067461108</v>
      </c>
      <c r="B89" s="1" t="s">
        <v>88</v>
      </c>
      <c r="C89" s="9" t="s">
        <v>3374</v>
      </c>
      <c r="D89" s="6">
        <v>168.42</v>
      </c>
      <c r="F89">
        <v>100</v>
      </c>
    </row>
    <row r="90" spans="1:6" x14ac:dyDescent="0.2">
      <c r="A90" s="2" t="str">
        <f>"3858884601472"</f>
        <v>3858884601472</v>
      </c>
      <c r="B90" s="1" t="s">
        <v>89</v>
      </c>
      <c r="C90" s="9" t="s">
        <v>3377</v>
      </c>
      <c r="D90" s="6">
        <v>208</v>
      </c>
      <c r="F90">
        <v>100</v>
      </c>
    </row>
    <row r="91" spans="1:6" x14ac:dyDescent="0.2">
      <c r="A91" s="2" t="str">
        <f>"3858884600055"</f>
        <v>3858884600055</v>
      </c>
      <c r="B91" s="1" t="s">
        <v>90</v>
      </c>
      <c r="C91" s="9" t="s">
        <v>3377</v>
      </c>
      <c r="D91" s="6">
        <v>167.67</v>
      </c>
      <c r="F91">
        <v>100</v>
      </c>
    </row>
    <row r="92" spans="1:6" x14ac:dyDescent="0.2">
      <c r="A92" s="2" t="str">
        <f>"5901067475105"</f>
        <v>5901067475105</v>
      </c>
      <c r="B92" s="1" t="s">
        <v>91</v>
      </c>
      <c r="C92" s="9" t="s">
        <v>3374</v>
      </c>
      <c r="D92" s="6">
        <v>166.68</v>
      </c>
      <c r="F92">
        <v>100</v>
      </c>
    </row>
    <row r="93" spans="1:6" x14ac:dyDescent="0.2">
      <c r="A93" s="2" t="str">
        <f>"5901067474108"</f>
        <v>5901067474108</v>
      </c>
      <c r="B93" s="1" t="s">
        <v>92</v>
      </c>
      <c r="C93" s="9" t="s">
        <v>3374</v>
      </c>
      <c r="D93" s="6">
        <v>169.76</v>
      </c>
      <c r="F93">
        <v>100</v>
      </c>
    </row>
    <row r="94" spans="1:6" x14ac:dyDescent="0.2">
      <c r="A94" s="2" t="str">
        <f>"5997788149333"</f>
        <v>5997788149333</v>
      </c>
      <c r="B94" s="1" t="s">
        <v>93</v>
      </c>
      <c r="C94" s="9" t="s">
        <v>3377</v>
      </c>
      <c r="D94" s="6">
        <v>74</v>
      </c>
      <c r="F94">
        <v>100</v>
      </c>
    </row>
    <row r="95" spans="1:6" x14ac:dyDescent="0.2">
      <c r="A95" s="2" t="str">
        <f>"5997788149326"</f>
        <v>5997788149326</v>
      </c>
      <c r="B95" s="1" t="s">
        <v>94</v>
      </c>
      <c r="C95" s="9" t="s">
        <v>3377</v>
      </c>
      <c r="D95" s="6">
        <v>74</v>
      </c>
      <c r="F95">
        <v>100</v>
      </c>
    </row>
    <row r="96" spans="1:6" x14ac:dyDescent="0.2">
      <c r="A96" s="2" t="str">
        <f>"3700123300014"</f>
        <v>3700123300014</v>
      </c>
      <c r="B96" s="1" t="s">
        <v>95</v>
      </c>
      <c r="C96" s="9" t="s">
        <v>3377</v>
      </c>
      <c r="D96" s="6">
        <v>83.86</v>
      </c>
      <c r="F96">
        <v>100</v>
      </c>
    </row>
    <row r="97" spans="1:6" x14ac:dyDescent="0.2">
      <c r="A97" s="2" t="str">
        <f>"5999881783650"</f>
        <v>5999881783650</v>
      </c>
      <c r="B97" s="1" t="s">
        <v>96</v>
      </c>
      <c r="C97" s="9" t="s">
        <v>3377</v>
      </c>
      <c r="D97" s="6">
        <v>96</v>
      </c>
      <c r="F97">
        <v>100</v>
      </c>
    </row>
    <row r="98" spans="1:6" x14ac:dyDescent="0.2">
      <c r="A98" s="2" t="str">
        <f>"5999881783803"</f>
        <v>5999881783803</v>
      </c>
      <c r="B98" s="1" t="s">
        <v>97</v>
      </c>
      <c r="C98" s="9" t="s">
        <v>3377</v>
      </c>
      <c r="D98" s="6">
        <v>96</v>
      </c>
      <c r="F98">
        <v>100</v>
      </c>
    </row>
    <row r="99" spans="1:6" x14ac:dyDescent="0.2">
      <c r="A99" s="2" t="str">
        <f>"5997788149340"</f>
        <v>5997788149340</v>
      </c>
      <c r="B99" s="1" t="s">
        <v>98</v>
      </c>
      <c r="C99" s="9" t="s">
        <v>3377</v>
      </c>
      <c r="D99" s="6">
        <v>74</v>
      </c>
      <c r="F99">
        <v>100</v>
      </c>
    </row>
    <row r="100" spans="1:6" x14ac:dyDescent="0.2">
      <c r="A100" s="2" t="str">
        <f>"5998828591518"</f>
        <v>5998828591518</v>
      </c>
      <c r="B100" s="1" t="s">
        <v>99</v>
      </c>
      <c r="C100" s="9" t="s">
        <v>3377</v>
      </c>
      <c r="D100" s="6">
        <v>81</v>
      </c>
      <c r="F100">
        <v>100</v>
      </c>
    </row>
    <row r="101" spans="1:6" x14ac:dyDescent="0.2">
      <c r="A101" s="2" t="str">
        <f>"5449000094896"</f>
        <v>5449000094896</v>
      </c>
      <c r="B101" s="1" t="s">
        <v>100</v>
      </c>
      <c r="C101" s="9" t="s">
        <v>3376</v>
      </c>
      <c r="D101" s="6">
        <v>104.97</v>
      </c>
      <c r="F101">
        <v>100</v>
      </c>
    </row>
    <row r="102" spans="1:6" x14ac:dyDescent="0.2">
      <c r="A102" s="2" t="str">
        <f>"5999881783704"</f>
        <v>5999881783704</v>
      </c>
      <c r="B102" s="1" t="s">
        <v>101</v>
      </c>
      <c r="C102" s="9" t="s">
        <v>3377</v>
      </c>
      <c r="D102" s="6">
        <v>96</v>
      </c>
      <c r="F102">
        <v>100</v>
      </c>
    </row>
    <row r="103" spans="1:6" x14ac:dyDescent="0.2">
      <c r="A103" s="2" t="str">
        <f>"5999545594141"</f>
        <v>5999545594141</v>
      </c>
      <c r="B103" s="1" t="s">
        <v>102</v>
      </c>
      <c r="C103" s="9" t="s">
        <v>3376</v>
      </c>
      <c r="D103" s="6">
        <v>59.04</v>
      </c>
      <c r="F103">
        <v>100</v>
      </c>
    </row>
    <row r="104" spans="1:6" x14ac:dyDescent="0.2">
      <c r="A104" s="2" t="str">
        <f>"3858884601892"</f>
        <v>3858884601892</v>
      </c>
      <c r="B104" s="1" t="s">
        <v>103</v>
      </c>
      <c r="C104" s="9" t="s">
        <v>3377</v>
      </c>
      <c r="D104" s="6">
        <v>147.94</v>
      </c>
      <c r="F104">
        <v>100</v>
      </c>
    </row>
    <row r="105" spans="1:6" x14ac:dyDescent="0.2">
      <c r="A105" s="2" t="str">
        <f>"5449000094858"</f>
        <v>5449000094858</v>
      </c>
      <c r="B105" s="1" t="s">
        <v>104</v>
      </c>
      <c r="C105" s="9" t="s">
        <v>3376</v>
      </c>
      <c r="D105" s="6">
        <v>108.2</v>
      </c>
      <c r="F105">
        <v>100</v>
      </c>
    </row>
    <row r="106" spans="1:6" x14ac:dyDescent="0.2">
      <c r="A106" s="2" t="str">
        <f>"5998828591297"</f>
        <v>5998828591297</v>
      </c>
      <c r="B106" s="1" t="s">
        <v>105</v>
      </c>
      <c r="C106" s="9" t="s">
        <v>3377</v>
      </c>
      <c r="D106" s="6">
        <v>81</v>
      </c>
      <c r="F106">
        <v>100</v>
      </c>
    </row>
    <row r="107" spans="1:6" x14ac:dyDescent="0.2">
      <c r="A107" s="2" t="str">
        <f>"5998828591228"</f>
        <v>5998828591228</v>
      </c>
      <c r="B107" s="1" t="s">
        <v>106</v>
      </c>
      <c r="C107" s="9" t="s">
        <v>3377</v>
      </c>
      <c r="D107" s="6">
        <v>81</v>
      </c>
      <c r="F107">
        <v>100</v>
      </c>
    </row>
    <row r="108" spans="1:6" x14ac:dyDescent="0.2">
      <c r="A108" s="2" t="str">
        <f>"5999545592802"</f>
        <v>5999545592802</v>
      </c>
      <c r="B108" s="1" t="s">
        <v>107</v>
      </c>
      <c r="C108" s="9" t="s">
        <v>3377</v>
      </c>
      <c r="D108" s="6">
        <v>55.97</v>
      </c>
      <c r="F108">
        <v>100</v>
      </c>
    </row>
    <row r="109" spans="1:6" x14ac:dyDescent="0.2">
      <c r="A109" s="2" t="str">
        <f>"3858884600994"</f>
        <v>3858884600994</v>
      </c>
      <c r="B109" s="1" t="s">
        <v>108</v>
      </c>
      <c r="C109" s="9" t="s">
        <v>3377</v>
      </c>
      <c r="D109" s="6">
        <v>147.97</v>
      </c>
      <c r="F109">
        <v>100</v>
      </c>
    </row>
    <row r="110" spans="1:6" x14ac:dyDescent="0.2">
      <c r="A110" s="2" t="str">
        <f>"3700123300281"</f>
        <v>3700123300281</v>
      </c>
      <c r="B110" s="1" t="s">
        <v>109</v>
      </c>
      <c r="C110" s="9" t="s">
        <v>3377</v>
      </c>
      <c r="D110" s="6">
        <v>84</v>
      </c>
      <c r="F110">
        <v>100</v>
      </c>
    </row>
    <row r="111" spans="1:6" x14ac:dyDescent="0.2">
      <c r="A111" s="2" t="str">
        <f>"5999884926320"</f>
        <v>5999884926320</v>
      </c>
      <c r="B111" s="1" t="s">
        <v>110</v>
      </c>
      <c r="C111" s="9" t="s">
        <v>3377</v>
      </c>
      <c r="D111" s="6">
        <v>97</v>
      </c>
      <c r="F111">
        <v>100</v>
      </c>
    </row>
    <row r="112" spans="1:6" x14ac:dyDescent="0.2">
      <c r="A112" s="2" t="str">
        <f>"42099307     "</f>
        <v xml:space="preserve">42099307     </v>
      </c>
      <c r="B112" s="1" t="s">
        <v>111</v>
      </c>
      <c r="C112" s="9" t="s">
        <v>3376</v>
      </c>
      <c r="D112" s="6">
        <v>109.19</v>
      </c>
      <c r="F112">
        <v>100</v>
      </c>
    </row>
    <row r="113" spans="1:6" x14ac:dyDescent="0.2">
      <c r="A113" s="2" t="str">
        <f>"5999881783278"</f>
        <v>5999881783278</v>
      </c>
      <c r="B113" s="1" t="s">
        <v>112</v>
      </c>
      <c r="C113" s="9" t="s">
        <v>3377</v>
      </c>
      <c r="D113" s="6">
        <v>77</v>
      </c>
      <c r="F113">
        <v>100</v>
      </c>
    </row>
    <row r="114" spans="1:6" x14ac:dyDescent="0.2">
      <c r="A114" s="2" t="str">
        <f>"5999545592765"</f>
        <v>5999545592765</v>
      </c>
      <c r="B114" s="1" t="s">
        <v>113</v>
      </c>
      <c r="C114" s="9" t="s">
        <v>3377</v>
      </c>
      <c r="D114" s="6">
        <v>64</v>
      </c>
      <c r="F114">
        <v>100</v>
      </c>
    </row>
    <row r="115" spans="1:6" x14ac:dyDescent="0.2">
      <c r="A115" s="2" t="str">
        <f>"5999545592796"</f>
        <v>5999545592796</v>
      </c>
      <c r="B115" s="1" t="s">
        <v>114</v>
      </c>
      <c r="C115" s="9" t="s">
        <v>3377</v>
      </c>
      <c r="D115" s="6">
        <v>55.99</v>
      </c>
      <c r="F115">
        <v>100</v>
      </c>
    </row>
    <row r="116" spans="1:6" x14ac:dyDescent="0.2">
      <c r="A116" s="2" t="str">
        <f>"42099321     "</f>
        <v xml:space="preserve">42099321     </v>
      </c>
      <c r="B116" s="1" t="s">
        <v>115</v>
      </c>
      <c r="C116" s="9" t="s">
        <v>3376</v>
      </c>
      <c r="D116" s="6">
        <v>109.39</v>
      </c>
      <c r="F116">
        <v>100</v>
      </c>
    </row>
    <row r="117" spans="1:6" x14ac:dyDescent="0.2">
      <c r="A117" s="2" t="str">
        <f>"5999545592758"</f>
        <v>5999545592758</v>
      </c>
      <c r="B117" s="1" t="s">
        <v>116</v>
      </c>
      <c r="C117" s="9" t="s">
        <v>3377</v>
      </c>
      <c r="D117" s="6">
        <v>64</v>
      </c>
      <c r="F117">
        <v>100</v>
      </c>
    </row>
    <row r="118" spans="1:6" x14ac:dyDescent="0.2">
      <c r="A118" s="2" t="str">
        <f>"5998828591525"</f>
        <v>5998828591525</v>
      </c>
      <c r="B118" s="1" t="s">
        <v>117</v>
      </c>
      <c r="C118" s="9" t="s">
        <v>3377</v>
      </c>
      <c r="D118" s="6">
        <v>67.010000000000005</v>
      </c>
      <c r="F118">
        <v>100</v>
      </c>
    </row>
    <row r="119" spans="1:6" x14ac:dyDescent="0.2">
      <c r="A119" s="2" t="str">
        <f>"3858884600147"</f>
        <v>3858884600147</v>
      </c>
      <c r="B119" s="1" t="s">
        <v>118</v>
      </c>
      <c r="C119" s="9" t="s">
        <v>3377</v>
      </c>
      <c r="D119" s="6">
        <v>95.02</v>
      </c>
      <c r="F119">
        <v>100</v>
      </c>
    </row>
    <row r="120" spans="1:6" x14ac:dyDescent="0.2">
      <c r="A120" s="2" t="str">
        <f>"3700123300441"</f>
        <v>3700123300441</v>
      </c>
      <c r="B120" s="1" t="s">
        <v>119</v>
      </c>
      <c r="C120" s="9" t="s">
        <v>3377</v>
      </c>
      <c r="D120" s="6">
        <v>68.98</v>
      </c>
      <c r="F120">
        <v>100</v>
      </c>
    </row>
    <row r="121" spans="1:6" x14ac:dyDescent="0.2">
      <c r="A121" s="2" t="str">
        <f>"5999881783032"</f>
        <v>5999881783032</v>
      </c>
      <c r="B121" s="1" t="s">
        <v>120</v>
      </c>
      <c r="C121" s="9" t="s">
        <v>3377</v>
      </c>
      <c r="D121" s="6">
        <v>77</v>
      </c>
      <c r="F121">
        <v>100</v>
      </c>
    </row>
    <row r="122" spans="1:6" x14ac:dyDescent="0.2">
      <c r="A122" s="2" t="str">
        <f>"5999885423217"</f>
        <v>5999885423217</v>
      </c>
      <c r="B122" s="1" t="s">
        <v>121</v>
      </c>
      <c r="C122" s="9" t="s">
        <v>3376</v>
      </c>
      <c r="D122" s="6">
        <v>74.12</v>
      </c>
      <c r="F122">
        <v>100</v>
      </c>
    </row>
    <row r="123" spans="1:6" x14ac:dyDescent="0.2">
      <c r="A123" s="2" t="str">
        <f>"5999887276033"</f>
        <v>5999887276033</v>
      </c>
      <c r="B123" s="1" t="s">
        <v>122</v>
      </c>
      <c r="C123" s="9" t="s">
        <v>3378</v>
      </c>
      <c r="D123" s="6">
        <v>199</v>
      </c>
      <c r="F123">
        <v>100</v>
      </c>
    </row>
    <row r="124" spans="1:6" x14ac:dyDescent="0.2">
      <c r="A124" s="2" t="str">
        <f>"80008606     "</f>
        <v xml:space="preserve">80008606     </v>
      </c>
      <c r="B124" s="1" t="s">
        <v>123</v>
      </c>
      <c r="C124" s="9" t="s">
        <v>3377</v>
      </c>
      <c r="D124" s="6">
        <v>78</v>
      </c>
      <c r="F124">
        <v>100</v>
      </c>
    </row>
    <row r="125" spans="1:6" x14ac:dyDescent="0.2">
      <c r="A125" s="2" t="str">
        <f>"5999887276019"</f>
        <v>5999887276019</v>
      </c>
      <c r="B125" s="1" t="s">
        <v>124</v>
      </c>
      <c r="C125" s="9" t="s">
        <v>3378</v>
      </c>
      <c r="D125" s="6">
        <v>176</v>
      </c>
      <c r="F125">
        <v>100</v>
      </c>
    </row>
    <row r="126" spans="1:6" x14ac:dyDescent="0.2">
      <c r="A126" s="2" t="str">
        <f>"5449000128195"</f>
        <v>5449000128195</v>
      </c>
      <c r="B126" s="1" t="s">
        <v>125</v>
      </c>
      <c r="C126" s="9" t="s">
        <v>3376</v>
      </c>
      <c r="D126" s="6">
        <v>102.81</v>
      </c>
      <c r="F126">
        <v>100</v>
      </c>
    </row>
    <row r="127" spans="1:6" x14ac:dyDescent="0.2">
      <c r="A127" s="2" t="str">
        <f>"5449000175267"</f>
        <v>5449000175267</v>
      </c>
      <c r="B127" s="1" t="s">
        <v>126</v>
      </c>
      <c r="C127" s="9" t="s">
        <v>3376</v>
      </c>
      <c r="D127" s="6">
        <v>212.08</v>
      </c>
      <c r="F127">
        <v>100</v>
      </c>
    </row>
    <row r="128" spans="1:6" x14ac:dyDescent="0.2">
      <c r="A128" s="2" t="str">
        <f>"5998828591235"</f>
        <v>5998828591235</v>
      </c>
      <c r="B128" s="1" t="s">
        <v>127</v>
      </c>
      <c r="C128" s="9" t="s">
        <v>3377</v>
      </c>
      <c r="D128" s="6">
        <v>67.010000000000005</v>
      </c>
      <c r="F128">
        <v>100</v>
      </c>
    </row>
    <row r="129" spans="1:6" x14ac:dyDescent="0.2">
      <c r="A129" s="2" t="str">
        <f>"5998828591495"</f>
        <v>5998828591495</v>
      </c>
      <c r="B129" s="1" t="s">
        <v>128</v>
      </c>
      <c r="C129" s="9" t="s">
        <v>3377</v>
      </c>
      <c r="D129" s="6">
        <v>148.01</v>
      </c>
      <c r="F129">
        <v>100</v>
      </c>
    </row>
    <row r="130" spans="1:6" x14ac:dyDescent="0.2">
      <c r="A130" s="2" t="str">
        <f>"5999887276026"</f>
        <v>5999887276026</v>
      </c>
      <c r="B130" s="1" t="s">
        <v>129</v>
      </c>
      <c r="C130" s="9" t="s">
        <v>3378</v>
      </c>
      <c r="D130" s="6">
        <v>230</v>
      </c>
      <c r="F130">
        <v>100</v>
      </c>
    </row>
    <row r="131" spans="1:6" x14ac:dyDescent="0.2">
      <c r="A131" s="2" t="str">
        <f>"5999881783063"</f>
        <v>5999881783063</v>
      </c>
      <c r="B131" s="1" t="s">
        <v>130</v>
      </c>
      <c r="C131" s="9"/>
      <c r="D131" s="6">
        <v>0</v>
      </c>
      <c r="F131">
        <v>100</v>
      </c>
    </row>
    <row r="132" spans="1:6" x14ac:dyDescent="0.2">
      <c r="A132" s="2" t="str">
        <f>"5999881783865"</f>
        <v>5999881783865</v>
      </c>
      <c r="B132" s="1" t="s">
        <v>131</v>
      </c>
      <c r="C132" s="9" t="s">
        <v>3377</v>
      </c>
      <c r="D132" s="6">
        <v>307</v>
      </c>
      <c r="F132">
        <v>100</v>
      </c>
    </row>
    <row r="133" spans="1:6" x14ac:dyDescent="0.2">
      <c r="A133" s="2" t="str">
        <f>"8586000822962"</f>
        <v>8586000822962</v>
      </c>
      <c r="B133" s="1" t="s">
        <v>132</v>
      </c>
      <c r="C133" s="9" t="s">
        <v>3379</v>
      </c>
      <c r="D133" s="6">
        <v>235</v>
      </c>
      <c r="F133">
        <v>100</v>
      </c>
    </row>
    <row r="134" spans="1:6" x14ac:dyDescent="0.2">
      <c r="A134" s="2" t="str">
        <f>"5999883553770"</f>
        <v>5999883553770</v>
      </c>
      <c r="B134" s="1" t="s">
        <v>133</v>
      </c>
      <c r="C134" s="9" t="s">
        <v>3380</v>
      </c>
      <c r="D134" s="6">
        <v>176.53</v>
      </c>
      <c r="F134">
        <v>100</v>
      </c>
    </row>
    <row r="135" spans="1:6" x14ac:dyDescent="0.2">
      <c r="A135" s="2" t="str">
        <f>"5999524035214"</f>
        <v>5999524035214</v>
      </c>
      <c r="B135" s="1" t="s">
        <v>134</v>
      </c>
      <c r="C135" s="9" t="s">
        <v>3376</v>
      </c>
      <c r="D135" s="6">
        <v>1671.19</v>
      </c>
      <c r="F135">
        <v>100</v>
      </c>
    </row>
    <row r="136" spans="1:6" x14ac:dyDescent="0.2">
      <c r="A136" s="2" t="str">
        <f>"5411416022541"</f>
        <v>5411416022541</v>
      </c>
      <c r="B136" s="1" t="s">
        <v>135</v>
      </c>
      <c r="C136" s="9" t="s">
        <v>3381</v>
      </c>
      <c r="D136" s="6">
        <v>2270.13</v>
      </c>
      <c r="F136">
        <v>100</v>
      </c>
    </row>
    <row r="137" spans="1:6" x14ac:dyDescent="0.2">
      <c r="A137" s="2" t="str">
        <f>"8586015175503"</f>
        <v>8586015175503</v>
      </c>
      <c r="B137" s="1" t="s">
        <v>136</v>
      </c>
      <c r="C137" s="9" t="s">
        <v>3379</v>
      </c>
      <c r="D137" s="6">
        <v>332</v>
      </c>
      <c r="F137">
        <v>100</v>
      </c>
    </row>
    <row r="138" spans="1:6" x14ac:dyDescent="0.2">
      <c r="A138" s="2" t="str">
        <f>"8586000822771"</f>
        <v>8586000822771</v>
      </c>
      <c r="B138" s="1" t="s">
        <v>137</v>
      </c>
      <c r="C138" s="9" t="s">
        <v>3379</v>
      </c>
      <c r="D138" s="6">
        <v>191.94</v>
      </c>
      <c r="F138">
        <v>100</v>
      </c>
    </row>
    <row r="139" spans="1:6" x14ac:dyDescent="0.2">
      <c r="A139" s="2" t="str">
        <f>"5201360501014"</f>
        <v>5201360501014</v>
      </c>
      <c r="B139" s="1" t="s">
        <v>138</v>
      </c>
      <c r="C139" s="9" t="s">
        <v>3382</v>
      </c>
      <c r="D139" s="6">
        <v>105.25</v>
      </c>
      <c r="F139">
        <v>100</v>
      </c>
    </row>
    <row r="140" spans="1:6" x14ac:dyDescent="0.2">
      <c r="A140" s="2" t="str">
        <f>"5998400305090"</f>
        <v>5998400305090</v>
      </c>
      <c r="B140" s="1" t="s">
        <v>139</v>
      </c>
      <c r="C140" s="9" t="s">
        <v>3374</v>
      </c>
      <c r="D140" s="6">
        <v>218.25</v>
      </c>
      <c r="F140">
        <v>100</v>
      </c>
    </row>
    <row r="141" spans="1:6" x14ac:dyDescent="0.2">
      <c r="A141" s="2" t="str">
        <f>"5998400305113"</f>
        <v>5998400305113</v>
      </c>
      <c r="B141" s="1" t="s">
        <v>140</v>
      </c>
      <c r="C141" s="9" t="s">
        <v>3374</v>
      </c>
      <c r="D141" s="6">
        <v>217.81</v>
      </c>
      <c r="F141">
        <v>100</v>
      </c>
    </row>
    <row r="142" spans="1:6" x14ac:dyDescent="0.2">
      <c r="A142" s="2" t="str">
        <f>"5998400305076"</f>
        <v>5998400305076</v>
      </c>
      <c r="B142" s="1" t="s">
        <v>141</v>
      </c>
      <c r="C142" s="9" t="s">
        <v>3374</v>
      </c>
      <c r="D142" s="6">
        <v>218.68</v>
      </c>
      <c r="F142">
        <v>100</v>
      </c>
    </row>
    <row r="143" spans="1:6" x14ac:dyDescent="0.2">
      <c r="A143" s="2" t="str">
        <f>"5998693531190"</f>
        <v>5998693531190</v>
      </c>
      <c r="B143" s="1" t="s">
        <v>142</v>
      </c>
      <c r="C143" s="9" t="s">
        <v>3383</v>
      </c>
      <c r="D143" s="6">
        <v>357.47</v>
      </c>
      <c r="F143">
        <v>100</v>
      </c>
    </row>
    <row r="144" spans="1:6" x14ac:dyDescent="0.2">
      <c r="A144" s="2" t="str">
        <f>"5999560541588"</f>
        <v>5999560541588</v>
      </c>
      <c r="B144" s="1" t="s">
        <v>143</v>
      </c>
      <c r="C144" s="9" t="s">
        <v>3384</v>
      </c>
      <c r="D144" s="6">
        <v>328.98</v>
      </c>
      <c r="F144">
        <v>100</v>
      </c>
    </row>
    <row r="145" spans="1:6" x14ac:dyDescent="0.2">
      <c r="A145" s="2" t="str">
        <f>"5998693521306"</f>
        <v>5998693521306</v>
      </c>
      <c r="B145" s="1" t="s">
        <v>144</v>
      </c>
      <c r="C145" s="9" t="s">
        <v>3383</v>
      </c>
      <c r="D145" s="6">
        <v>459</v>
      </c>
      <c r="F145">
        <v>100</v>
      </c>
    </row>
    <row r="146" spans="1:6" x14ac:dyDescent="0.2">
      <c r="A146" s="2" t="str">
        <f>"5998693565553"</f>
        <v>5998693565553</v>
      </c>
      <c r="B146" s="1" t="s">
        <v>145</v>
      </c>
      <c r="C146" s="9" t="s">
        <v>3383</v>
      </c>
      <c r="D146" s="6">
        <v>331.55</v>
      </c>
      <c r="F146">
        <v>100</v>
      </c>
    </row>
    <row r="147" spans="1:6" x14ac:dyDescent="0.2">
      <c r="A147" s="2" t="str">
        <f>"5998693565614"</f>
        <v>5998693565614</v>
      </c>
      <c r="B147" s="1" t="s">
        <v>146</v>
      </c>
      <c r="C147" s="9" t="s">
        <v>3383</v>
      </c>
      <c r="D147" s="6">
        <v>331.97</v>
      </c>
      <c r="F147">
        <v>100</v>
      </c>
    </row>
    <row r="148" spans="1:6" x14ac:dyDescent="0.2">
      <c r="A148" s="2" t="str">
        <f>"5999560890617"</f>
        <v>5999560890617</v>
      </c>
      <c r="B148" s="1" t="s">
        <v>147</v>
      </c>
      <c r="C148" s="9" t="s">
        <v>3383</v>
      </c>
      <c r="D148" s="6">
        <v>506.01</v>
      </c>
      <c r="F148">
        <v>100</v>
      </c>
    </row>
    <row r="149" spans="1:6" x14ac:dyDescent="0.2">
      <c r="A149" s="2" t="str">
        <f>"5998813123489"</f>
        <v>5998813123489</v>
      </c>
      <c r="B149" s="1" t="s">
        <v>148</v>
      </c>
      <c r="C149" s="9" t="s">
        <v>3376</v>
      </c>
      <c r="D149" s="6">
        <v>731.71</v>
      </c>
      <c r="F149">
        <v>100</v>
      </c>
    </row>
    <row r="150" spans="1:6" x14ac:dyDescent="0.2">
      <c r="A150" s="2" t="str">
        <f>"5999560542806"</f>
        <v>5999560542806</v>
      </c>
      <c r="B150" s="1" t="s">
        <v>149</v>
      </c>
      <c r="C150" s="9" t="s">
        <v>3384</v>
      </c>
      <c r="D150" s="6">
        <v>568.95000000000005</v>
      </c>
      <c r="F150">
        <v>100</v>
      </c>
    </row>
    <row r="151" spans="1:6" x14ac:dyDescent="0.2">
      <c r="A151" s="2" t="str">
        <f>"5999560543148"</f>
        <v>5999560543148</v>
      </c>
      <c r="B151" s="1" t="s">
        <v>150</v>
      </c>
      <c r="C151" s="9" t="s">
        <v>3384</v>
      </c>
      <c r="D151" s="6">
        <v>578.64</v>
      </c>
      <c r="F151">
        <v>100</v>
      </c>
    </row>
    <row r="152" spans="1:6" x14ac:dyDescent="0.2">
      <c r="A152" s="2" t="str">
        <f>"5999560540567"</f>
        <v>5999560540567</v>
      </c>
      <c r="B152" s="1" t="s">
        <v>151</v>
      </c>
      <c r="C152" s="9" t="s">
        <v>3384</v>
      </c>
      <c r="D152" s="6">
        <v>335</v>
      </c>
      <c r="F152">
        <v>100</v>
      </c>
    </row>
    <row r="153" spans="1:6" x14ac:dyDescent="0.2">
      <c r="A153" s="2" t="str">
        <f>"5998693565607"</f>
        <v>5998693565607</v>
      </c>
      <c r="B153" s="1" t="s">
        <v>152</v>
      </c>
      <c r="C153" s="9" t="s">
        <v>3383</v>
      </c>
      <c r="D153" s="6">
        <v>338.55</v>
      </c>
      <c r="F153">
        <v>100</v>
      </c>
    </row>
    <row r="154" spans="1:6" x14ac:dyDescent="0.2">
      <c r="A154" s="2" t="str">
        <f>"5998693565638"</f>
        <v>5998693565638</v>
      </c>
      <c r="B154" s="1" t="s">
        <v>153</v>
      </c>
      <c r="C154" s="9" t="s">
        <v>3383</v>
      </c>
      <c r="D154" s="6">
        <v>423.22</v>
      </c>
      <c r="F154">
        <v>100</v>
      </c>
    </row>
    <row r="155" spans="1:6" x14ac:dyDescent="0.2">
      <c r="A155" s="2" t="str">
        <f>"5998693565539"</f>
        <v>5998693565539</v>
      </c>
      <c r="B155" s="1" t="s">
        <v>154</v>
      </c>
      <c r="C155" s="9" t="s">
        <v>3383</v>
      </c>
      <c r="D155" s="6">
        <v>334.69</v>
      </c>
      <c r="F155">
        <v>100</v>
      </c>
    </row>
    <row r="156" spans="1:6" x14ac:dyDescent="0.2">
      <c r="A156" s="2" t="str">
        <f>"5999560890655"</f>
        <v>5999560890655</v>
      </c>
      <c r="B156" s="1" t="s">
        <v>155</v>
      </c>
      <c r="C156" s="9" t="s">
        <v>3383</v>
      </c>
      <c r="D156" s="6">
        <v>567</v>
      </c>
      <c r="F156">
        <v>100</v>
      </c>
    </row>
    <row r="157" spans="1:6" x14ac:dyDescent="0.2">
      <c r="A157" s="2" t="str">
        <f>"5999560541328"</f>
        <v>5999560541328</v>
      </c>
      <c r="B157" s="1" t="s">
        <v>156</v>
      </c>
      <c r="C157" s="9" t="s">
        <v>3384</v>
      </c>
      <c r="D157" s="6">
        <v>313.99</v>
      </c>
      <c r="F157">
        <v>100</v>
      </c>
    </row>
    <row r="158" spans="1:6" x14ac:dyDescent="0.2">
      <c r="A158" s="2" t="str">
        <f>"5999560541366"</f>
        <v>5999560541366</v>
      </c>
      <c r="B158" s="1" t="s">
        <v>157</v>
      </c>
      <c r="C158" s="9" t="s">
        <v>3384</v>
      </c>
      <c r="D158" s="6">
        <v>321.88</v>
      </c>
      <c r="F158">
        <v>100</v>
      </c>
    </row>
    <row r="159" spans="1:6" x14ac:dyDescent="0.2">
      <c r="A159" s="2" t="str">
        <f>"5999560542783"</f>
        <v>5999560542783</v>
      </c>
      <c r="B159" s="1" t="s">
        <v>158</v>
      </c>
      <c r="C159" s="9" t="s">
        <v>3384</v>
      </c>
      <c r="D159" s="6">
        <v>594.12</v>
      </c>
      <c r="F159">
        <v>100</v>
      </c>
    </row>
    <row r="160" spans="1:6" x14ac:dyDescent="0.2">
      <c r="A160" s="2" t="str">
        <f>"5998693550016"</f>
        <v>5998693550016</v>
      </c>
      <c r="B160" s="1" t="s">
        <v>159</v>
      </c>
      <c r="C160" s="9" t="s">
        <v>3383</v>
      </c>
      <c r="D160" s="6">
        <v>452.37</v>
      </c>
      <c r="F160">
        <v>100</v>
      </c>
    </row>
    <row r="161" spans="1:6" x14ac:dyDescent="0.2">
      <c r="A161" s="2" t="str">
        <f>"5998693565577"</f>
        <v>5998693565577</v>
      </c>
      <c r="B161" s="1" t="s">
        <v>160</v>
      </c>
      <c r="C161" s="9" t="s">
        <v>3383</v>
      </c>
      <c r="D161" s="6">
        <v>371.33</v>
      </c>
      <c r="F161">
        <v>100</v>
      </c>
    </row>
    <row r="162" spans="1:6" x14ac:dyDescent="0.2">
      <c r="A162" s="2" t="str">
        <f>"5998693531831"</f>
        <v>5998693531831</v>
      </c>
      <c r="B162" s="1" t="s">
        <v>161</v>
      </c>
      <c r="C162" s="9" t="s">
        <v>3383</v>
      </c>
      <c r="D162" s="6">
        <v>660.72</v>
      </c>
      <c r="F162">
        <v>100</v>
      </c>
    </row>
    <row r="163" spans="1:6" x14ac:dyDescent="0.2">
      <c r="A163" s="2" t="str">
        <f>"5998811512063"</f>
        <v>5998811512063</v>
      </c>
      <c r="B163" s="1" t="s">
        <v>162</v>
      </c>
      <c r="C163" s="9" t="s">
        <v>3383</v>
      </c>
      <c r="D163" s="6">
        <v>478.09</v>
      </c>
      <c r="F163">
        <v>100</v>
      </c>
    </row>
    <row r="164" spans="1:6" x14ac:dyDescent="0.2">
      <c r="A164" s="2" t="str">
        <f>"5998811512025"</f>
        <v>5998811512025</v>
      </c>
      <c r="B164" s="1" t="s">
        <v>163</v>
      </c>
      <c r="C164" s="9" t="s">
        <v>3383</v>
      </c>
      <c r="D164" s="6">
        <v>586.99</v>
      </c>
      <c r="F164">
        <v>100</v>
      </c>
    </row>
    <row r="165" spans="1:6" x14ac:dyDescent="0.2">
      <c r="A165" s="2" t="str">
        <f>"5998811511943"</f>
        <v>5998811511943</v>
      </c>
      <c r="B165" s="1" t="s">
        <v>164</v>
      </c>
      <c r="C165" s="9" t="s">
        <v>3383</v>
      </c>
      <c r="D165" s="6">
        <v>586.26</v>
      </c>
      <c r="F165">
        <v>100</v>
      </c>
    </row>
    <row r="166" spans="1:6" x14ac:dyDescent="0.2">
      <c r="A166" s="2" t="str">
        <f>"5999560543063"</f>
        <v>5999560543063</v>
      </c>
      <c r="B166" s="1" t="s">
        <v>165</v>
      </c>
      <c r="C166" s="9" t="s">
        <v>3384</v>
      </c>
      <c r="D166" s="6">
        <v>569.41999999999996</v>
      </c>
      <c r="F166">
        <v>100</v>
      </c>
    </row>
    <row r="167" spans="1:6" x14ac:dyDescent="0.2">
      <c r="A167" s="2" t="str">
        <f>"5999560542592"</f>
        <v>5999560542592</v>
      </c>
      <c r="B167" s="1" t="s">
        <v>166</v>
      </c>
      <c r="C167" s="9" t="s">
        <v>3384</v>
      </c>
      <c r="D167" s="6">
        <v>559.09</v>
      </c>
      <c r="F167">
        <v>100</v>
      </c>
    </row>
    <row r="168" spans="1:6" x14ac:dyDescent="0.2">
      <c r="A168" s="2" t="str">
        <f>"5998693565584"</f>
        <v>5998693565584</v>
      </c>
      <c r="B168" s="1" t="s">
        <v>167</v>
      </c>
      <c r="C168" s="9" t="s">
        <v>3383</v>
      </c>
      <c r="D168" s="6">
        <v>363.09</v>
      </c>
      <c r="F168">
        <v>100</v>
      </c>
    </row>
    <row r="169" spans="1:6" x14ac:dyDescent="0.2">
      <c r="A169" s="2" t="str">
        <f>"5999560543766"</f>
        <v>5999560543766</v>
      </c>
      <c r="B169" s="1" t="s">
        <v>168</v>
      </c>
      <c r="C169" s="9" t="s">
        <v>3384</v>
      </c>
      <c r="D169" s="6">
        <v>1007.11</v>
      </c>
      <c r="F169">
        <v>100</v>
      </c>
    </row>
    <row r="170" spans="1:6" x14ac:dyDescent="0.2">
      <c r="A170" s="2" t="str">
        <f>"5998811512070"</f>
        <v>5998811512070</v>
      </c>
      <c r="B170" s="1" t="s">
        <v>169</v>
      </c>
      <c r="C170" s="9" t="s">
        <v>3383</v>
      </c>
      <c r="D170" s="6">
        <v>500.75</v>
      </c>
      <c r="F170">
        <v>100</v>
      </c>
    </row>
    <row r="171" spans="1:6" x14ac:dyDescent="0.2">
      <c r="A171" s="2" t="str">
        <f>"5998813122802"</f>
        <v>5998813122802</v>
      </c>
      <c r="B171" s="1" t="s">
        <v>170</v>
      </c>
      <c r="C171" s="9" t="s">
        <v>3376</v>
      </c>
      <c r="D171" s="6">
        <v>608.41</v>
      </c>
      <c r="F171">
        <v>100</v>
      </c>
    </row>
    <row r="172" spans="1:6" x14ac:dyDescent="0.2">
      <c r="A172" s="2" t="str">
        <f>"5999560540536"</f>
        <v>5999560540536</v>
      </c>
      <c r="B172" s="1" t="s">
        <v>171</v>
      </c>
      <c r="C172" s="9" t="s">
        <v>3384</v>
      </c>
      <c r="D172" s="6">
        <v>354.26</v>
      </c>
      <c r="F172">
        <v>100</v>
      </c>
    </row>
    <row r="173" spans="1:6" x14ac:dyDescent="0.2">
      <c r="A173" s="2" t="str">
        <f>"5998421102364"</f>
        <v>5998421102364</v>
      </c>
      <c r="B173" s="1" t="s">
        <v>172</v>
      </c>
      <c r="C173" s="9" t="s">
        <v>3383</v>
      </c>
      <c r="D173" s="6">
        <v>991.74</v>
      </c>
      <c r="F173">
        <v>100</v>
      </c>
    </row>
    <row r="174" spans="1:6" x14ac:dyDescent="0.2">
      <c r="A174" s="2" t="str">
        <f>"5999559890376"</f>
        <v>5999559890376</v>
      </c>
      <c r="B174" s="1" t="s">
        <v>173</v>
      </c>
      <c r="C174" s="9" t="s">
        <v>3385</v>
      </c>
      <c r="D174" s="6">
        <v>1048.99</v>
      </c>
      <c r="F174">
        <v>100</v>
      </c>
    </row>
    <row r="175" spans="1:6" x14ac:dyDescent="0.2">
      <c r="A175" s="2" t="str">
        <f>"5999881814484"</f>
        <v>5999881814484</v>
      </c>
      <c r="B175" s="1" t="s">
        <v>174</v>
      </c>
      <c r="C175" s="9" t="s">
        <v>3383</v>
      </c>
      <c r="D175" s="6">
        <v>1006.01</v>
      </c>
      <c r="F175">
        <v>100</v>
      </c>
    </row>
    <row r="176" spans="1:6" x14ac:dyDescent="0.2">
      <c r="A176" s="2" t="str">
        <f>"5998829051271"</f>
        <v>5998829051271</v>
      </c>
      <c r="B176" s="1" t="s">
        <v>175</v>
      </c>
      <c r="C176" s="9" t="s">
        <v>3385</v>
      </c>
      <c r="D176" s="6">
        <v>539</v>
      </c>
      <c r="F176">
        <v>100</v>
      </c>
    </row>
    <row r="177" spans="1:6" x14ac:dyDescent="0.2">
      <c r="A177" s="2" t="str">
        <f>"5999560890679"</f>
        <v>5999560890679</v>
      </c>
      <c r="B177" s="1" t="s">
        <v>176</v>
      </c>
      <c r="C177" s="9" t="s">
        <v>3383</v>
      </c>
      <c r="D177" s="6">
        <v>493.48</v>
      </c>
      <c r="F177">
        <v>100</v>
      </c>
    </row>
    <row r="178" spans="1:6" x14ac:dyDescent="0.2">
      <c r="A178" s="2" t="str">
        <f>"5999560541229"</f>
        <v>5999560541229</v>
      </c>
      <c r="B178" s="1" t="s">
        <v>177</v>
      </c>
      <c r="C178" s="9" t="s">
        <v>3384</v>
      </c>
      <c r="D178" s="6">
        <v>311.81</v>
      </c>
      <c r="F178">
        <v>100</v>
      </c>
    </row>
    <row r="179" spans="1:6" x14ac:dyDescent="0.2">
      <c r="A179" s="2" t="str">
        <f>"5999560543049"</f>
        <v>5999560543049</v>
      </c>
      <c r="B179" s="1" t="s">
        <v>178</v>
      </c>
      <c r="C179" s="9" t="s">
        <v>3384</v>
      </c>
      <c r="D179" s="6">
        <v>338.16</v>
      </c>
      <c r="F179">
        <v>100</v>
      </c>
    </row>
    <row r="180" spans="1:6" x14ac:dyDescent="0.2">
      <c r="A180" s="2" t="str">
        <f>"5999560540369"</f>
        <v>5999560540369</v>
      </c>
      <c r="B180" s="1" t="s">
        <v>179</v>
      </c>
      <c r="C180" s="9" t="s">
        <v>3384</v>
      </c>
      <c r="D180" s="6">
        <v>249.55</v>
      </c>
      <c r="F180">
        <v>100</v>
      </c>
    </row>
    <row r="181" spans="1:6" x14ac:dyDescent="0.2">
      <c r="A181" s="2" t="str">
        <f>"5999560543506"</f>
        <v>5999560543506</v>
      </c>
      <c r="B181" s="1" t="s">
        <v>180</v>
      </c>
      <c r="C181" s="9" t="s">
        <v>3384</v>
      </c>
      <c r="D181" s="6">
        <v>1176.03</v>
      </c>
      <c r="F181">
        <v>100</v>
      </c>
    </row>
    <row r="182" spans="1:6" x14ac:dyDescent="0.2">
      <c r="A182" s="2" t="str">
        <f>"5999560543681"</f>
        <v>5999560543681</v>
      </c>
      <c r="B182" s="1" t="s">
        <v>181</v>
      </c>
      <c r="C182" s="9" t="s">
        <v>3384</v>
      </c>
      <c r="D182" s="6">
        <v>977.7</v>
      </c>
      <c r="F182">
        <v>100</v>
      </c>
    </row>
    <row r="183" spans="1:6" x14ac:dyDescent="0.2">
      <c r="A183" s="2" t="str">
        <f>"5998811512230"</f>
        <v>5998811512230</v>
      </c>
      <c r="B183" s="1" t="s">
        <v>182</v>
      </c>
      <c r="C183" s="9" t="s">
        <v>3383</v>
      </c>
      <c r="D183" s="6">
        <v>519.86</v>
      </c>
      <c r="F183">
        <v>100</v>
      </c>
    </row>
    <row r="184" spans="1:6" x14ac:dyDescent="0.2">
      <c r="A184" s="2" t="str">
        <f>"5998811512315"</f>
        <v>5998811512315</v>
      </c>
      <c r="B184" s="1" t="s">
        <v>183</v>
      </c>
      <c r="C184" s="9" t="s">
        <v>3383</v>
      </c>
      <c r="D184" s="6">
        <v>612</v>
      </c>
      <c r="F184">
        <v>100</v>
      </c>
    </row>
    <row r="185" spans="1:6" x14ac:dyDescent="0.2">
      <c r="A185" s="2" t="str">
        <f>"5998811511929"</f>
        <v>5998811511929</v>
      </c>
      <c r="B185" s="1" t="s">
        <v>184</v>
      </c>
      <c r="C185" s="9" t="s">
        <v>3383</v>
      </c>
      <c r="D185" s="6">
        <v>530</v>
      </c>
      <c r="F185">
        <v>100</v>
      </c>
    </row>
    <row r="186" spans="1:6" x14ac:dyDescent="0.2">
      <c r="A186" s="2" t="str">
        <f>"5998813123502"</f>
        <v>5998813123502</v>
      </c>
      <c r="B186" s="1" t="s">
        <v>185</v>
      </c>
      <c r="C186" s="9" t="s">
        <v>3376</v>
      </c>
      <c r="D186" s="6">
        <v>608.38</v>
      </c>
      <c r="F186">
        <v>100</v>
      </c>
    </row>
    <row r="187" spans="1:6" x14ac:dyDescent="0.2">
      <c r="A187" s="2" t="str">
        <f>"5998813123397"</f>
        <v>5998813123397</v>
      </c>
      <c r="B187" s="1" t="s">
        <v>186</v>
      </c>
      <c r="C187" s="9" t="s">
        <v>3376</v>
      </c>
      <c r="D187" s="6">
        <v>535.03</v>
      </c>
      <c r="F187">
        <v>100</v>
      </c>
    </row>
    <row r="188" spans="1:6" x14ac:dyDescent="0.2">
      <c r="A188" s="2" t="str">
        <f>"5998813122826"</f>
        <v>5998813122826</v>
      </c>
      <c r="B188" s="1" t="s">
        <v>187</v>
      </c>
      <c r="C188" s="9" t="s">
        <v>3376</v>
      </c>
      <c r="D188" s="6">
        <v>608.41</v>
      </c>
      <c r="F188">
        <v>100</v>
      </c>
    </row>
    <row r="189" spans="1:6" x14ac:dyDescent="0.2">
      <c r="A189" s="2" t="str">
        <f>"5999560543162"</f>
        <v>5999560543162</v>
      </c>
      <c r="B189" s="1" t="s">
        <v>188</v>
      </c>
      <c r="C189" s="9" t="s">
        <v>3384</v>
      </c>
      <c r="D189" s="6">
        <v>564.02</v>
      </c>
      <c r="F189">
        <v>100</v>
      </c>
    </row>
    <row r="190" spans="1:6" x14ac:dyDescent="0.2">
      <c r="A190" s="2" t="str">
        <f>"5999560543124"</f>
        <v>5999560543124</v>
      </c>
      <c r="B190" s="1" t="s">
        <v>189</v>
      </c>
      <c r="C190" s="9" t="s">
        <v>3384</v>
      </c>
      <c r="D190" s="6">
        <v>567.22</v>
      </c>
      <c r="F190">
        <v>100</v>
      </c>
    </row>
    <row r="191" spans="1:6" x14ac:dyDescent="0.2">
      <c r="A191" s="2" t="str">
        <f>"5999074609040"</f>
        <v>5999074609040</v>
      </c>
      <c r="B191" s="1" t="s">
        <v>190</v>
      </c>
      <c r="C191" s="9" t="s">
        <v>3385</v>
      </c>
      <c r="D191" s="6">
        <v>734</v>
      </c>
      <c r="F191">
        <v>100</v>
      </c>
    </row>
    <row r="192" spans="1:6" x14ac:dyDescent="0.2">
      <c r="A192" s="2" t="str">
        <f>"5999042138305"</f>
        <v>5999042138305</v>
      </c>
      <c r="B192" s="1" t="s">
        <v>191</v>
      </c>
      <c r="C192" s="9" t="s">
        <v>3382</v>
      </c>
      <c r="D192" s="6">
        <v>2808</v>
      </c>
      <c r="F192">
        <v>100</v>
      </c>
    </row>
    <row r="193" spans="1:6" x14ac:dyDescent="0.2">
      <c r="A193" s="2" t="str">
        <f>"5998693533057"</f>
        <v>5998693533057</v>
      </c>
      <c r="B193" s="1" t="s">
        <v>192</v>
      </c>
      <c r="C193" s="9" t="s">
        <v>3383</v>
      </c>
      <c r="D193" s="6">
        <v>590.44000000000005</v>
      </c>
      <c r="F193">
        <v>100</v>
      </c>
    </row>
    <row r="194" spans="1:6" x14ac:dyDescent="0.2">
      <c r="A194" s="2" t="str">
        <f>"5999560543971"</f>
        <v>5999560543971</v>
      </c>
      <c r="B194" s="1" t="s">
        <v>193</v>
      </c>
      <c r="C194" s="9" t="s">
        <v>3384</v>
      </c>
      <c r="D194" s="6">
        <v>424.6</v>
      </c>
      <c r="F194">
        <v>100</v>
      </c>
    </row>
    <row r="195" spans="1:6" x14ac:dyDescent="0.2">
      <c r="A195" s="2" t="str">
        <f>"5999560540543"</f>
        <v>5999560540543</v>
      </c>
      <c r="B195" s="1" t="s">
        <v>194</v>
      </c>
      <c r="C195" s="9" t="s">
        <v>3384</v>
      </c>
      <c r="D195" s="6">
        <v>358.82</v>
      </c>
      <c r="F195">
        <v>100</v>
      </c>
    </row>
    <row r="196" spans="1:6" x14ac:dyDescent="0.2">
      <c r="A196" s="2" t="str">
        <f>"5998066700093"</f>
        <v>5998066700093</v>
      </c>
      <c r="B196" s="1" t="s">
        <v>195</v>
      </c>
      <c r="C196" s="9" t="s">
        <v>3385</v>
      </c>
      <c r="D196" s="6">
        <v>827.76</v>
      </c>
      <c r="F196">
        <v>100</v>
      </c>
    </row>
    <row r="197" spans="1:6" x14ac:dyDescent="0.2">
      <c r="A197" s="2" t="str">
        <f>"5998421102487"</f>
        <v>5998421102487</v>
      </c>
      <c r="B197" s="1" t="s">
        <v>196</v>
      </c>
      <c r="C197" s="9" t="s">
        <v>3383</v>
      </c>
      <c r="D197" s="6">
        <v>1020</v>
      </c>
      <c r="F197">
        <v>100</v>
      </c>
    </row>
    <row r="198" spans="1:6" x14ac:dyDescent="0.2">
      <c r="A198" s="2" t="str">
        <f>"5998421101190"</f>
        <v>5998421101190</v>
      </c>
      <c r="B198" s="1" t="s">
        <v>197</v>
      </c>
      <c r="C198" s="9" t="s">
        <v>3385</v>
      </c>
      <c r="D198" s="6">
        <v>924.44</v>
      </c>
      <c r="F198">
        <v>100</v>
      </c>
    </row>
    <row r="199" spans="1:6" x14ac:dyDescent="0.2">
      <c r="A199" s="2" t="str">
        <f>"5998421101237"</f>
        <v>5998421101237</v>
      </c>
      <c r="B199" s="1" t="s">
        <v>198</v>
      </c>
      <c r="C199" s="9" t="s">
        <v>3385</v>
      </c>
      <c r="D199" s="6">
        <v>869</v>
      </c>
      <c r="F199">
        <v>100</v>
      </c>
    </row>
    <row r="200" spans="1:6" x14ac:dyDescent="0.2">
      <c r="A200" s="2" t="str">
        <f>"5999886664053"</f>
        <v>5999886664053</v>
      </c>
      <c r="B200" s="1" t="s">
        <v>199</v>
      </c>
      <c r="C200" s="9" t="s">
        <v>3382</v>
      </c>
      <c r="D200" s="6">
        <v>1314.23</v>
      </c>
      <c r="F200">
        <v>100</v>
      </c>
    </row>
    <row r="201" spans="1:6" x14ac:dyDescent="0.2">
      <c r="A201" s="2" t="str">
        <f>"5998693531879"</f>
        <v>5998693531879</v>
      </c>
      <c r="B201" s="1" t="s">
        <v>200</v>
      </c>
      <c r="C201" s="9" t="s">
        <v>3376</v>
      </c>
      <c r="D201" s="6">
        <v>613.41</v>
      </c>
      <c r="F201">
        <v>100</v>
      </c>
    </row>
    <row r="202" spans="1:6" x14ac:dyDescent="0.2">
      <c r="A202" s="2" t="str">
        <f>"5998031100477"</f>
        <v>5998031100477</v>
      </c>
      <c r="B202" s="1" t="s">
        <v>201</v>
      </c>
      <c r="C202" s="9" t="s">
        <v>3385</v>
      </c>
      <c r="D202" s="6">
        <v>1047.56</v>
      </c>
      <c r="F202">
        <v>100</v>
      </c>
    </row>
    <row r="203" spans="1:6" x14ac:dyDescent="0.2">
      <c r="A203" s="2" t="str">
        <f>"5998693565522"</f>
        <v>5998693565522</v>
      </c>
      <c r="B203" s="1" t="s">
        <v>202</v>
      </c>
      <c r="C203" s="9" t="s">
        <v>3383</v>
      </c>
      <c r="D203" s="6">
        <v>333.68</v>
      </c>
      <c r="F203">
        <v>100</v>
      </c>
    </row>
    <row r="204" spans="1:6" x14ac:dyDescent="0.2">
      <c r="A204" s="2" t="str">
        <f>"5998693565508"</f>
        <v>5998693565508</v>
      </c>
      <c r="B204" s="1" t="s">
        <v>203</v>
      </c>
      <c r="C204" s="9" t="s">
        <v>3383</v>
      </c>
      <c r="D204" s="6">
        <v>331.8</v>
      </c>
      <c r="F204">
        <v>100</v>
      </c>
    </row>
    <row r="205" spans="1:6" x14ac:dyDescent="0.2">
      <c r="A205" s="2" t="str">
        <f>"5998693532913"</f>
        <v>5998693532913</v>
      </c>
      <c r="B205" s="1" t="s">
        <v>204</v>
      </c>
      <c r="C205" s="9" t="s">
        <v>3383</v>
      </c>
      <c r="D205" s="6">
        <v>338.66</v>
      </c>
      <c r="F205">
        <v>100</v>
      </c>
    </row>
    <row r="206" spans="1:6" x14ac:dyDescent="0.2">
      <c r="A206" s="2" t="str">
        <f>"5998504500360"</f>
        <v>5998504500360</v>
      </c>
      <c r="B206" s="1" t="s">
        <v>205</v>
      </c>
      <c r="C206" s="9" t="s">
        <v>3383</v>
      </c>
      <c r="D206" s="6">
        <v>295.86</v>
      </c>
      <c r="F206">
        <v>100</v>
      </c>
    </row>
    <row r="207" spans="1:6" x14ac:dyDescent="0.2">
      <c r="A207" s="2" t="str">
        <f>"5998693531671"</f>
        <v>5998693531671</v>
      </c>
      <c r="B207" s="1" t="s">
        <v>206</v>
      </c>
      <c r="C207" s="9" t="s">
        <v>3383</v>
      </c>
      <c r="D207" s="6">
        <v>693.04</v>
      </c>
      <c r="F207">
        <v>100</v>
      </c>
    </row>
    <row r="208" spans="1:6" x14ac:dyDescent="0.2">
      <c r="A208" s="2" t="str">
        <f>"5998693565591"</f>
        <v>5998693565591</v>
      </c>
      <c r="B208" s="1" t="s">
        <v>207</v>
      </c>
      <c r="C208" s="9" t="s">
        <v>3383</v>
      </c>
      <c r="D208" s="6">
        <v>339.11</v>
      </c>
      <c r="F208">
        <v>100</v>
      </c>
    </row>
    <row r="209" spans="1:6" x14ac:dyDescent="0.2">
      <c r="A209" s="2" t="str">
        <f>"5999560540406"</f>
        <v>5999560540406</v>
      </c>
      <c r="B209" s="1" t="s">
        <v>208</v>
      </c>
      <c r="C209" s="9" t="s">
        <v>3384</v>
      </c>
      <c r="D209" s="6">
        <v>322.45999999999998</v>
      </c>
      <c r="F209">
        <v>100</v>
      </c>
    </row>
    <row r="210" spans="1:6" x14ac:dyDescent="0.2">
      <c r="A210" s="2" t="str">
        <f>"5999509775043"</f>
        <v>5999509775043</v>
      </c>
      <c r="B210" s="1" t="s">
        <v>209</v>
      </c>
      <c r="C210" s="9" t="s">
        <v>3385</v>
      </c>
      <c r="D210" s="6">
        <v>1100.99</v>
      </c>
      <c r="F210">
        <v>100</v>
      </c>
    </row>
    <row r="211" spans="1:6" x14ac:dyDescent="0.2">
      <c r="A211" s="2" t="str">
        <f>"5999560890662"</f>
        <v>5999560890662</v>
      </c>
      <c r="B211" s="1" t="s">
        <v>210</v>
      </c>
      <c r="C211" s="9" t="s">
        <v>3383</v>
      </c>
      <c r="D211" s="6">
        <v>282</v>
      </c>
      <c r="F211">
        <v>100</v>
      </c>
    </row>
    <row r="212" spans="1:6" x14ac:dyDescent="0.2">
      <c r="A212" s="2" t="str">
        <f>"5999560541298"</f>
        <v>5999560541298</v>
      </c>
      <c r="B212" s="1" t="s">
        <v>211</v>
      </c>
      <c r="C212" s="9" t="s">
        <v>3384</v>
      </c>
      <c r="D212" s="6">
        <v>311.81</v>
      </c>
      <c r="F212">
        <v>100</v>
      </c>
    </row>
    <row r="213" spans="1:6" x14ac:dyDescent="0.2">
      <c r="A213" s="2" t="str">
        <f>"5998244356784"</f>
        <v>5998244356784</v>
      </c>
      <c r="B213" s="1" t="s">
        <v>212</v>
      </c>
      <c r="C213" s="9" t="s">
        <v>3382</v>
      </c>
      <c r="D213" s="6">
        <v>2853.98</v>
      </c>
      <c r="F213">
        <v>100</v>
      </c>
    </row>
    <row r="214" spans="1:6" x14ac:dyDescent="0.2">
      <c r="A214" s="2" t="str">
        <f>"5998811512308"</f>
        <v>5998811512308</v>
      </c>
      <c r="B214" s="1" t="s">
        <v>213</v>
      </c>
      <c r="C214" s="9" t="s">
        <v>3383</v>
      </c>
      <c r="D214" s="6">
        <v>562.65</v>
      </c>
      <c r="F214">
        <v>100</v>
      </c>
    </row>
    <row r="215" spans="1:6" x14ac:dyDescent="0.2">
      <c r="A215" s="2" t="str">
        <f>"5999560543667"</f>
        <v>5999560543667</v>
      </c>
      <c r="B215" s="1" t="s">
        <v>214</v>
      </c>
      <c r="C215" s="9" t="s">
        <v>3384</v>
      </c>
      <c r="D215" s="6">
        <v>1208.8399999999999</v>
      </c>
      <c r="F215">
        <v>100</v>
      </c>
    </row>
    <row r="216" spans="1:6" x14ac:dyDescent="0.2">
      <c r="A216" s="2" t="str">
        <f>"5998811512094"</f>
        <v>5998811512094</v>
      </c>
      <c r="B216" s="1" t="s">
        <v>215</v>
      </c>
      <c r="C216" s="9" t="s">
        <v>3383</v>
      </c>
      <c r="D216" s="6">
        <v>586.59</v>
      </c>
      <c r="F216">
        <v>100</v>
      </c>
    </row>
    <row r="217" spans="1:6" x14ac:dyDescent="0.2">
      <c r="A217" s="2" t="str">
        <f>"5998811512155"</f>
        <v>5998811512155</v>
      </c>
      <c r="B217" s="1" t="s">
        <v>216</v>
      </c>
      <c r="C217" s="9" t="s">
        <v>3383</v>
      </c>
      <c r="D217" s="6">
        <v>489</v>
      </c>
      <c r="F217">
        <v>100</v>
      </c>
    </row>
    <row r="218" spans="1:6" x14ac:dyDescent="0.2">
      <c r="A218" s="2" t="str">
        <f>"5998811512087"</f>
        <v>5998811512087</v>
      </c>
      <c r="B218" s="1" t="s">
        <v>217</v>
      </c>
      <c r="C218" s="9" t="s">
        <v>3383</v>
      </c>
      <c r="D218" s="6">
        <v>501</v>
      </c>
      <c r="F218">
        <v>100</v>
      </c>
    </row>
    <row r="219" spans="1:6" x14ac:dyDescent="0.2">
      <c r="A219" s="2" t="str">
        <f>"5998811511301"</f>
        <v>5998811511301</v>
      </c>
      <c r="B219" s="1" t="s">
        <v>218</v>
      </c>
      <c r="C219" s="9" t="s">
        <v>3383</v>
      </c>
      <c r="D219" s="6">
        <v>914.01</v>
      </c>
      <c r="F219">
        <v>100</v>
      </c>
    </row>
    <row r="220" spans="1:6" x14ac:dyDescent="0.2">
      <c r="A220" s="2" t="str">
        <f>"5998811511851"</f>
        <v>5998811511851</v>
      </c>
      <c r="B220" s="1" t="s">
        <v>219</v>
      </c>
      <c r="C220" s="9" t="s">
        <v>3383</v>
      </c>
      <c r="D220" s="6">
        <v>540.99</v>
      </c>
      <c r="F220">
        <v>100</v>
      </c>
    </row>
    <row r="221" spans="1:6" x14ac:dyDescent="0.2">
      <c r="A221" s="2" t="str">
        <f>"5996253000391"</f>
        <v>5996253000391</v>
      </c>
      <c r="B221" s="1" t="s">
        <v>220</v>
      </c>
      <c r="C221" s="9" t="s">
        <v>3382</v>
      </c>
      <c r="D221" s="6">
        <v>211.58</v>
      </c>
      <c r="F221">
        <v>100</v>
      </c>
    </row>
    <row r="222" spans="1:6" x14ac:dyDescent="0.2">
      <c r="A222" s="2" t="str">
        <f>"5900259087140"</f>
        <v>5900259087140</v>
      </c>
      <c r="B222" s="1" t="s">
        <v>221</v>
      </c>
      <c r="C222" s="9" t="s">
        <v>3382</v>
      </c>
      <c r="D222" s="6">
        <v>84.67</v>
      </c>
      <c r="F222">
        <v>100</v>
      </c>
    </row>
    <row r="223" spans="1:6" x14ac:dyDescent="0.2">
      <c r="A223" s="2" t="str">
        <f>"5999881237139"</f>
        <v>5999881237139</v>
      </c>
      <c r="B223" s="1" t="s">
        <v>222</v>
      </c>
      <c r="C223" s="9" t="s">
        <v>3382</v>
      </c>
      <c r="D223" s="6">
        <v>54.87</v>
      </c>
      <c r="F223">
        <v>100</v>
      </c>
    </row>
    <row r="224" spans="1:6" x14ac:dyDescent="0.2">
      <c r="A224" s="2" t="str">
        <f>"5900259083197"</f>
        <v>5900259083197</v>
      </c>
      <c r="B224" s="1" t="s">
        <v>223</v>
      </c>
      <c r="C224" s="9" t="s">
        <v>3382</v>
      </c>
      <c r="D224" s="6">
        <v>191.05</v>
      </c>
      <c r="F224">
        <v>100</v>
      </c>
    </row>
    <row r="225" spans="1:6" x14ac:dyDescent="0.2">
      <c r="A225" s="2" t="str">
        <f>"5900259096821"</f>
        <v>5900259096821</v>
      </c>
      <c r="B225" s="1" t="s">
        <v>224</v>
      </c>
      <c r="C225" s="9" t="s">
        <v>3386</v>
      </c>
      <c r="D225" s="6">
        <v>158.75</v>
      </c>
      <c r="F225">
        <v>100</v>
      </c>
    </row>
    <row r="226" spans="1:6" x14ac:dyDescent="0.2">
      <c r="A226" s="2" t="str">
        <f>"5999883453438"</f>
        <v>5999883453438</v>
      </c>
      <c r="B226" s="1" t="s">
        <v>225</v>
      </c>
      <c r="C226" s="9" t="s">
        <v>3374</v>
      </c>
      <c r="D226" s="6">
        <v>164.75</v>
      </c>
      <c r="F226">
        <v>100</v>
      </c>
    </row>
    <row r="227" spans="1:6" x14ac:dyDescent="0.2">
      <c r="A227" s="2" t="str">
        <f>"8595606205055"</f>
        <v>8595606205055</v>
      </c>
      <c r="B227" s="1" t="s">
        <v>226</v>
      </c>
      <c r="C227" s="9" t="s">
        <v>3387</v>
      </c>
      <c r="D227" s="6">
        <v>169</v>
      </c>
      <c r="F227">
        <v>100</v>
      </c>
    </row>
    <row r="228" spans="1:6" x14ac:dyDescent="0.2">
      <c r="A228" s="2" t="str">
        <f>"5900259088239"</f>
        <v>5900259088239</v>
      </c>
      <c r="B228" s="1" t="s">
        <v>227</v>
      </c>
      <c r="C228" s="9" t="s">
        <v>3382</v>
      </c>
      <c r="D228" s="6">
        <v>194.33</v>
      </c>
      <c r="F228">
        <v>100</v>
      </c>
    </row>
    <row r="229" spans="1:6" x14ac:dyDescent="0.2">
      <c r="A229" s="2" t="str">
        <f>"5999091300760"</f>
        <v>5999091300760</v>
      </c>
      <c r="B229" s="1" t="s">
        <v>228</v>
      </c>
      <c r="C229" s="9" t="s">
        <v>3374</v>
      </c>
      <c r="D229" s="6">
        <v>114.67</v>
      </c>
      <c r="F229">
        <v>100</v>
      </c>
    </row>
    <row r="230" spans="1:6" x14ac:dyDescent="0.2">
      <c r="A230" s="2" t="str">
        <f>"5998400308923"</f>
        <v>5998400308923</v>
      </c>
      <c r="B230" s="1" t="s">
        <v>229</v>
      </c>
      <c r="C230" s="9" t="s">
        <v>3374</v>
      </c>
      <c r="D230" s="6">
        <v>106.61</v>
      </c>
      <c r="F230">
        <v>100</v>
      </c>
    </row>
    <row r="231" spans="1:6" x14ac:dyDescent="0.2">
      <c r="A231" s="2" t="str">
        <f>"8410376024326"</f>
        <v>8410376024326</v>
      </c>
      <c r="B231" s="1" t="s">
        <v>230</v>
      </c>
      <c r="C231" s="9" t="s">
        <v>3374</v>
      </c>
      <c r="D231" s="6">
        <v>567.45000000000005</v>
      </c>
      <c r="F231">
        <v>100</v>
      </c>
    </row>
    <row r="232" spans="1:6" x14ac:dyDescent="0.2">
      <c r="A232" s="2" t="str">
        <f>"3800233073393"</f>
        <v>3800233073393</v>
      </c>
      <c r="B232" s="1" t="s">
        <v>231</v>
      </c>
      <c r="C232" s="9" t="s">
        <v>3375</v>
      </c>
      <c r="D232" s="6">
        <v>171.84</v>
      </c>
      <c r="F232">
        <v>100</v>
      </c>
    </row>
    <row r="233" spans="1:6" x14ac:dyDescent="0.2">
      <c r="A233" s="2" t="str">
        <f>"5997148703588"</f>
        <v>5997148703588</v>
      </c>
      <c r="B233" s="1" t="s">
        <v>232</v>
      </c>
      <c r="C233" s="9" t="s">
        <v>3374</v>
      </c>
      <c r="D233" s="6">
        <v>183.32</v>
      </c>
      <c r="F233">
        <v>100</v>
      </c>
    </row>
    <row r="234" spans="1:6" x14ac:dyDescent="0.2">
      <c r="A234" s="2" t="str">
        <f>"5998400308947"</f>
        <v>5998400308947</v>
      </c>
      <c r="B234" s="1" t="s">
        <v>233</v>
      </c>
      <c r="C234" s="9" t="s">
        <v>3374</v>
      </c>
      <c r="D234" s="6">
        <v>106.36</v>
      </c>
      <c r="F234">
        <v>100</v>
      </c>
    </row>
    <row r="235" spans="1:6" x14ac:dyDescent="0.2">
      <c r="A235" s="2" t="str">
        <f>"8595054906115"</f>
        <v>8595054906115</v>
      </c>
      <c r="B235" s="1" t="s">
        <v>234</v>
      </c>
      <c r="C235" s="9" t="s">
        <v>3382</v>
      </c>
      <c r="D235" s="6">
        <v>139.19999999999999</v>
      </c>
      <c r="F235">
        <v>100</v>
      </c>
    </row>
    <row r="236" spans="1:6" x14ac:dyDescent="0.2">
      <c r="A236" s="2" t="str">
        <f>"5998400309586"</f>
        <v>5998400309586</v>
      </c>
      <c r="B236" s="1" t="s">
        <v>235</v>
      </c>
      <c r="C236" s="9" t="s">
        <v>3382</v>
      </c>
      <c r="D236" s="6">
        <v>96.98</v>
      </c>
      <c r="F236">
        <v>100</v>
      </c>
    </row>
    <row r="237" spans="1:6" x14ac:dyDescent="0.2">
      <c r="A237" s="2" t="str">
        <f>"5999091300784"</f>
        <v>5999091300784</v>
      </c>
      <c r="B237" s="1" t="s">
        <v>236</v>
      </c>
      <c r="C237" s="9" t="s">
        <v>3382</v>
      </c>
      <c r="D237" s="6">
        <v>114.34</v>
      </c>
      <c r="F237">
        <v>100</v>
      </c>
    </row>
    <row r="238" spans="1:6" x14ac:dyDescent="0.2">
      <c r="A238" s="2" t="str">
        <f>"8595054906139"</f>
        <v>8595054906139</v>
      </c>
      <c r="B238" s="1" t="s">
        <v>237</v>
      </c>
      <c r="C238" s="9" t="s">
        <v>3382</v>
      </c>
      <c r="D238" s="6">
        <v>139.19999999999999</v>
      </c>
      <c r="F238">
        <v>100</v>
      </c>
    </row>
    <row r="239" spans="1:6" x14ac:dyDescent="0.2">
      <c r="A239" s="2" t="str">
        <f>"5997443313901"</f>
        <v>5997443313901</v>
      </c>
      <c r="B239" s="1" t="s">
        <v>238</v>
      </c>
      <c r="C239" s="9" t="s">
        <v>3375</v>
      </c>
      <c r="D239" s="6">
        <v>392.64</v>
      </c>
      <c r="F239">
        <v>100</v>
      </c>
    </row>
    <row r="240" spans="1:6" x14ac:dyDescent="0.2">
      <c r="A240" s="2" t="str">
        <f>"5997148703601"</f>
        <v>5997148703601</v>
      </c>
      <c r="B240" s="1" t="s">
        <v>239</v>
      </c>
      <c r="C240" s="9" t="s">
        <v>3375</v>
      </c>
      <c r="D240" s="6">
        <v>182.29</v>
      </c>
      <c r="F240">
        <v>100</v>
      </c>
    </row>
    <row r="241" spans="1:6" x14ac:dyDescent="0.2">
      <c r="A241" s="2" t="str">
        <f>"5997004751456"</f>
        <v>5997004751456</v>
      </c>
      <c r="B241" s="1" t="s">
        <v>240</v>
      </c>
      <c r="C241" s="9" t="s">
        <v>3376</v>
      </c>
      <c r="D241" s="6">
        <v>259.02</v>
      </c>
      <c r="F241">
        <v>100</v>
      </c>
    </row>
    <row r="242" spans="1:6" x14ac:dyDescent="0.2">
      <c r="A242" s="2" t="str">
        <f>"5997478595112"</f>
        <v>5997478595112</v>
      </c>
      <c r="B242" s="1" t="s">
        <v>241</v>
      </c>
      <c r="C242" s="9" t="s">
        <v>3374</v>
      </c>
      <c r="D242" s="6">
        <v>120.03</v>
      </c>
      <c r="F242">
        <v>100</v>
      </c>
    </row>
    <row r="243" spans="1:6" x14ac:dyDescent="0.2">
      <c r="A243" s="2" t="str">
        <f>"5999091301002"</f>
        <v>5999091301002</v>
      </c>
      <c r="B243" s="1" t="s">
        <v>242</v>
      </c>
      <c r="C243" s="9" t="s">
        <v>3374</v>
      </c>
      <c r="D243" s="6">
        <v>66.650000000000006</v>
      </c>
      <c r="F243">
        <v>100</v>
      </c>
    </row>
    <row r="244" spans="1:6" x14ac:dyDescent="0.2">
      <c r="A244" s="2" t="str">
        <f>"8410376037883"</f>
        <v>8410376037883</v>
      </c>
      <c r="B244" s="1" t="s">
        <v>243</v>
      </c>
      <c r="C244" s="9" t="s">
        <v>3374</v>
      </c>
      <c r="D244" s="6">
        <v>406.43</v>
      </c>
      <c r="F244">
        <v>100</v>
      </c>
    </row>
    <row r="245" spans="1:6" x14ac:dyDescent="0.2">
      <c r="A245" s="2" t="str">
        <f>"8410376045024"</f>
        <v>8410376045024</v>
      </c>
      <c r="B245" s="1" t="s">
        <v>244</v>
      </c>
      <c r="C245" s="9" t="s">
        <v>3374</v>
      </c>
      <c r="D245" s="6">
        <v>374.02</v>
      </c>
      <c r="F245">
        <v>100</v>
      </c>
    </row>
    <row r="246" spans="1:6" x14ac:dyDescent="0.2">
      <c r="A246" s="2" t="str">
        <f>"8410376036169"</f>
        <v>8410376036169</v>
      </c>
      <c r="B246" s="1" t="s">
        <v>245</v>
      </c>
      <c r="C246" s="9" t="s">
        <v>3374</v>
      </c>
      <c r="D246" s="6">
        <v>654.76</v>
      </c>
      <c r="F246">
        <v>100</v>
      </c>
    </row>
    <row r="247" spans="1:6" x14ac:dyDescent="0.2">
      <c r="A247" s="2" t="str">
        <f>"8410376029079"</f>
        <v>8410376029079</v>
      </c>
      <c r="B247" s="1" t="s">
        <v>246</v>
      </c>
      <c r="C247" s="9" t="s">
        <v>3374</v>
      </c>
      <c r="D247" s="6">
        <v>542.24</v>
      </c>
      <c r="F247">
        <v>100</v>
      </c>
    </row>
    <row r="248" spans="1:6" x14ac:dyDescent="0.2">
      <c r="A248" s="2" t="str">
        <f>"4048132004509"</f>
        <v>4048132004509</v>
      </c>
      <c r="B248" s="1" t="s">
        <v>247</v>
      </c>
      <c r="C248" s="9" t="s">
        <v>3374</v>
      </c>
      <c r="D248" s="6">
        <v>464.2</v>
      </c>
      <c r="F248">
        <v>100</v>
      </c>
    </row>
    <row r="249" spans="1:6" x14ac:dyDescent="0.2">
      <c r="A249" s="2" t="str">
        <f>"5997380360327"</f>
        <v>5997380360327</v>
      </c>
      <c r="B249" s="1" t="s">
        <v>248</v>
      </c>
      <c r="C249" s="9" t="s">
        <v>3382</v>
      </c>
      <c r="D249" s="6">
        <v>206.66</v>
      </c>
      <c r="F249">
        <v>100</v>
      </c>
    </row>
    <row r="250" spans="1:6" x14ac:dyDescent="0.2">
      <c r="A250" s="2" t="str">
        <f>"8594001216765"</f>
        <v>8594001216765</v>
      </c>
      <c r="B250" s="1" t="s">
        <v>249</v>
      </c>
      <c r="C250" s="9" t="s">
        <v>3375</v>
      </c>
      <c r="D250" s="6">
        <v>159.36000000000001</v>
      </c>
      <c r="F250">
        <v>100</v>
      </c>
    </row>
    <row r="251" spans="1:6" x14ac:dyDescent="0.2">
      <c r="A251" s="2" t="str">
        <f>"8594001216758"</f>
        <v>8594001216758</v>
      </c>
      <c r="B251" s="1" t="s">
        <v>250</v>
      </c>
      <c r="C251" s="9" t="s">
        <v>3375</v>
      </c>
      <c r="D251" s="6">
        <v>171.51</v>
      </c>
      <c r="F251">
        <v>100</v>
      </c>
    </row>
    <row r="252" spans="1:6" x14ac:dyDescent="0.2">
      <c r="A252" s="2" t="str">
        <f>"5999091300036"</f>
        <v>5999091300036</v>
      </c>
      <c r="B252" s="1" t="s">
        <v>251</v>
      </c>
      <c r="C252" s="9" t="s">
        <v>3375</v>
      </c>
      <c r="D252" s="6">
        <v>411.84</v>
      </c>
      <c r="F252">
        <v>100</v>
      </c>
    </row>
    <row r="253" spans="1:6" x14ac:dyDescent="0.2">
      <c r="A253" s="2" t="str">
        <f>"5999091300067"</f>
        <v>5999091300067</v>
      </c>
      <c r="B253" s="1" t="s">
        <v>252</v>
      </c>
      <c r="C253" s="9" t="s">
        <v>3375</v>
      </c>
      <c r="D253" s="6">
        <v>219.84</v>
      </c>
      <c r="F253">
        <v>100</v>
      </c>
    </row>
    <row r="254" spans="1:6" x14ac:dyDescent="0.2">
      <c r="A254" s="2" t="str">
        <f>"8410376051148"</f>
        <v>8410376051148</v>
      </c>
      <c r="B254" s="1" t="s">
        <v>253</v>
      </c>
      <c r="C254" s="9" t="s">
        <v>3374</v>
      </c>
      <c r="D254" s="6">
        <v>295.86</v>
      </c>
      <c r="F254">
        <v>100</v>
      </c>
    </row>
    <row r="255" spans="1:6" x14ac:dyDescent="0.2">
      <c r="A255" s="2" t="str">
        <f>"5997443313888"</f>
        <v>5997443313888</v>
      </c>
      <c r="B255" s="1" t="s">
        <v>254</v>
      </c>
      <c r="C255" s="9" t="s">
        <v>3375</v>
      </c>
      <c r="D255" s="6">
        <v>278.39999999999998</v>
      </c>
      <c r="F255">
        <v>100</v>
      </c>
    </row>
    <row r="256" spans="1:6" x14ac:dyDescent="0.2">
      <c r="A256" s="2" t="str">
        <f>"5997132563334"</f>
        <v>5997132563334</v>
      </c>
      <c r="B256" s="1" t="s">
        <v>255</v>
      </c>
      <c r="C256" s="9" t="s">
        <v>3376</v>
      </c>
      <c r="D256" s="6">
        <v>202.21</v>
      </c>
      <c r="F256">
        <v>100</v>
      </c>
    </row>
    <row r="257" spans="1:6" x14ac:dyDescent="0.2">
      <c r="A257" s="2" t="str">
        <f>"5998400380356"</f>
        <v>5998400380356</v>
      </c>
      <c r="B257" s="1" t="s">
        <v>256</v>
      </c>
      <c r="C257" s="9" t="s">
        <v>3375</v>
      </c>
      <c r="D257" s="6">
        <v>244.8</v>
      </c>
      <c r="F257">
        <v>100</v>
      </c>
    </row>
    <row r="258" spans="1:6" x14ac:dyDescent="0.2">
      <c r="A258" s="2" t="str">
        <f>"5997234710100"</f>
        <v>5997234710100</v>
      </c>
      <c r="B258" s="1" t="s">
        <v>257</v>
      </c>
      <c r="C258" s="9" t="s">
        <v>3382</v>
      </c>
      <c r="D258" s="6">
        <v>89.28</v>
      </c>
      <c r="F258">
        <v>100</v>
      </c>
    </row>
    <row r="259" spans="1:6" x14ac:dyDescent="0.2">
      <c r="A259" s="2" t="str">
        <f>"80052357     "</f>
        <v xml:space="preserve">80052357     </v>
      </c>
      <c r="B259" s="1" t="s">
        <v>258</v>
      </c>
      <c r="C259" s="9" t="s">
        <v>3382</v>
      </c>
      <c r="D259" s="6">
        <v>161.85</v>
      </c>
      <c r="F259">
        <v>100</v>
      </c>
    </row>
    <row r="260" spans="1:6" x14ac:dyDescent="0.2">
      <c r="A260" s="2" t="str">
        <f>"1405         "</f>
        <v xml:space="preserve">1405         </v>
      </c>
      <c r="B260" s="1" t="s">
        <v>259</v>
      </c>
      <c r="C260" s="9" t="s">
        <v>3388</v>
      </c>
      <c r="D260" s="6">
        <v>32.99</v>
      </c>
      <c r="F260">
        <v>100</v>
      </c>
    </row>
    <row r="261" spans="1:6" x14ac:dyDescent="0.2">
      <c r="A261" s="2" t="str">
        <f>"5998056300067"</f>
        <v>5998056300067</v>
      </c>
      <c r="B261" s="1" t="s">
        <v>260</v>
      </c>
      <c r="C261" s="9" t="s">
        <v>3375</v>
      </c>
      <c r="D261" s="6">
        <v>117.12</v>
      </c>
      <c r="F261">
        <v>100</v>
      </c>
    </row>
    <row r="262" spans="1:6" x14ac:dyDescent="0.2">
      <c r="A262" s="2" t="str">
        <f>"5201360521005"</f>
        <v>5201360521005</v>
      </c>
      <c r="B262" s="1" t="s">
        <v>261</v>
      </c>
      <c r="C262" s="9" t="s">
        <v>3382</v>
      </c>
      <c r="D262" s="6">
        <v>98.71</v>
      </c>
      <c r="F262">
        <v>100</v>
      </c>
    </row>
    <row r="263" spans="1:6" x14ac:dyDescent="0.2">
      <c r="A263" s="2" t="str">
        <f>"80761761     "</f>
        <v xml:space="preserve">80761761     </v>
      </c>
      <c r="B263" s="1" t="s">
        <v>262</v>
      </c>
      <c r="C263" s="9" t="s">
        <v>3382</v>
      </c>
      <c r="D263" s="6">
        <v>162.24</v>
      </c>
      <c r="F263">
        <v>100</v>
      </c>
    </row>
    <row r="264" spans="1:6" x14ac:dyDescent="0.2">
      <c r="A264" s="2" t="str">
        <f>"5201360521210"</f>
        <v>5201360521210</v>
      </c>
      <c r="B264" s="1" t="s">
        <v>263</v>
      </c>
      <c r="C264" s="9" t="s">
        <v>3382</v>
      </c>
      <c r="D264" s="6">
        <v>88.93</v>
      </c>
      <c r="F264">
        <v>100</v>
      </c>
    </row>
    <row r="265" spans="1:6" x14ac:dyDescent="0.2">
      <c r="A265" s="2" t="str">
        <f>"5997347541769"</f>
        <v>5997347541769</v>
      </c>
      <c r="B265" s="1" t="s">
        <v>264</v>
      </c>
      <c r="C265" s="9" t="s">
        <v>3382</v>
      </c>
      <c r="D265" s="6">
        <v>373.46</v>
      </c>
      <c r="F265">
        <v>100</v>
      </c>
    </row>
    <row r="266" spans="1:6" x14ac:dyDescent="0.2">
      <c r="A266" s="2" t="str">
        <f>"5900259087126"</f>
        <v>5900259087126</v>
      </c>
      <c r="B266" s="1" t="s">
        <v>265</v>
      </c>
      <c r="C266" s="9" t="s">
        <v>3382</v>
      </c>
      <c r="D266" s="6">
        <v>82.45</v>
      </c>
      <c r="F266">
        <v>100</v>
      </c>
    </row>
    <row r="267" spans="1:6" x14ac:dyDescent="0.2">
      <c r="A267" s="2" t="str">
        <f>"5201360502837"</f>
        <v>5201360502837</v>
      </c>
      <c r="B267" s="1" t="s">
        <v>266</v>
      </c>
      <c r="C267" s="9" t="s">
        <v>3382</v>
      </c>
      <c r="D267" s="6">
        <v>105.33</v>
      </c>
      <c r="F267">
        <v>100</v>
      </c>
    </row>
    <row r="268" spans="1:6" x14ac:dyDescent="0.2">
      <c r="A268" s="2" t="str">
        <f>"5201360521418"</f>
        <v>5201360521418</v>
      </c>
      <c r="B268" s="1" t="s">
        <v>267</v>
      </c>
      <c r="C268" s="9" t="s">
        <v>3382</v>
      </c>
      <c r="D268" s="6">
        <v>87.75</v>
      </c>
      <c r="F268">
        <v>100</v>
      </c>
    </row>
    <row r="269" spans="1:6" x14ac:dyDescent="0.2">
      <c r="A269" s="2" t="str">
        <f>"5996253000384"</f>
        <v>5996253000384</v>
      </c>
      <c r="B269" s="1" t="s">
        <v>268</v>
      </c>
      <c r="C269" s="9" t="s">
        <v>3382</v>
      </c>
      <c r="D269" s="6">
        <v>206.43</v>
      </c>
      <c r="F269">
        <v>100</v>
      </c>
    </row>
    <row r="270" spans="1:6" x14ac:dyDescent="0.2">
      <c r="A270" s="2" t="str">
        <f>"7622210145406"</f>
        <v>7622210145406</v>
      </c>
      <c r="B270" s="1" t="s">
        <v>269</v>
      </c>
      <c r="C270" s="9" t="s">
        <v>3382</v>
      </c>
      <c r="D270" s="6">
        <v>100.8</v>
      </c>
      <c r="F270">
        <v>100</v>
      </c>
    </row>
    <row r="271" spans="1:6" x14ac:dyDescent="0.2">
      <c r="A271" s="2" t="str">
        <f>"3017760524896"</f>
        <v>3017760524896</v>
      </c>
      <c r="B271" s="1" t="s">
        <v>270</v>
      </c>
      <c r="C271" s="9" t="s">
        <v>3382</v>
      </c>
      <c r="D271" s="6">
        <v>60.15</v>
      </c>
      <c r="F271">
        <v>100</v>
      </c>
    </row>
    <row r="272" spans="1:6" x14ac:dyDescent="0.2">
      <c r="A272" s="2" t="str">
        <f>"80052760     "</f>
        <v xml:space="preserve">80052760     </v>
      </c>
      <c r="B272" s="1" t="s">
        <v>271</v>
      </c>
      <c r="C272" s="9" t="s">
        <v>3382</v>
      </c>
      <c r="D272" s="6">
        <v>162.24</v>
      </c>
      <c r="F272">
        <v>100</v>
      </c>
    </row>
    <row r="273" spans="1:6" x14ac:dyDescent="0.2">
      <c r="A273" s="2" t="str">
        <f>"5900259093141"</f>
        <v>5900259093141</v>
      </c>
      <c r="B273" s="1" t="s">
        <v>272</v>
      </c>
      <c r="C273" s="9" t="s">
        <v>3382</v>
      </c>
      <c r="D273" s="6">
        <v>191.05</v>
      </c>
      <c r="F273">
        <v>100</v>
      </c>
    </row>
    <row r="274" spans="1:6" x14ac:dyDescent="0.2">
      <c r="A274" s="2" t="str">
        <f>"5201360501571"</f>
        <v>5201360501571</v>
      </c>
      <c r="B274" s="1" t="s">
        <v>273</v>
      </c>
      <c r="C274" s="9" t="s">
        <v>3382</v>
      </c>
      <c r="D274" s="6">
        <v>106.02</v>
      </c>
      <c r="F274">
        <v>100</v>
      </c>
    </row>
    <row r="275" spans="1:6" x14ac:dyDescent="0.2">
      <c r="A275" s="2" t="str">
        <f>"9002975367134"</f>
        <v>9002975367134</v>
      </c>
      <c r="B275" s="1" t="s">
        <v>274</v>
      </c>
      <c r="C275" s="9" t="s">
        <v>3382</v>
      </c>
      <c r="D275" s="6">
        <v>171.42</v>
      </c>
      <c r="F275">
        <v>100</v>
      </c>
    </row>
    <row r="276" spans="1:6" x14ac:dyDescent="0.2">
      <c r="A276" s="2" t="str">
        <f>"5900259097606"</f>
        <v>5900259097606</v>
      </c>
      <c r="B276" s="1" t="s">
        <v>275</v>
      </c>
      <c r="C276" s="9" t="s">
        <v>3382</v>
      </c>
      <c r="D276" s="6">
        <v>191.05</v>
      </c>
      <c r="F276">
        <v>100</v>
      </c>
    </row>
    <row r="277" spans="1:6" x14ac:dyDescent="0.2">
      <c r="A277" s="2" t="str">
        <f>"3017760524797"</f>
        <v>3017760524797</v>
      </c>
      <c r="B277" s="1" t="s">
        <v>276</v>
      </c>
      <c r="C277" s="9" t="s">
        <v>3382</v>
      </c>
      <c r="D277" s="6">
        <v>60.14</v>
      </c>
      <c r="F277">
        <v>100</v>
      </c>
    </row>
    <row r="278" spans="1:6" x14ac:dyDescent="0.2">
      <c r="A278" s="2" t="str">
        <f>"40084107     "</f>
        <v xml:space="preserve">40084107     </v>
      </c>
      <c r="B278" s="1" t="s">
        <v>277</v>
      </c>
      <c r="C278" s="9" t="s">
        <v>3382</v>
      </c>
      <c r="D278" s="6">
        <v>197.52</v>
      </c>
      <c r="F278">
        <v>100</v>
      </c>
    </row>
    <row r="279" spans="1:6" x14ac:dyDescent="0.2">
      <c r="A279" s="2" t="str">
        <f>"5900259097682"</f>
        <v>5900259097682</v>
      </c>
      <c r="B279" s="1" t="s">
        <v>278</v>
      </c>
      <c r="C279" s="9" t="s">
        <v>3382</v>
      </c>
      <c r="D279" s="6">
        <v>190.99</v>
      </c>
      <c r="F279">
        <v>100</v>
      </c>
    </row>
    <row r="280" spans="1:6" x14ac:dyDescent="0.2">
      <c r="A280" s="2" t="str">
        <f>"5900259096609"</f>
        <v>5900259096609</v>
      </c>
      <c r="B280" s="1" t="s">
        <v>279</v>
      </c>
      <c r="C280" s="9" t="s">
        <v>3382</v>
      </c>
      <c r="D280" s="6">
        <v>191.05</v>
      </c>
      <c r="F280">
        <v>100</v>
      </c>
    </row>
    <row r="281" spans="1:6" x14ac:dyDescent="0.2">
      <c r="A281" s="2" t="str">
        <f>"7622210999221"</f>
        <v>7622210999221</v>
      </c>
      <c r="B281" s="1" t="s">
        <v>280</v>
      </c>
      <c r="C281" s="9" t="s">
        <v>3389</v>
      </c>
      <c r="D281" s="6">
        <v>185</v>
      </c>
      <c r="F281">
        <v>100</v>
      </c>
    </row>
    <row r="282" spans="1:6" x14ac:dyDescent="0.2">
      <c r="A282" s="2" t="str">
        <f>"4000522063718"</f>
        <v>4000522063718</v>
      </c>
      <c r="B282" s="1" t="s">
        <v>281</v>
      </c>
      <c r="C282" s="9" t="s">
        <v>3387</v>
      </c>
      <c r="D282" s="6">
        <v>187.23</v>
      </c>
      <c r="F282">
        <v>100</v>
      </c>
    </row>
    <row r="283" spans="1:6" x14ac:dyDescent="0.2">
      <c r="A283" s="2" t="str">
        <f>"4033         "</f>
        <v xml:space="preserve">4033         </v>
      </c>
      <c r="B283" s="1" t="s">
        <v>282</v>
      </c>
      <c r="C283" s="9" t="s">
        <v>3390</v>
      </c>
      <c r="D283" s="6">
        <v>20</v>
      </c>
      <c r="F283">
        <v>100</v>
      </c>
    </row>
    <row r="284" spans="1:6" x14ac:dyDescent="0.2">
      <c r="A284" s="2" t="str">
        <f>"5900259083494"</f>
        <v>5900259083494</v>
      </c>
      <c r="B284" s="1" t="s">
        <v>283</v>
      </c>
      <c r="C284" s="9" t="s">
        <v>3382</v>
      </c>
      <c r="D284" s="6">
        <v>82.34</v>
      </c>
      <c r="F284">
        <v>100</v>
      </c>
    </row>
    <row r="285" spans="1:6" x14ac:dyDescent="0.2">
      <c r="A285" s="2" t="str">
        <f>"5997866300090"</f>
        <v>5997866300090</v>
      </c>
      <c r="B285" s="1" t="s">
        <v>284</v>
      </c>
      <c r="C285" s="9" t="s">
        <v>3389</v>
      </c>
      <c r="D285" s="6">
        <v>107</v>
      </c>
      <c r="F285">
        <v>100</v>
      </c>
    </row>
    <row r="286" spans="1:6" x14ac:dyDescent="0.2">
      <c r="A286" s="2" t="str">
        <f>"7622210694935"</f>
        <v>7622210694935</v>
      </c>
      <c r="B286" s="1" t="s">
        <v>285</v>
      </c>
      <c r="C286" s="9" t="s">
        <v>3382</v>
      </c>
      <c r="D286" s="6">
        <v>79.680000000000007</v>
      </c>
      <c r="F286">
        <v>100</v>
      </c>
    </row>
    <row r="287" spans="1:6" x14ac:dyDescent="0.2">
      <c r="A287" s="2" t="str">
        <f>"5998056300036"</f>
        <v>5998056300036</v>
      </c>
      <c r="B287" s="1" t="s">
        <v>286</v>
      </c>
      <c r="C287" s="9" t="s">
        <v>3375</v>
      </c>
      <c r="D287" s="6">
        <v>112.32</v>
      </c>
      <c r="F287">
        <v>100</v>
      </c>
    </row>
    <row r="288" spans="1:6" x14ac:dyDescent="0.2">
      <c r="A288" s="2" t="str">
        <f>"7622210416407"</f>
        <v>7622210416407</v>
      </c>
      <c r="B288" s="1" t="s">
        <v>287</v>
      </c>
      <c r="C288" s="9" t="s">
        <v>3389</v>
      </c>
      <c r="D288" s="6">
        <v>108.48</v>
      </c>
      <c r="F288">
        <v>100</v>
      </c>
    </row>
    <row r="289" spans="1:6" x14ac:dyDescent="0.2">
      <c r="A289" s="2" t="str">
        <f>"5996253000377"</f>
        <v>5996253000377</v>
      </c>
      <c r="B289" s="1" t="s">
        <v>288</v>
      </c>
      <c r="C289" s="9" t="s">
        <v>3382</v>
      </c>
      <c r="D289" s="6">
        <v>205.89</v>
      </c>
      <c r="F289">
        <v>100</v>
      </c>
    </row>
    <row r="290" spans="1:6" x14ac:dyDescent="0.2">
      <c r="A290" s="2" t="str">
        <f>"40144061     "</f>
        <v xml:space="preserve">40144061     </v>
      </c>
      <c r="B290" s="1" t="s">
        <v>289</v>
      </c>
      <c r="C290" s="9" t="s">
        <v>3382</v>
      </c>
      <c r="D290" s="6">
        <v>85.26</v>
      </c>
      <c r="F290">
        <v>100</v>
      </c>
    </row>
    <row r="291" spans="1:6" x14ac:dyDescent="0.2">
      <c r="A291" s="2" t="str">
        <f>"4000522009020"</f>
        <v>4000522009020</v>
      </c>
      <c r="B291" s="1" t="s">
        <v>290</v>
      </c>
      <c r="C291" s="9" t="s">
        <v>3387</v>
      </c>
      <c r="D291" s="6">
        <v>183.91</v>
      </c>
      <c r="F291">
        <v>100</v>
      </c>
    </row>
    <row r="292" spans="1:6" x14ac:dyDescent="0.2">
      <c r="A292" s="2" t="str">
        <f>"5997922700079"</f>
        <v>5997922700079</v>
      </c>
      <c r="B292" s="1" t="s">
        <v>291</v>
      </c>
      <c r="C292" s="9" t="s">
        <v>3382</v>
      </c>
      <c r="D292" s="6">
        <v>48.9</v>
      </c>
      <c r="F292">
        <v>100</v>
      </c>
    </row>
    <row r="293" spans="1:6" x14ac:dyDescent="0.2">
      <c r="A293" s="2" t="str">
        <f>"5999884916017"</f>
        <v>5999884916017</v>
      </c>
      <c r="B293" s="1" t="s">
        <v>292</v>
      </c>
      <c r="C293" s="9" t="s">
        <v>3382</v>
      </c>
      <c r="D293" s="6">
        <v>126.65</v>
      </c>
      <c r="F293">
        <v>100</v>
      </c>
    </row>
    <row r="294" spans="1:6" x14ac:dyDescent="0.2">
      <c r="A294" s="2" t="str">
        <f>"5997922700208"</f>
        <v>5997922700208</v>
      </c>
      <c r="B294" s="1" t="s">
        <v>293</v>
      </c>
      <c r="C294" s="9" t="s">
        <v>3382</v>
      </c>
      <c r="D294" s="6">
        <v>81.599999999999994</v>
      </c>
      <c r="F294">
        <v>100</v>
      </c>
    </row>
    <row r="295" spans="1:6" x14ac:dyDescent="0.2">
      <c r="A295" s="2" t="str">
        <f>"40111216     "</f>
        <v xml:space="preserve">40111216     </v>
      </c>
      <c r="B295" s="1" t="s">
        <v>294</v>
      </c>
      <c r="C295" s="9" t="s">
        <v>3382</v>
      </c>
      <c r="D295" s="6">
        <v>116.15</v>
      </c>
      <c r="F295">
        <v>100</v>
      </c>
    </row>
    <row r="296" spans="1:6" x14ac:dyDescent="0.2">
      <c r="A296" s="2" t="str">
        <f>"7622210999597"</f>
        <v>7622210999597</v>
      </c>
      <c r="B296" s="1" t="s">
        <v>295</v>
      </c>
      <c r="C296" s="9" t="s">
        <v>3389</v>
      </c>
      <c r="D296" s="6">
        <v>190</v>
      </c>
      <c r="F296">
        <v>100</v>
      </c>
    </row>
    <row r="297" spans="1:6" x14ac:dyDescent="0.2">
      <c r="A297" s="2" t="str">
        <f>"5201360531332"</f>
        <v>5201360531332</v>
      </c>
      <c r="B297" s="1" t="s">
        <v>296</v>
      </c>
      <c r="C297" s="9" t="s">
        <v>3382</v>
      </c>
      <c r="D297" s="6">
        <v>87.64</v>
      </c>
      <c r="F297">
        <v>100</v>
      </c>
    </row>
    <row r="298" spans="1:6" x14ac:dyDescent="0.2">
      <c r="A298" s="2" t="str">
        <f>"5997148702376"</f>
        <v>5997148702376</v>
      </c>
      <c r="B298" s="1" t="s">
        <v>297</v>
      </c>
      <c r="C298" s="9" t="s">
        <v>3382</v>
      </c>
      <c r="D298" s="6">
        <v>186.47</v>
      </c>
      <c r="F298">
        <v>100</v>
      </c>
    </row>
    <row r="299" spans="1:6" x14ac:dyDescent="0.2">
      <c r="A299" s="2" t="str">
        <f>"5900259087164"</f>
        <v>5900259087164</v>
      </c>
      <c r="B299" s="1" t="s">
        <v>298</v>
      </c>
      <c r="C299" s="9" t="s">
        <v>3382</v>
      </c>
      <c r="D299" s="6">
        <v>83.46</v>
      </c>
      <c r="F299">
        <v>100</v>
      </c>
    </row>
    <row r="300" spans="1:6" x14ac:dyDescent="0.2">
      <c r="A300" s="2" t="str">
        <f>"5900951025808"</f>
        <v>5900951025808</v>
      </c>
      <c r="B300" s="1" t="s">
        <v>299</v>
      </c>
      <c r="C300" s="9" t="s">
        <v>3382</v>
      </c>
      <c r="D300" s="6">
        <v>80.42</v>
      </c>
      <c r="F300">
        <v>100</v>
      </c>
    </row>
    <row r="301" spans="1:6" x14ac:dyDescent="0.2">
      <c r="A301" s="2" t="str">
        <f>"5900951027307"</f>
        <v>5900951027307</v>
      </c>
      <c r="B301" s="1" t="s">
        <v>300</v>
      </c>
      <c r="C301" s="9" t="s">
        <v>3382</v>
      </c>
      <c r="D301" s="6">
        <v>162.52000000000001</v>
      </c>
      <c r="F301">
        <v>100</v>
      </c>
    </row>
    <row r="302" spans="1:6" x14ac:dyDescent="0.2">
      <c r="A302" s="2" t="str">
        <f>"7622210145413"</f>
        <v>7622210145413</v>
      </c>
      <c r="B302" s="1" t="s">
        <v>301</v>
      </c>
      <c r="C302" s="9" t="s">
        <v>3382</v>
      </c>
      <c r="D302" s="6">
        <v>110.4</v>
      </c>
      <c r="F302">
        <v>100</v>
      </c>
    </row>
    <row r="303" spans="1:6" x14ac:dyDescent="0.2">
      <c r="A303" s="2" t="str">
        <f>"5201360501700"</f>
        <v>5201360501700</v>
      </c>
      <c r="B303" s="1" t="s">
        <v>302</v>
      </c>
      <c r="C303" s="9" t="s">
        <v>3382</v>
      </c>
      <c r="D303" s="6">
        <v>105.28</v>
      </c>
      <c r="F303">
        <v>100</v>
      </c>
    </row>
    <row r="304" spans="1:6" x14ac:dyDescent="0.2">
      <c r="A304" s="2" t="str">
        <f>"7613032201098"</f>
        <v>7613032201098</v>
      </c>
      <c r="B304" s="1" t="s">
        <v>303</v>
      </c>
      <c r="C304" s="9" t="s">
        <v>3382</v>
      </c>
      <c r="D304" s="6">
        <v>53.76</v>
      </c>
      <c r="F304">
        <v>100</v>
      </c>
    </row>
    <row r="305" spans="1:6" x14ac:dyDescent="0.2">
      <c r="A305" s="2" t="str">
        <f>"8590311101654"</f>
        <v>8590311101654</v>
      </c>
      <c r="B305" s="1" t="s">
        <v>304</v>
      </c>
      <c r="C305" s="9" t="s">
        <v>3374</v>
      </c>
      <c r="D305" s="6">
        <v>16.5</v>
      </c>
      <c r="F305">
        <v>100</v>
      </c>
    </row>
    <row r="306" spans="1:6" x14ac:dyDescent="0.2">
      <c r="A306" s="2" t="str">
        <f>"4000522064890"</f>
        <v>4000522064890</v>
      </c>
      <c r="B306" s="1" t="s">
        <v>305</v>
      </c>
      <c r="C306" s="9" t="s">
        <v>3387</v>
      </c>
      <c r="D306" s="6">
        <v>178.56</v>
      </c>
      <c r="F306">
        <v>100</v>
      </c>
    </row>
    <row r="307" spans="1:6" x14ac:dyDescent="0.2">
      <c r="A307" s="2" t="str">
        <f>"5998400305151"</f>
        <v>5998400305151</v>
      </c>
      <c r="B307" s="1" t="s">
        <v>306</v>
      </c>
      <c r="C307" s="9" t="s">
        <v>3382</v>
      </c>
      <c r="D307" s="6">
        <v>52.52</v>
      </c>
      <c r="F307">
        <v>100</v>
      </c>
    </row>
    <row r="308" spans="1:6" x14ac:dyDescent="0.2">
      <c r="A308" s="2" t="str">
        <f>"5996253000414"</f>
        <v>5996253000414</v>
      </c>
      <c r="B308" s="1" t="s">
        <v>307</v>
      </c>
      <c r="C308" s="9" t="s">
        <v>3382</v>
      </c>
      <c r="D308" s="6">
        <v>208.32</v>
      </c>
      <c r="F308">
        <v>100</v>
      </c>
    </row>
    <row r="309" spans="1:6" x14ac:dyDescent="0.2">
      <c r="A309" s="2" t="str">
        <f>"40052489     "</f>
        <v xml:space="preserve">40052489     </v>
      </c>
      <c r="B309" s="1" t="s">
        <v>308</v>
      </c>
      <c r="C309" s="9" t="s">
        <v>3382</v>
      </c>
      <c r="D309" s="6">
        <v>121.65</v>
      </c>
      <c r="F309">
        <v>100</v>
      </c>
    </row>
    <row r="310" spans="1:6" x14ac:dyDescent="0.2">
      <c r="A310" s="2" t="str">
        <f>"5900259083517"</f>
        <v>5900259083517</v>
      </c>
      <c r="B310" s="1" t="s">
        <v>309</v>
      </c>
      <c r="C310" s="9" t="s">
        <v>3382</v>
      </c>
      <c r="D310" s="6">
        <v>82.54</v>
      </c>
      <c r="F310">
        <v>100</v>
      </c>
    </row>
    <row r="311" spans="1:6" x14ac:dyDescent="0.2">
      <c r="A311" s="2" t="str">
        <f>"5998221500551"</f>
        <v>5998221500551</v>
      </c>
      <c r="B311" s="1" t="s">
        <v>310</v>
      </c>
      <c r="C311" s="9" t="s">
        <v>3382</v>
      </c>
      <c r="D311" s="6">
        <v>99.91</v>
      </c>
      <c r="F311">
        <v>100</v>
      </c>
    </row>
    <row r="312" spans="1:6" x14ac:dyDescent="0.2">
      <c r="A312" s="2" t="str">
        <f>"54088191     "</f>
        <v xml:space="preserve">54088191     </v>
      </c>
      <c r="B312" s="1" t="s">
        <v>311</v>
      </c>
      <c r="C312" s="9" t="s">
        <v>3382</v>
      </c>
      <c r="D312" s="6">
        <v>210.24</v>
      </c>
      <c r="F312">
        <v>100</v>
      </c>
    </row>
    <row r="313" spans="1:6" x14ac:dyDescent="0.2">
      <c r="A313" s="2" t="str">
        <f>"90155697     "</f>
        <v xml:space="preserve">90155697     </v>
      </c>
      <c r="B313" s="1" t="s">
        <v>312</v>
      </c>
      <c r="C313" s="9" t="s">
        <v>3382</v>
      </c>
      <c r="D313" s="6">
        <v>71.73</v>
      </c>
      <c r="F313">
        <v>100</v>
      </c>
    </row>
    <row r="314" spans="1:6" x14ac:dyDescent="0.2">
      <c r="A314" s="2" t="str">
        <f>"5997312702065"</f>
        <v>5997312702065</v>
      </c>
      <c r="B314" s="1" t="s">
        <v>313</v>
      </c>
      <c r="C314" s="9" t="s">
        <v>3387</v>
      </c>
      <c r="D314" s="6">
        <v>229.75</v>
      </c>
      <c r="F314">
        <v>100</v>
      </c>
    </row>
    <row r="315" spans="1:6" x14ac:dyDescent="0.2">
      <c r="A315" s="2" t="str">
        <f>"5998711349820"</f>
        <v>5998711349820</v>
      </c>
      <c r="B315" s="1" t="s">
        <v>314</v>
      </c>
      <c r="C315" s="9" t="s">
        <v>3382</v>
      </c>
      <c r="D315" s="6">
        <v>177.16</v>
      </c>
      <c r="F315">
        <v>100</v>
      </c>
    </row>
    <row r="316" spans="1:6" x14ac:dyDescent="0.2">
      <c r="A316" s="2" t="str">
        <f>"5998711304089"</f>
        <v>5998711304089</v>
      </c>
      <c r="B316" s="1" t="s">
        <v>315</v>
      </c>
      <c r="C316" s="9" t="s">
        <v>3382</v>
      </c>
      <c r="D316" s="6">
        <v>160.31</v>
      </c>
      <c r="F316">
        <v>100</v>
      </c>
    </row>
    <row r="317" spans="1:6" x14ac:dyDescent="0.2">
      <c r="A317" s="2" t="str">
        <f>"9002975472814"</f>
        <v>9002975472814</v>
      </c>
      <c r="B317" s="1" t="s">
        <v>316</v>
      </c>
      <c r="C317" s="9" t="s">
        <v>3382</v>
      </c>
      <c r="D317" s="6">
        <v>170.94</v>
      </c>
      <c r="F317">
        <v>100</v>
      </c>
    </row>
    <row r="318" spans="1:6" x14ac:dyDescent="0.2">
      <c r="A318" s="2" t="str">
        <f>"3800233070118"</f>
        <v>3800233070118</v>
      </c>
      <c r="B318" s="1" t="s">
        <v>317</v>
      </c>
      <c r="C318" s="9" t="s">
        <v>3382</v>
      </c>
      <c r="D318" s="6">
        <v>185.45</v>
      </c>
      <c r="F318">
        <v>100</v>
      </c>
    </row>
    <row r="319" spans="1:6" x14ac:dyDescent="0.2">
      <c r="A319" s="2" t="str">
        <f>"5201360521616"</f>
        <v>5201360521616</v>
      </c>
      <c r="B319" s="1" t="s">
        <v>318</v>
      </c>
      <c r="C319" s="9" t="s">
        <v>3382</v>
      </c>
      <c r="D319" s="6">
        <v>88.06</v>
      </c>
      <c r="F319">
        <v>100</v>
      </c>
    </row>
    <row r="320" spans="1:6" x14ac:dyDescent="0.2">
      <c r="A320" s="2" t="str">
        <f>"5996253000407"</f>
        <v>5996253000407</v>
      </c>
      <c r="B320" s="1" t="s">
        <v>319</v>
      </c>
      <c r="C320" s="9" t="s">
        <v>3382</v>
      </c>
      <c r="D320" s="6">
        <v>204.35</v>
      </c>
      <c r="F320">
        <v>100</v>
      </c>
    </row>
    <row r="321" spans="1:6" x14ac:dyDescent="0.2">
      <c r="A321" s="2" t="str">
        <f>"8593894803823"</f>
        <v>8593894803823</v>
      </c>
      <c r="B321" s="1" t="s">
        <v>320</v>
      </c>
      <c r="C321" s="9" t="s">
        <v>3382</v>
      </c>
      <c r="D321" s="6">
        <v>83.79</v>
      </c>
      <c r="F321">
        <v>100</v>
      </c>
    </row>
    <row r="322" spans="1:6" x14ac:dyDescent="0.2">
      <c r="A322" s="2" t="str">
        <f>"5900259097620"</f>
        <v>5900259097620</v>
      </c>
      <c r="B322" s="1" t="s">
        <v>321</v>
      </c>
      <c r="C322" s="9" t="s">
        <v>3382</v>
      </c>
      <c r="D322" s="6">
        <v>191.05</v>
      </c>
      <c r="F322">
        <v>100</v>
      </c>
    </row>
    <row r="323" spans="1:6" x14ac:dyDescent="0.2">
      <c r="A323" s="2" t="str">
        <f>"40111650     "</f>
        <v xml:space="preserve">40111650     </v>
      </c>
      <c r="B323" s="1" t="s">
        <v>322</v>
      </c>
      <c r="C323" s="9" t="s">
        <v>3382</v>
      </c>
      <c r="D323" s="6">
        <v>109.24</v>
      </c>
      <c r="F323">
        <v>100</v>
      </c>
    </row>
    <row r="324" spans="1:6" x14ac:dyDescent="0.2">
      <c r="A324" s="2" t="str">
        <f>"5906747310806"</f>
        <v>5906747310806</v>
      </c>
      <c r="B324" s="1" t="s">
        <v>323</v>
      </c>
      <c r="C324" s="9" t="s">
        <v>3382</v>
      </c>
      <c r="D324" s="6">
        <v>254.11</v>
      </c>
      <c r="F324">
        <v>100</v>
      </c>
    </row>
    <row r="325" spans="1:6" x14ac:dyDescent="0.2">
      <c r="A325" s="2" t="str">
        <f>"3800233072495"</f>
        <v>3800233072495</v>
      </c>
      <c r="B325" s="1" t="s">
        <v>324</v>
      </c>
      <c r="C325" s="9" t="s">
        <v>3382</v>
      </c>
      <c r="D325" s="6">
        <v>181.96</v>
      </c>
      <c r="F325">
        <v>100</v>
      </c>
    </row>
    <row r="326" spans="1:6" x14ac:dyDescent="0.2">
      <c r="A326" s="2" t="str">
        <f>"5997922700062"</f>
        <v>5997922700062</v>
      </c>
      <c r="B326" s="1" t="s">
        <v>325</v>
      </c>
      <c r="C326" s="9" t="s">
        <v>3382</v>
      </c>
      <c r="D326" s="6">
        <v>48</v>
      </c>
      <c r="F326">
        <v>100</v>
      </c>
    </row>
    <row r="327" spans="1:6" x14ac:dyDescent="0.2">
      <c r="A327" s="2" t="str">
        <f>"5998400305458"</f>
        <v>5998400305458</v>
      </c>
      <c r="B327" s="1" t="s">
        <v>326</v>
      </c>
      <c r="C327" s="9" t="s">
        <v>3382</v>
      </c>
      <c r="D327" s="6">
        <v>52.81</v>
      </c>
      <c r="F327">
        <v>100</v>
      </c>
    </row>
    <row r="328" spans="1:6" x14ac:dyDescent="0.2">
      <c r="A328" s="2" t="str">
        <f>"5999882344362"</f>
        <v>5999882344362</v>
      </c>
      <c r="B328" s="1" t="s">
        <v>327</v>
      </c>
      <c r="C328" s="9" t="s">
        <v>3382</v>
      </c>
      <c r="D328" s="6">
        <v>85.45</v>
      </c>
      <c r="F328">
        <v>100</v>
      </c>
    </row>
    <row r="329" spans="1:6" x14ac:dyDescent="0.2">
      <c r="A329" s="2" t="str">
        <f>"5999883453445"</f>
        <v>5999883453445</v>
      </c>
      <c r="B329" s="1" t="s">
        <v>328</v>
      </c>
      <c r="C329" s="9" t="s">
        <v>3374</v>
      </c>
      <c r="D329" s="6">
        <v>169.69</v>
      </c>
      <c r="F329">
        <v>100</v>
      </c>
    </row>
    <row r="330" spans="1:6" x14ac:dyDescent="0.2">
      <c r="A330" s="2" t="str">
        <f>"7622210231253"</f>
        <v>7622210231253</v>
      </c>
      <c r="B330" s="1" t="s">
        <v>329</v>
      </c>
      <c r="C330" s="9" t="s">
        <v>3382</v>
      </c>
      <c r="D330" s="6">
        <v>115.01</v>
      </c>
      <c r="F330">
        <v>100</v>
      </c>
    </row>
    <row r="331" spans="1:6" x14ac:dyDescent="0.2">
      <c r="A331" s="2" t="str">
        <f>"3800020411971"</f>
        <v>3800020411971</v>
      </c>
      <c r="B331" s="1" t="s">
        <v>330</v>
      </c>
      <c r="C331" s="9" t="s">
        <v>3382</v>
      </c>
      <c r="D331" s="6">
        <v>121.96</v>
      </c>
      <c r="F331">
        <v>100</v>
      </c>
    </row>
    <row r="332" spans="1:6" x14ac:dyDescent="0.2">
      <c r="A332" s="2" t="str">
        <f>"5900259097743"</f>
        <v>5900259097743</v>
      </c>
      <c r="B332" s="1" t="s">
        <v>331</v>
      </c>
      <c r="C332" s="9" t="s">
        <v>3382</v>
      </c>
      <c r="D332" s="6">
        <v>191.05</v>
      </c>
      <c r="F332">
        <v>100</v>
      </c>
    </row>
    <row r="333" spans="1:6" x14ac:dyDescent="0.2">
      <c r="A333" s="2" t="str">
        <f>"5900259093127"</f>
        <v>5900259093127</v>
      </c>
      <c r="B333" s="1" t="s">
        <v>332</v>
      </c>
      <c r="C333" s="9" t="s">
        <v>3382</v>
      </c>
      <c r="D333" s="6">
        <v>195.44</v>
      </c>
      <c r="F333">
        <v>100</v>
      </c>
    </row>
    <row r="334" spans="1:6" x14ac:dyDescent="0.2">
      <c r="A334" s="2" t="str">
        <f>"5906747310868"</f>
        <v>5906747310868</v>
      </c>
      <c r="B334" s="1" t="s">
        <v>333</v>
      </c>
      <c r="C334" s="9" t="s">
        <v>3382</v>
      </c>
      <c r="D334" s="6">
        <v>251.95</v>
      </c>
      <c r="F334">
        <v>100</v>
      </c>
    </row>
    <row r="335" spans="1:6" x14ac:dyDescent="0.2">
      <c r="A335" s="2" t="str">
        <f>"5906747310820"</f>
        <v>5906747310820</v>
      </c>
      <c r="B335" s="1" t="s">
        <v>334</v>
      </c>
      <c r="C335" s="9" t="s">
        <v>3382</v>
      </c>
      <c r="D335" s="6">
        <v>253.14</v>
      </c>
      <c r="F335">
        <v>100</v>
      </c>
    </row>
    <row r="336" spans="1:6" x14ac:dyDescent="0.2">
      <c r="A336" s="2" t="str">
        <f>"4823077626302"</f>
        <v>4823077626302</v>
      </c>
      <c r="B336" s="1" t="s">
        <v>335</v>
      </c>
      <c r="C336" s="9" t="s">
        <v>3374</v>
      </c>
      <c r="D336" s="6">
        <v>240</v>
      </c>
      <c r="F336">
        <v>100</v>
      </c>
    </row>
    <row r="337" spans="1:6" x14ac:dyDescent="0.2">
      <c r="A337" s="2" t="str">
        <f>"59905318     "</f>
        <v xml:space="preserve">59905318     </v>
      </c>
      <c r="B337" s="1" t="s">
        <v>336</v>
      </c>
      <c r="C337" s="9" t="s">
        <v>3382</v>
      </c>
      <c r="D337" s="6">
        <v>74.72</v>
      </c>
      <c r="F337">
        <v>100</v>
      </c>
    </row>
    <row r="338" spans="1:6" x14ac:dyDescent="0.2">
      <c r="A338" s="2" t="str">
        <f>"5996379268590"</f>
        <v>5996379268590</v>
      </c>
      <c r="B338" s="1" t="s">
        <v>337</v>
      </c>
      <c r="C338" s="9" t="s">
        <v>3382</v>
      </c>
      <c r="D338" s="6">
        <v>171.78</v>
      </c>
      <c r="F338">
        <v>100</v>
      </c>
    </row>
    <row r="339" spans="1:6" x14ac:dyDescent="0.2">
      <c r="A339" s="2" t="str">
        <f>"9002975703130"</f>
        <v>9002975703130</v>
      </c>
      <c r="B339" s="1" t="s">
        <v>338</v>
      </c>
      <c r="C339" s="9" t="s">
        <v>3382</v>
      </c>
      <c r="D339" s="6">
        <v>170.51</v>
      </c>
      <c r="F339">
        <v>100</v>
      </c>
    </row>
    <row r="340" spans="1:6" x14ac:dyDescent="0.2">
      <c r="A340" s="2" t="str">
        <f>"5900951027451"</f>
        <v>5900951027451</v>
      </c>
      <c r="B340" s="1" t="s">
        <v>339</v>
      </c>
      <c r="C340" s="9" t="s">
        <v>3382</v>
      </c>
      <c r="D340" s="6">
        <v>143.01</v>
      </c>
      <c r="F340">
        <v>100</v>
      </c>
    </row>
    <row r="341" spans="1:6" x14ac:dyDescent="0.2">
      <c r="A341" s="2" t="str">
        <f>"8584004041754"</f>
        <v>8584004041754</v>
      </c>
      <c r="B341" s="1" t="s">
        <v>340</v>
      </c>
      <c r="C341" s="9" t="s">
        <v>3382</v>
      </c>
      <c r="D341" s="6">
        <v>72.8</v>
      </c>
      <c r="F341">
        <v>100</v>
      </c>
    </row>
    <row r="342" spans="1:6" x14ac:dyDescent="0.2">
      <c r="A342" s="2" t="str">
        <f>"1130         "</f>
        <v xml:space="preserve">1130         </v>
      </c>
      <c r="B342" s="1" t="s">
        <v>341</v>
      </c>
      <c r="C342" s="9" t="s">
        <v>3388</v>
      </c>
      <c r="D342" s="6">
        <v>135.88999999999999</v>
      </c>
      <c r="F342">
        <v>100</v>
      </c>
    </row>
    <row r="343" spans="1:6" x14ac:dyDescent="0.2">
      <c r="A343" s="2" t="str">
        <f>"5999527960797"</f>
        <v>5999527960797</v>
      </c>
      <c r="B343" s="1" t="s">
        <v>342</v>
      </c>
      <c r="C343" s="9" t="s">
        <v>3382</v>
      </c>
      <c r="D343" s="6">
        <v>130.56</v>
      </c>
      <c r="F343">
        <v>100</v>
      </c>
    </row>
    <row r="344" spans="1:6" x14ac:dyDescent="0.2">
      <c r="A344" s="2" t="str">
        <f>"5201360112166"</f>
        <v>5201360112166</v>
      </c>
      <c r="B344" s="1" t="s">
        <v>343</v>
      </c>
      <c r="C344" s="9" t="s">
        <v>3382</v>
      </c>
      <c r="D344" s="6">
        <v>103.65</v>
      </c>
      <c r="F344">
        <v>100</v>
      </c>
    </row>
    <row r="345" spans="1:6" x14ac:dyDescent="0.2">
      <c r="A345" s="2" t="str">
        <f>"4011100038653"</f>
        <v>4011100038653</v>
      </c>
      <c r="B345" s="1" t="s">
        <v>344</v>
      </c>
      <c r="C345" s="9" t="s">
        <v>3382</v>
      </c>
      <c r="D345" s="6">
        <v>225.17</v>
      </c>
      <c r="F345">
        <v>100</v>
      </c>
    </row>
    <row r="346" spans="1:6" x14ac:dyDescent="0.2">
      <c r="A346" s="2" t="str">
        <f>"5201360671069"</f>
        <v>5201360671069</v>
      </c>
      <c r="B346" s="1" t="s">
        <v>345</v>
      </c>
      <c r="C346" s="9" t="s">
        <v>3382</v>
      </c>
      <c r="D346" s="6">
        <v>150.22</v>
      </c>
      <c r="F346">
        <v>100</v>
      </c>
    </row>
    <row r="347" spans="1:6" x14ac:dyDescent="0.2">
      <c r="A347" s="2" t="str">
        <f>"5998400379633"</f>
        <v>5998400379633</v>
      </c>
      <c r="B347" s="1" t="s">
        <v>346</v>
      </c>
      <c r="C347" s="9" t="s">
        <v>3382</v>
      </c>
      <c r="D347" s="6">
        <v>53.35</v>
      </c>
      <c r="F347">
        <v>100</v>
      </c>
    </row>
    <row r="348" spans="1:6" x14ac:dyDescent="0.2">
      <c r="A348" s="2" t="str">
        <f>"5997866300076"</f>
        <v>5997866300076</v>
      </c>
      <c r="B348" s="1" t="s">
        <v>347</v>
      </c>
      <c r="C348" s="9" t="s">
        <v>3389</v>
      </c>
      <c r="D348" s="6">
        <v>107</v>
      </c>
      <c r="F348">
        <v>100</v>
      </c>
    </row>
    <row r="349" spans="1:6" x14ac:dyDescent="0.2">
      <c r="A349" s="2" t="str">
        <f>"7622210999108"</f>
        <v>7622210999108</v>
      </c>
      <c r="B349" s="1" t="s">
        <v>348</v>
      </c>
      <c r="C349" s="9" t="s">
        <v>3389</v>
      </c>
      <c r="D349" s="6">
        <v>0</v>
      </c>
      <c r="F349">
        <v>100</v>
      </c>
    </row>
    <row r="350" spans="1:6" x14ac:dyDescent="0.2">
      <c r="A350" s="2" t="str">
        <f>"7622210079091"</f>
        <v>7622210079091</v>
      </c>
      <c r="B350" s="1" t="s">
        <v>349</v>
      </c>
      <c r="C350" s="9" t="s">
        <v>3382</v>
      </c>
      <c r="D350" s="6">
        <v>284.14</v>
      </c>
      <c r="F350">
        <v>100</v>
      </c>
    </row>
    <row r="351" spans="1:6" x14ac:dyDescent="0.2">
      <c r="A351" s="2" t="str">
        <f>"7613034462961"</f>
        <v>7613034462961</v>
      </c>
      <c r="B351" s="1" t="s">
        <v>350</v>
      </c>
      <c r="C351" s="9" t="s">
        <v>3382</v>
      </c>
      <c r="D351" s="6">
        <v>113.69</v>
      </c>
      <c r="F351">
        <v>100</v>
      </c>
    </row>
    <row r="352" spans="1:6" x14ac:dyDescent="0.2">
      <c r="A352" s="2" t="str">
        <f>"5999884916000"</f>
        <v>5999884916000</v>
      </c>
      <c r="B352" s="1" t="s">
        <v>351</v>
      </c>
      <c r="C352" s="9" t="s">
        <v>3382</v>
      </c>
      <c r="D352" s="6">
        <v>126.72</v>
      </c>
      <c r="F352">
        <v>100</v>
      </c>
    </row>
    <row r="353" spans="1:6" x14ac:dyDescent="0.2">
      <c r="A353" s="2" t="str">
        <f>"40111001     "</f>
        <v xml:space="preserve">40111001     </v>
      </c>
      <c r="B353" s="1" t="s">
        <v>352</v>
      </c>
      <c r="C353" s="9" t="s">
        <v>3382</v>
      </c>
      <c r="D353" s="6">
        <v>120.94</v>
      </c>
      <c r="F353">
        <v>100</v>
      </c>
    </row>
    <row r="354" spans="1:6" x14ac:dyDescent="0.2">
      <c r="A354" s="2" t="str">
        <f>"5999883453292"</f>
        <v>5999883453292</v>
      </c>
      <c r="B354" s="1" t="s">
        <v>353</v>
      </c>
      <c r="C354" s="9" t="s">
        <v>3376</v>
      </c>
      <c r="D354" s="6">
        <v>160.9</v>
      </c>
      <c r="F354">
        <v>100</v>
      </c>
    </row>
    <row r="355" spans="1:6" x14ac:dyDescent="0.2">
      <c r="A355" s="2" t="str">
        <f>"8426617002473"</f>
        <v>8426617002473</v>
      </c>
      <c r="B355" s="1" t="s">
        <v>354</v>
      </c>
      <c r="C355" s="9" t="s">
        <v>3382</v>
      </c>
      <c r="D355" s="6">
        <v>171.36</v>
      </c>
      <c r="F355">
        <v>100</v>
      </c>
    </row>
    <row r="356" spans="1:6" x14ac:dyDescent="0.2">
      <c r="A356" s="2" t="str">
        <f>"5201360531318"</f>
        <v>5201360531318</v>
      </c>
      <c r="B356" s="1" t="s">
        <v>355</v>
      </c>
      <c r="C356" s="9" t="s">
        <v>3382</v>
      </c>
      <c r="D356" s="6">
        <v>88.57</v>
      </c>
      <c r="F356">
        <v>100</v>
      </c>
    </row>
    <row r="357" spans="1:6" x14ac:dyDescent="0.2">
      <c r="A357" s="2" t="str">
        <f>"7613032201074"</f>
        <v>7613032201074</v>
      </c>
      <c r="B357" s="1" t="s">
        <v>356</v>
      </c>
      <c r="C357" s="9" t="s">
        <v>3382</v>
      </c>
      <c r="D357" s="6">
        <v>53.76</v>
      </c>
      <c r="F357">
        <v>100</v>
      </c>
    </row>
    <row r="358" spans="1:6" x14ac:dyDescent="0.2">
      <c r="A358" s="2" t="str">
        <f>"5998400304130"</f>
        <v>5998400304130</v>
      </c>
      <c r="B358" s="1" t="s">
        <v>357</v>
      </c>
      <c r="C358" s="9" t="s">
        <v>3382</v>
      </c>
      <c r="D358" s="6">
        <v>53.35</v>
      </c>
      <c r="F358">
        <v>100</v>
      </c>
    </row>
    <row r="359" spans="1:6" x14ac:dyDescent="0.2">
      <c r="A359" s="2" t="str">
        <f>"5998400305519"</f>
        <v>5998400305519</v>
      </c>
      <c r="B359" s="1" t="s">
        <v>358</v>
      </c>
      <c r="C359" s="9" t="s">
        <v>3382</v>
      </c>
      <c r="D359" s="6">
        <v>52</v>
      </c>
      <c r="F359">
        <v>100</v>
      </c>
    </row>
    <row r="360" spans="1:6" x14ac:dyDescent="0.2">
      <c r="A360" s="2" t="str">
        <f>"5999555777749"</f>
        <v>5999555777749</v>
      </c>
      <c r="B360" s="1" t="s">
        <v>359</v>
      </c>
      <c r="C360" s="9" t="s">
        <v>3376</v>
      </c>
      <c r="D360" s="6">
        <v>144.77000000000001</v>
      </c>
      <c r="F360">
        <v>100</v>
      </c>
    </row>
    <row r="361" spans="1:6" x14ac:dyDescent="0.2">
      <c r="A361" s="2" t="str">
        <f>"5998711723361"</f>
        <v>5998711723361</v>
      </c>
      <c r="B361" s="1" t="s">
        <v>360</v>
      </c>
      <c r="C361" s="9" t="s">
        <v>3382</v>
      </c>
      <c r="D361" s="6">
        <v>73.44</v>
      </c>
      <c r="F361">
        <v>100</v>
      </c>
    </row>
    <row r="362" spans="1:6" x14ac:dyDescent="0.2">
      <c r="A362" s="2" t="str">
        <f>"5998711304430"</f>
        <v>5998711304430</v>
      </c>
      <c r="B362" s="1" t="s">
        <v>361</v>
      </c>
      <c r="C362" s="9" t="s">
        <v>3382</v>
      </c>
      <c r="D362" s="6">
        <v>210.24</v>
      </c>
      <c r="F362">
        <v>100</v>
      </c>
    </row>
    <row r="363" spans="1:6" x14ac:dyDescent="0.2">
      <c r="A363" s="2" t="str">
        <f>"7622210078995"</f>
        <v>7622210078995</v>
      </c>
      <c r="B363" s="1" t="s">
        <v>362</v>
      </c>
      <c r="C363" s="9" t="s">
        <v>3382</v>
      </c>
      <c r="D363" s="6">
        <v>284.58</v>
      </c>
      <c r="F363">
        <v>100</v>
      </c>
    </row>
    <row r="364" spans="1:6" x14ac:dyDescent="0.2">
      <c r="A364" s="2" t="str">
        <f>"7622210788108"</f>
        <v>7622210788108</v>
      </c>
      <c r="B364" s="1" t="s">
        <v>363</v>
      </c>
      <c r="C364" s="9" t="s">
        <v>3382</v>
      </c>
      <c r="D364" s="6">
        <v>101.45</v>
      </c>
      <c r="F364">
        <v>100</v>
      </c>
    </row>
    <row r="365" spans="1:6" x14ac:dyDescent="0.2">
      <c r="A365" s="2" t="str">
        <f>"7622210085283"</f>
        <v>7622210085283</v>
      </c>
      <c r="B365" s="1" t="s">
        <v>364</v>
      </c>
      <c r="C365" s="9" t="s">
        <v>3382</v>
      </c>
      <c r="D365" s="6">
        <v>60.14</v>
      </c>
      <c r="F365">
        <v>100</v>
      </c>
    </row>
    <row r="366" spans="1:6" x14ac:dyDescent="0.2">
      <c r="A366" s="2" t="str">
        <f>"8426617003432"</f>
        <v>8426617003432</v>
      </c>
      <c r="B366" s="1" t="s">
        <v>365</v>
      </c>
      <c r="C366" s="9" t="s">
        <v>3382</v>
      </c>
      <c r="D366" s="6">
        <v>171.84</v>
      </c>
      <c r="F366">
        <v>100</v>
      </c>
    </row>
    <row r="367" spans="1:6" x14ac:dyDescent="0.2">
      <c r="A367" s="2" t="str">
        <f>"7613037251302"</f>
        <v>7613037251302</v>
      </c>
      <c r="B367" s="1" t="s">
        <v>366</v>
      </c>
      <c r="C367" s="9" t="s">
        <v>3382</v>
      </c>
      <c r="D367" s="6">
        <v>122.22</v>
      </c>
      <c r="F367">
        <v>100</v>
      </c>
    </row>
    <row r="368" spans="1:6" x14ac:dyDescent="0.2">
      <c r="A368" s="2" t="str">
        <f>"5997312796859"</f>
        <v>5997312796859</v>
      </c>
      <c r="B368" s="1" t="s">
        <v>367</v>
      </c>
      <c r="C368" s="9" t="s">
        <v>3382</v>
      </c>
      <c r="D368" s="6">
        <v>99.84</v>
      </c>
      <c r="F368">
        <v>100</v>
      </c>
    </row>
    <row r="369" spans="1:6" x14ac:dyDescent="0.2">
      <c r="A369" s="2" t="str">
        <f>"8584004010071"</f>
        <v>8584004010071</v>
      </c>
      <c r="B369" s="1" t="s">
        <v>368</v>
      </c>
      <c r="C369" s="9" t="s">
        <v>3382</v>
      </c>
      <c r="D369" s="6">
        <v>160.71</v>
      </c>
      <c r="F369">
        <v>100</v>
      </c>
    </row>
    <row r="370" spans="1:6" x14ac:dyDescent="0.2">
      <c r="A370" s="2" t="str">
        <f>"8584004010514"</f>
        <v>8584004010514</v>
      </c>
      <c r="B370" s="1" t="s">
        <v>369</v>
      </c>
      <c r="C370" s="9" t="s">
        <v>3382</v>
      </c>
      <c r="D370" s="6">
        <v>161.38</v>
      </c>
      <c r="F370">
        <v>100</v>
      </c>
    </row>
    <row r="371" spans="1:6" x14ac:dyDescent="0.2">
      <c r="A371" s="2" t="str">
        <f>"7613034559777"</f>
        <v>7613034559777</v>
      </c>
      <c r="B371" s="1" t="s">
        <v>370</v>
      </c>
      <c r="C371" s="9" t="s">
        <v>3382</v>
      </c>
      <c r="D371" s="6">
        <v>83.14</v>
      </c>
      <c r="F371">
        <v>100</v>
      </c>
    </row>
    <row r="372" spans="1:6" x14ac:dyDescent="0.2">
      <c r="A372" s="2" t="str">
        <f>"5997312706100"</f>
        <v>5997312706100</v>
      </c>
      <c r="B372" s="1" t="s">
        <v>371</v>
      </c>
      <c r="C372" s="9" t="s">
        <v>3382</v>
      </c>
      <c r="D372" s="6">
        <v>248.75</v>
      </c>
      <c r="F372">
        <v>100</v>
      </c>
    </row>
    <row r="373" spans="1:6" x14ac:dyDescent="0.2">
      <c r="A373" s="2" t="str">
        <f>"5997312706162"</f>
        <v>5997312706162</v>
      </c>
      <c r="B373" s="1" t="s">
        <v>372</v>
      </c>
      <c r="C373" s="9" t="s">
        <v>3382</v>
      </c>
      <c r="D373" s="6">
        <v>152.63999999999999</v>
      </c>
      <c r="F373">
        <v>100</v>
      </c>
    </row>
    <row r="374" spans="1:6" x14ac:dyDescent="0.2">
      <c r="A374" s="2" t="str">
        <f>"85919396     "</f>
        <v xml:space="preserve">85919396     </v>
      </c>
      <c r="B374" s="1" t="s">
        <v>373</v>
      </c>
      <c r="C374" s="9" t="s">
        <v>3374</v>
      </c>
      <c r="D374" s="6">
        <v>96.9</v>
      </c>
      <c r="F374">
        <v>100</v>
      </c>
    </row>
    <row r="375" spans="1:6" x14ac:dyDescent="0.2">
      <c r="A375" s="2" t="str">
        <f>"5998711349844"</f>
        <v>5998711349844</v>
      </c>
      <c r="B375" s="1" t="s">
        <v>374</v>
      </c>
      <c r="C375" s="9" t="s">
        <v>3382</v>
      </c>
      <c r="D375" s="6">
        <v>176.06</v>
      </c>
      <c r="F375">
        <v>100</v>
      </c>
    </row>
    <row r="376" spans="1:6" x14ac:dyDescent="0.2">
      <c r="A376" s="2" t="str">
        <f>"7622210768162"</f>
        <v>7622210768162</v>
      </c>
      <c r="B376" s="1" t="s">
        <v>375</v>
      </c>
      <c r="C376" s="9" t="s">
        <v>3382</v>
      </c>
      <c r="D376" s="6">
        <v>59.99</v>
      </c>
      <c r="F376">
        <v>100</v>
      </c>
    </row>
    <row r="377" spans="1:6" x14ac:dyDescent="0.2">
      <c r="A377" s="2" t="str">
        <f>"9002975323369"</f>
        <v>9002975323369</v>
      </c>
      <c r="B377" s="1" t="s">
        <v>376</v>
      </c>
      <c r="C377" s="9" t="s">
        <v>3382</v>
      </c>
      <c r="D377" s="6">
        <v>171.84</v>
      </c>
      <c r="F377">
        <v>100</v>
      </c>
    </row>
    <row r="378" spans="1:6" x14ac:dyDescent="0.2">
      <c r="A378" s="2" t="str">
        <f>"8426617014254"</f>
        <v>8426617014254</v>
      </c>
      <c r="B378" s="1" t="s">
        <v>377</v>
      </c>
      <c r="C378" s="9" t="s">
        <v>3382</v>
      </c>
      <c r="D378" s="6">
        <v>170.62</v>
      </c>
      <c r="F378">
        <v>100</v>
      </c>
    </row>
    <row r="379" spans="1:6" x14ac:dyDescent="0.2">
      <c r="A379" s="2" t="str">
        <f>"22           "</f>
        <v xml:space="preserve">22           </v>
      </c>
      <c r="B379" s="1" t="s">
        <v>378</v>
      </c>
      <c r="C379" s="9" t="s">
        <v>3388</v>
      </c>
      <c r="D379" s="6">
        <v>37.49</v>
      </c>
      <c r="F379">
        <v>100</v>
      </c>
    </row>
    <row r="380" spans="1:6" x14ac:dyDescent="0.2">
      <c r="A380" s="2" t="str">
        <f>"4001686375754"</f>
        <v>4001686375754</v>
      </c>
      <c r="B380" s="1" t="s">
        <v>379</v>
      </c>
      <c r="C380" s="9" t="s">
        <v>3382</v>
      </c>
      <c r="D380" s="6">
        <v>190.57</v>
      </c>
      <c r="F380">
        <v>100</v>
      </c>
    </row>
    <row r="381" spans="1:6" x14ac:dyDescent="0.2">
      <c r="A381" s="2" t="str">
        <f>"5901414203931"</f>
        <v>5901414203931</v>
      </c>
      <c r="B381" s="1" t="s">
        <v>380</v>
      </c>
      <c r="C381" s="9" t="s">
        <v>3382</v>
      </c>
      <c r="D381" s="6">
        <v>315.83999999999997</v>
      </c>
      <c r="F381">
        <v>100</v>
      </c>
    </row>
    <row r="382" spans="1:6" x14ac:dyDescent="0.2">
      <c r="A382" s="2" t="str">
        <f>"5900259097644"</f>
        <v>5900259097644</v>
      </c>
      <c r="B382" s="1" t="s">
        <v>381</v>
      </c>
      <c r="C382" s="9" t="s">
        <v>3382</v>
      </c>
      <c r="D382" s="6">
        <v>203.27</v>
      </c>
      <c r="F382">
        <v>100</v>
      </c>
    </row>
    <row r="383" spans="1:6" x14ac:dyDescent="0.2">
      <c r="A383" s="2" t="str">
        <f>"8584004041761"</f>
        <v>8584004041761</v>
      </c>
      <c r="B383" s="1" t="s">
        <v>382</v>
      </c>
      <c r="C383" s="9" t="s">
        <v>3382</v>
      </c>
      <c r="D383" s="6">
        <v>71.28</v>
      </c>
      <c r="F383">
        <v>100</v>
      </c>
    </row>
    <row r="384" spans="1:6" x14ac:dyDescent="0.2">
      <c r="A384" s="2" t="str">
        <f>"7622210079077"</f>
        <v>7622210079077</v>
      </c>
      <c r="B384" s="1" t="s">
        <v>383</v>
      </c>
      <c r="C384" s="9" t="s">
        <v>3382</v>
      </c>
      <c r="D384" s="6">
        <v>289.06</v>
      </c>
      <c r="F384">
        <v>100</v>
      </c>
    </row>
    <row r="385" spans="1:6" x14ac:dyDescent="0.2">
      <c r="A385" s="2" t="str">
        <f>"3800233072006"</f>
        <v>3800233072006</v>
      </c>
      <c r="B385" s="1" t="s">
        <v>384</v>
      </c>
      <c r="C385" s="9" t="s">
        <v>3382</v>
      </c>
      <c r="D385" s="6">
        <v>177.6</v>
      </c>
      <c r="F385">
        <v>100</v>
      </c>
    </row>
    <row r="386" spans="1:6" x14ac:dyDescent="0.2">
      <c r="A386" s="2" t="str">
        <f>"3800233070149"</f>
        <v>3800233070149</v>
      </c>
      <c r="B386" s="1" t="s">
        <v>385</v>
      </c>
      <c r="C386" s="9" t="s">
        <v>3382</v>
      </c>
      <c r="D386" s="6">
        <v>181.06</v>
      </c>
      <c r="F386">
        <v>100</v>
      </c>
    </row>
    <row r="387" spans="1:6" x14ac:dyDescent="0.2">
      <c r="A387" s="2" t="str">
        <f>"5000159461122"</f>
        <v>5000159461122</v>
      </c>
      <c r="B387" s="1" t="s">
        <v>386</v>
      </c>
      <c r="C387" s="9" t="s">
        <v>3382</v>
      </c>
      <c r="D387" s="6">
        <v>115.2</v>
      </c>
      <c r="F387">
        <v>100</v>
      </c>
    </row>
    <row r="388" spans="1:6" x14ac:dyDescent="0.2">
      <c r="A388" s="2" t="str">
        <f>"8000500280201"</f>
        <v>8000500280201</v>
      </c>
      <c r="B388" s="1" t="s">
        <v>387</v>
      </c>
      <c r="C388" s="9" t="s">
        <v>3374</v>
      </c>
      <c r="D388" s="6">
        <v>140.63999999999999</v>
      </c>
      <c r="F388">
        <v>100</v>
      </c>
    </row>
    <row r="389" spans="1:6" x14ac:dyDescent="0.2">
      <c r="A389" s="2" t="str">
        <f>"7622210416414"</f>
        <v>7622210416414</v>
      </c>
      <c r="B389" s="1" t="s">
        <v>388</v>
      </c>
      <c r="C389" s="9" t="s">
        <v>3389</v>
      </c>
      <c r="D389" s="6">
        <v>0</v>
      </c>
      <c r="F389">
        <v>100</v>
      </c>
    </row>
    <row r="390" spans="1:6" x14ac:dyDescent="0.2">
      <c r="A390" s="2" t="str">
        <f>"8584004010934"</f>
        <v>8584004010934</v>
      </c>
      <c r="B390" s="1" t="s">
        <v>389</v>
      </c>
      <c r="C390" s="9" t="s">
        <v>3382</v>
      </c>
      <c r="D390" s="6">
        <v>162.24</v>
      </c>
      <c r="F390">
        <v>100</v>
      </c>
    </row>
    <row r="391" spans="1:6" x14ac:dyDescent="0.2">
      <c r="A391" s="2" t="str">
        <f>"5998400373914"</f>
        <v>5998400373914</v>
      </c>
      <c r="B391" s="1" t="s">
        <v>390</v>
      </c>
      <c r="C391" s="9" t="s">
        <v>3382</v>
      </c>
      <c r="D391" s="6">
        <v>52.88</v>
      </c>
      <c r="F391">
        <v>100</v>
      </c>
    </row>
    <row r="392" spans="1:6" x14ac:dyDescent="0.2">
      <c r="A392" s="2" t="str">
        <f>"5998400305427"</f>
        <v>5998400305427</v>
      </c>
      <c r="B392" s="1" t="s">
        <v>391</v>
      </c>
      <c r="C392" s="9" t="s">
        <v>3382</v>
      </c>
      <c r="D392" s="6">
        <v>53.35</v>
      </c>
      <c r="F392">
        <v>100</v>
      </c>
    </row>
    <row r="393" spans="1:6" x14ac:dyDescent="0.2">
      <c r="A393" s="2" t="str">
        <f>"5996253000452"</f>
        <v>5996253000452</v>
      </c>
      <c r="B393" s="1" t="s">
        <v>392</v>
      </c>
      <c r="C393" s="9" t="s">
        <v>3382</v>
      </c>
      <c r="D393" s="6">
        <v>211.87</v>
      </c>
      <c r="F393">
        <v>100</v>
      </c>
    </row>
    <row r="394" spans="1:6" x14ac:dyDescent="0.2">
      <c r="A394" s="2" t="str">
        <f>"5907471410350"</f>
        <v>5907471410350</v>
      </c>
      <c r="B394" s="1" t="s">
        <v>393</v>
      </c>
      <c r="C394" s="9" t="s">
        <v>3376</v>
      </c>
      <c r="D394" s="6">
        <v>251.19</v>
      </c>
      <c r="F394">
        <v>100</v>
      </c>
    </row>
    <row r="395" spans="1:6" x14ac:dyDescent="0.2">
      <c r="A395" s="2" t="str">
        <f>"5998711349837"</f>
        <v>5998711349837</v>
      </c>
      <c r="B395" s="1" t="s">
        <v>394</v>
      </c>
      <c r="C395" s="9" t="s">
        <v>3382</v>
      </c>
      <c r="D395" s="6">
        <v>197.1</v>
      </c>
      <c r="F395">
        <v>100</v>
      </c>
    </row>
    <row r="396" spans="1:6" x14ac:dyDescent="0.2">
      <c r="A396" s="2" t="str">
        <f>"5996379377360"</f>
        <v>5996379377360</v>
      </c>
      <c r="B396" s="1" t="s">
        <v>395</v>
      </c>
      <c r="C396" s="9" t="s">
        <v>3382</v>
      </c>
      <c r="D396" s="6">
        <v>171.58</v>
      </c>
      <c r="F396">
        <v>100</v>
      </c>
    </row>
    <row r="397" spans="1:6" x14ac:dyDescent="0.2">
      <c r="A397" s="2" t="str">
        <f>"3800205871255"</f>
        <v>3800205871255</v>
      </c>
      <c r="B397" s="1" t="s">
        <v>396</v>
      </c>
      <c r="C397" s="9" t="s">
        <v>3382</v>
      </c>
      <c r="D397" s="6">
        <v>152.35</v>
      </c>
      <c r="F397">
        <v>100</v>
      </c>
    </row>
    <row r="398" spans="1:6" x14ac:dyDescent="0.2">
      <c r="A398" s="2" t="str">
        <f>"5997347541608"</f>
        <v>5997347541608</v>
      </c>
      <c r="B398" s="1" t="s">
        <v>397</v>
      </c>
      <c r="C398" s="9" t="s">
        <v>3382</v>
      </c>
      <c r="D398" s="6">
        <v>286.13</v>
      </c>
      <c r="F398">
        <v>100</v>
      </c>
    </row>
    <row r="399" spans="1:6" x14ac:dyDescent="0.2">
      <c r="A399" s="2" t="str">
        <f>"4823077609299"</f>
        <v>4823077609299</v>
      </c>
      <c r="B399" s="1" t="s">
        <v>398</v>
      </c>
      <c r="C399" s="9" t="s">
        <v>3374</v>
      </c>
      <c r="D399" s="6">
        <v>240</v>
      </c>
      <c r="F399">
        <v>100</v>
      </c>
    </row>
    <row r="400" spans="1:6" x14ac:dyDescent="0.2">
      <c r="A400" s="2" t="str">
        <f>"5900951028502"</f>
        <v>5900951028502</v>
      </c>
      <c r="B400" s="1" t="s">
        <v>399</v>
      </c>
      <c r="C400" s="9" t="s">
        <v>3382</v>
      </c>
      <c r="D400" s="6">
        <v>164.95</v>
      </c>
      <c r="F400">
        <v>100</v>
      </c>
    </row>
    <row r="401" spans="1:6" x14ac:dyDescent="0.2">
      <c r="A401" s="2" t="str">
        <f>"5000159459228"</f>
        <v>5000159459228</v>
      </c>
      <c r="B401" s="1" t="s">
        <v>400</v>
      </c>
      <c r="C401" s="9" t="s">
        <v>3382</v>
      </c>
      <c r="D401" s="6">
        <v>115.2</v>
      </c>
      <c r="F401">
        <v>100</v>
      </c>
    </row>
    <row r="402" spans="1:6" x14ac:dyDescent="0.2">
      <c r="A402" s="2" t="str">
        <f>"5201360639205"</f>
        <v>5201360639205</v>
      </c>
      <c r="B402" s="1" t="s">
        <v>401</v>
      </c>
      <c r="C402" s="9" t="s">
        <v>3382</v>
      </c>
      <c r="D402" s="6">
        <v>149.43</v>
      </c>
      <c r="F402">
        <v>100</v>
      </c>
    </row>
    <row r="403" spans="1:6" x14ac:dyDescent="0.2">
      <c r="A403" s="2" t="str">
        <f>"5998400373884"</f>
        <v>5998400373884</v>
      </c>
      <c r="B403" s="1" t="s">
        <v>402</v>
      </c>
      <c r="C403" s="9" t="s">
        <v>3382</v>
      </c>
      <c r="D403" s="6">
        <v>52.99</v>
      </c>
      <c r="F403">
        <v>100</v>
      </c>
    </row>
    <row r="404" spans="1:6" x14ac:dyDescent="0.2">
      <c r="A404" s="2" t="str">
        <f>"5998400373785"</f>
        <v>5998400373785</v>
      </c>
      <c r="B404" s="1" t="s">
        <v>403</v>
      </c>
      <c r="C404" s="9" t="s">
        <v>3382</v>
      </c>
      <c r="D404" s="6">
        <v>54.37</v>
      </c>
      <c r="F404">
        <v>100</v>
      </c>
    </row>
    <row r="405" spans="1:6" x14ac:dyDescent="0.2">
      <c r="A405" s="2" t="str">
        <f>"5997312706025"</f>
        <v>5997312706025</v>
      </c>
      <c r="B405" s="1" t="s">
        <v>404</v>
      </c>
      <c r="C405" s="9" t="s">
        <v>3382</v>
      </c>
      <c r="D405" s="6">
        <v>156.61000000000001</v>
      </c>
      <c r="F405">
        <v>100</v>
      </c>
    </row>
    <row r="406" spans="1:6" x14ac:dyDescent="0.2">
      <c r="A406" s="2" t="str">
        <f>"5997234710285"</f>
        <v>5997234710285</v>
      </c>
      <c r="B406" s="1" t="s">
        <v>405</v>
      </c>
      <c r="C406" s="9" t="s">
        <v>3376</v>
      </c>
      <c r="D406" s="6">
        <v>119.71</v>
      </c>
      <c r="F406">
        <v>100</v>
      </c>
    </row>
    <row r="407" spans="1:6" x14ac:dyDescent="0.2">
      <c r="A407" s="2" t="str">
        <f>"5998090150079"</f>
        <v>5998090150079</v>
      </c>
      <c r="B407" s="1" t="s">
        <v>406</v>
      </c>
      <c r="C407" s="9" t="s">
        <v>3382</v>
      </c>
      <c r="D407" s="6">
        <v>139.19999999999999</v>
      </c>
      <c r="F407">
        <v>100</v>
      </c>
    </row>
    <row r="408" spans="1:6" x14ac:dyDescent="0.2">
      <c r="A408" s="2" t="str">
        <f>"8593894810371"</f>
        <v>8593894810371</v>
      </c>
      <c r="B408" s="1" t="s">
        <v>407</v>
      </c>
      <c r="C408" s="9" t="s">
        <v>3382</v>
      </c>
      <c r="D408" s="6">
        <v>82.81</v>
      </c>
      <c r="F408">
        <v>100</v>
      </c>
    </row>
    <row r="409" spans="1:6" x14ac:dyDescent="0.2">
      <c r="A409" s="2" t="str">
        <f>"5998711304423"</f>
        <v>5998711304423</v>
      </c>
      <c r="B409" s="1" t="s">
        <v>408</v>
      </c>
      <c r="C409" s="9" t="s">
        <v>3382</v>
      </c>
      <c r="D409" s="6">
        <v>210.25</v>
      </c>
      <c r="F409">
        <v>100</v>
      </c>
    </row>
    <row r="410" spans="1:6" x14ac:dyDescent="0.2">
      <c r="A410" s="2" t="str">
        <f>"5996379309828"</f>
        <v>5996379309828</v>
      </c>
      <c r="B410" s="1" t="s">
        <v>409</v>
      </c>
      <c r="C410" s="9" t="s">
        <v>3382</v>
      </c>
      <c r="D410" s="6">
        <v>168.83</v>
      </c>
      <c r="F410">
        <v>100</v>
      </c>
    </row>
    <row r="411" spans="1:6" x14ac:dyDescent="0.2">
      <c r="A411" s="2" t="str">
        <f>"3800020412169"</f>
        <v>3800020412169</v>
      </c>
      <c r="B411" s="1" t="s">
        <v>410</v>
      </c>
      <c r="C411" s="9" t="s">
        <v>3382</v>
      </c>
      <c r="D411" s="6">
        <v>120.95</v>
      </c>
      <c r="F411">
        <v>100</v>
      </c>
    </row>
    <row r="412" spans="1:6" x14ac:dyDescent="0.2">
      <c r="A412" s="2" t="str">
        <f>"7622210159144"</f>
        <v>7622210159144</v>
      </c>
      <c r="B412" s="1" t="s">
        <v>411</v>
      </c>
      <c r="C412" s="9" t="s">
        <v>3382</v>
      </c>
      <c r="D412" s="6">
        <v>235.2</v>
      </c>
      <c r="F412">
        <v>100</v>
      </c>
    </row>
    <row r="413" spans="1:6" x14ac:dyDescent="0.2">
      <c r="A413" s="2" t="str">
        <f>"7622210694621"</f>
        <v>7622210694621</v>
      </c>
      <c r="B413" s="1" t="s">
        <v>412</v>
      </c>
      <c r="C413" s="9" t="s">
        <v>3382</v>
      </c>
      <c r="D413" s="6">
        <v>79.680000000000007</v>
      </c>
      <c r="F413">
        <v>100</v>
      </c>
    </row>
    <row r="414" spans="1:6" x14ac:dyDescent="0.2">
      <c r="A414" s="2" t="str">
        <f>"8692806080083"</f>
        <v>8692806080083</v>
      </c>
      <c r="B414" s="1" t="s">
        <v>413</v>
      </c>
      <c r="C414" s="9" t="s">
        <v>3382</v>
      </c>
      <c r="D414" s="6">
        <v>92.16</v>
      </c>
      <c r="F414">
        <v>100</v>
      </c>
    </row>
    <row r="415" spans="1:6" x14ac:dyDescent="0.2">
      <c r="A415" s="2" t="str">
        <f>"5996496010867"</f>
        <v>5996496010867</v>
      </c>
      <c r="B415" s="1" t="s">
        <v>414</v>
      </c>
      <c r="C415" s="9" t="s">
        <v>3374</v>
      </c>
      <c r="D415" s="6">
        <v>204.14</v>
      </c>
      <c r="F415">
        <v>100</v>
      </c>
    </row>
    <row r="416" spans="1:6" x14ac:dyDescent="0.2">
      <c r="A416" s="2" t="str">
        <f>"5201360502479"</f>
        <v>5201360502479</v>
      </c>
      <c r="B416" s="1" t="s">
        <v>415</v>
      </c>
      <c r="C416" s="9" t="s">
        <v>3382</v>
      </c>
      <c r="D416" s="6">
        <v>104.74</v>
      </c>
      <c r="F416">
        <v>100</v>
      </c>
    </row>
    <row r="417" spans="1:6" x14ac:dyDescent="0.2">
      <c r="A417" s="2" t="str">
        <f>"5201360112265"</f>
        <v>5201360112265</v>
      </c>
      <c r="B417" s="1" t="s">
        <v>416</v>
      </c>
      <c r="C417" s="9" t="s">
        <v>3382</v>
      </c>
      <c r="D417" s="6">
        <v>149.37</v>
      </c>
      <c r="F417">
        <v>100</v>
      </c>
    </row>
    <row r="418" spans="1:6" x14ac:dyDescent="0.2">
      <c r="A418" s="2" t="str">
        <f>"5998711723408"</f>
        <v>5998711723408</v>
      </c>
      <c r="B418" s="1" t="s">
        <v>417</v>
      </c>
      <c r="C418" s="9" t="s">
        <v>3382</v>
      </c>
      <c r="D418" s="6">
        <v>74.02</v>
      </c>
      <c r="F418">
        <v>100</v>
      </c>
    </row>
    <row r="419" spans="1:6" x14ac:dyDescent="0.2">
      <c r="A419" s="2" t="str">
        <f>"5997790700225"</f>
        <v>5997790700225</v>
      </c>
      <c r="B419" s="1" t="s">
        <v>418</v>
      </c>
      <c r="C419" s="9" t="s">
        <v>3382</v>
      </c>
      <c r="D419" s="6">
        <v>115.97</v>
      </c>
      <c r="F419">
        <v>100</v>
      </c>
    </row>
    <row r="420" spans="1:6" x14ac:dyDescent="0.2">
      <c r="A420" s="2" t="str">
        <f>"5997312702058"</f>
        <v>5997312702058</v>
      </c>
      <c r="B420" s="1" t="s">
        <v>419</v>
      </c>
      <c r="C420" s="9" t="s">
        <v>3382</v>
      </c>
      <c r="D420" s="6">
        <v>229.96</v>
      </c>
      <c r="F420">
        <v>100</v>
      </c>
    </row>
    <row r="421" spans="1:6" x14ac:dyDescent="0.2">
      <c r="A421" s="2" t="str">
        <f>"5999883453278"</f>
        <v>5999883453278</v>
      </c>
      <c r="B421" s="1" t="s">
        <v>420</v>
      </c>
      <c r="C421" s="9" t="s">
        <v>3376</v>
      </c>
      <c r="D421" s="6">
        <v>161.16999999999999</v>
      </c>
      <c r="F421">
        <v>100</v>
      </c>
    </row>
    <row r="422" spans="1:6" x14ac:dyDescent="0.2">
      <c r="A422" s="2" t="str">
        <f>"5998090150017"</f>
        <v>5998090150017</v>
      </c>
      <c r="B422" s="1" t="s">
        <v>421</v>
      </c>
      <c r="C422" s="9" t="s">
        <v>3382</v>
      </c>
      <c r="D422" s="6">
        <v>148.51</v>
      </c>
      <c r="F422">
        <v>100</v>
      </c>
    </row>
    <row r="423" spans="1:6" x14ac:dyDescent="0.2">
      <c r="A423" s="2" t="str">
        <f>"5998711304522"</f>
        <v>5998711304522</v>
      </c>
      <c r="B423" s="1" t="s">
        <v>422</v>
      </c>
      <c r="C423" s="9" t="s">
        <v>3382</v>
      </c>
      <c r="D423" s="6">
        <v>216.27</v>
      </c>
      <c r="F423">
        <v>100</v>
      </c>
    </row>
    <row r="424" spans="1:6" x14ac:dyDescent="0.2">
      <c r="A424" s="2" t="str">
        <f>"7622210445841"</f>
        <v>7622210445841</v>
      </c>
      <c r="B424" s="1" t="s">
        <v>423</v>
      </c>
      <c r="C424" s="9" t="s">
        <v>3382</v>
      </c>
      <c r="D424" s="6">
        <v>101.31</v>
      </c>
      <c r="F424">
        <v>100</v>
      </c>
    </row>
    <row r="425" spans="1:6" x14ac:dyDescent="0.2">
      <c r="A425" s="2" t="str">
        <f>"5997312796835"</f>
        <v>5997312796835</v>
      </c>
      <c r="B425" s="1" t="s">
        <v>424</v>
      </c>
      <c r="C425" s="9" t="s">
        <v>3382</v>
      </c>
      <c r="D425" s="6">
        <v>98.63</v>
      </c>
      <c r="F425">
        <v>100</v>
      </c>
    </row>
    <row r="426" spans="1:6" x14ac:dyDescent="0.2">
      <c r="A426" s="2" t="str">
        <f>"3800061600457"</f>
        <v>3800061600457</v>
      </c>
      <c r="B426" s="1" t="s">
        <v>425</v>
      </c>
      <c r="C426" s="9" t="s">
        <v>3374</v>
      </c>
      <c r="D426" s="6">
        <v>92.15</v>
      </c>
      <c r="F426">
        <v>100</v>
      </c>
    </row>
    <row r="427" spans="1:6" x14ac:dyDescent="0.2">
      <c r="A427" s="2" t="str">
        <f>"5998711723392"</f>
        <v>5998711723392</v>
      </c>
      <c r="B427" s="1" t="s">
        <v>426</v>
      </c>
      <c r="C427" s="9" t="s">
        <v>3382</v>
      </c>
      <c r="D427" s="6">
        <v>72.959999999999994</v>
      </c>
      <c r="F427">
        <v>100</v>
      </c>
    </row>
    <row r="428" spans="1:6" x14ac:dyDescent="0.2">
      <c r="A428" s="2" t="str">
        <f>"5900951134982"</f>
        <v>5900951134982</v>
      </c>
      <c r="B428" s="1" t="s">
        <v>427</v>
      </c>
      <c r="C428" s="9" t="s">
        <v>3382</v>
      </c>
      <c r="D428" s="6">
        <v>115.2</v>
      </c>
      <c r="F428">
        <v>100</v>
      </c>
    </row>
    <row r="429" spans="1:6" x14ac:dyDescent="0.2">
      <c r="A429" s="2" t="str">
        <f>"8593893007499"</f>
        <v>8593893007499</v>
      </c>
      <c r="B429" s="1" t="s">
        <v>428</v>
      </c>
      <c r="C429" s="9" t="s">
        <v>3382</v>
      </c>
      <c r="D429" s="6">
        <v>60.52</v>
      </c>
      <c r="F429">
        <v>100</v>
      </c>
    </row>
    <row r="430" spans="1:6" x14ac:dyDescent="0.2">
      <c r="A430" s="2" t="str">
        <f>"5900020005038"</f>
        <v>5900020005038</v>
      </c>
      <c r="B430" s="1" t="s">
        <v>429</v>
      </c>
      <c r="C430" s="9" t="s">
        <v>3382</v>
      </c>
      <c r="D430" s="6">
        <v>60.66</v>
      </c>
      <c r="F430">
        <v>100</v>
      </c>
    </row>
    <row r="431" spans="1:6" x14ac:dyDescent="0.2">
      <c r="A431" s="2" t="str">
        <f>"8692806080069"</f>
        <v>8692806080069</v>
      </c>
      <c r="B431" s="1" t="s">
        <v>430</v>
      </c>
      <c r="C431" s="9" t="s">
        <v>3382</v>
      </c>
      <c r="D431" s="6">
        <v>92.16</v>
      </c>
      <c r="F431">
        <v>100</v>
      </c>
    </row>
    <row r="432" spans="1:6" x14ac:dyDescent="0.2">
      <c r="A432" s="2" t="str">
        <f>"5997312796842"</f>
        <v>5997312796842</v>
      </c>
      <c r="B432" s="1" t="s">
        <v>431</v>
      </c>
      <c r="C432" s="9" t="s">
        <v>3382</v>
      </c>
      <c r="D432" s="6">
        <v>100.83</v>
      </c>
      <c r="F432">
        <v>100</v>
      </c>
    </row>
    <row r="433" spans="1:6" x14ac:dyDescent="0.2">
      <c r="A433" s="2" t="str">
        <f>"7622210954343"</f>
        <v>7622210954343</v>
      </c>
      <c r="B433" s="1" t="s">
        <v>432</v>
      </c>
      <c r="C433" s="9" t="s">
        <v>3382</v>
      </c>
      <c r="D433" s="6">
        <v>142.25</v>
      </c>
      <c r="F433">
        <v>100</v>
      </c>
    </row>
    <row r="434" spans="1:6" x14ac:dyDescent="0.2">
      <c r="A434" s="2" t="str">
        <f>"5996496013424"</f>
        <v>5996496013424</v>
      </c>
      <c r="B434" s="1" t="s">
        <v>433</v>
      </c>
      <c r="C434" s="9" t="s">
        <v>3382</v>
      </c>
      <c r="D434" s="6">
        <v>215.89</v>
      </c>
      <c r="F434">
        <v>100</v>
      </c>
    </row>
    <row r="435" spans="1:6" x14ac:dyDescent="0.2">
      <c r="A435" s="2" t="str">
        <f>"8584004010729"</f>
        <v>8584004010729</v>
      </c>
      <c r="B435" s="1" t="s">
        <v>434</v>
      </c>
      <c r="C435" s="9" t="s">
        <v>3382</v>
      </c>
      <c r="D435" s="6">
        <v>161.13999999999999</v>
      </c>
      <c r="F435">
        <v>100</v>
      </c>
    </row>
    <row r="436" spans="1:6" x14ac:dyDescent="0.2">
      <c r="A436" s="2" t="str">
        <f>"8584004305559"</f>
        <v>8584004305559</v>
      </c>
      <c r="B436" s="1" t="s">
        <v>435</v>
      </c>
      <c r="C436" s="9" t="s">
        <v>3382</v>
      </c>
      <c r="D436" s="6">
        <v>80.63</v>
      </c>
      <c r="F436">
        <v>100</v>
      </c>
    </row>
    <row r="437" spans="1:6" x14ac:dyDescent="0.2">
      <c r="A437" s="2" t="str">
        <f>"8584004302503"</f>
        <v>8584004302503</v>
      </c>
      <c r="B437" s="1" t="s">
        <v>436</v>
      </c>
      <c r="C437" s="9" t="s">
        <v>3382</v>
      </c>
      <c r="D437" s="6">
        <v>81.58</v>
      </c>
      <c r="F437">
        <v>100</v>
      </c>
    </row>
    <row r="438" spans="1:6" x14ac:dyDescent="0.2">
      <c r="A438" s="2" t="str">
        <f>"5998400305854"</f>
        <v>5998400305854</v>
      </c>
      <c r="B438" s="1" t="s">
        <v>437</v>
      </c>
      <c r="C438" s="9" t="s">
        <v>3382</v>
      </c>
      <c r="D438" s="6">
        <v>53.04</v>
      </c>
      <c r="F438">
        <v>100</v>
      </c>
    </row>
    <row r="439" spans="1:6" x14ac:dyDescent="0.2">
      <c r="A439" s="2" t="str">
        <f>"4000522061752"</f>
        <v>4000522061752</v>
      </c>
      <c r="B439" s="1" t="s">
        <v>438</v>
      </c>
      <c r="C439" s="9" t="s">
        <v>3382</v>
      </c>
      <c r="D439" s="6">
        <v>212.63</v>
      </c>
      <c r="F439">
        <v>100</v>
      </c>
    </row>
    <row r="440" spans="1:6" x14ac:dyDescent="0.2">
      <c r="A440" s="2" t="str">
        <f>"5996253000643"</f>
        <v>5996253000643</v>
      </c>
      <c r="B440" s="1" t="s">
        <v>439</v>
      </c>
      <c r="C440" s="9" t="s">
        <v>3382</v>
      </c>
      <c r="D440" s="6">
        <v>202.73</v>
      </c>
      <c r="F440">
        <v>100</v>
      </c>
    </row>
    <row r="441" spans="1:6" x14ac:dyDescent="0.2">
      <c r="A441" s="2" t="str">
        <f>"5996253000216"</f>
        <v>5996253000216</v>
      </c>
      <c r="B441" s="1" t="s">
        <v>440</v>
      </c>
      <c r="C441" s="9" t="s">
        <v>3382</v>
      </c>
      <c r="D441" s="6">
        <v>205.76</v>
      </c>
      <c r="F441">
        <v>100</v>
      </c>
    </row>
    <row r="442" spans="1:6" x14ac:dyDescent="0.2">
      <c r="A442" s="2" t="str">
        <f>"5996253000582"</f>
        <v>5996253000582</v>
      </c>
      <c r="B442" s="1" t="s">
        <v>441</v>
      </c>
      <c r="C442" s="9" t="s">
        <v>3382</v>
      </c>
      <c r="D442" s="6">
        <v>202.73</v>
      </c>
      <c r="F442">
        <v>100</v>
      </c>
    </row>
    <row r="443" spans="1:6" x14ac:dyDescent="0.2">
      <c r="A443" s="2" t="str">
        <f>"4000522060915"</f>
        <v>4000522060915</v>
      </c>
      <c r="B443" s="1" t="s">
        <v>442</v>
      </c>
      <c r="C443" s="9" t="s">
        <v>3382</v>
      </c>
      <c r="D443" s="6">
        <v>309.89999999999998</v>
      </c>
      <c r="F443">
        <v>100</v>
      </c>
    </row>
    <row r="444" spans="1:6" x14ac:dyDescent="0.2">
      <c r="A444" s="2" t="str">
        <f>"4011800546519"</f>
        <v>4011800546519</v>
      </c>
      <c r="B444" s="1" t="s">
        <v>443</v>
      </c>
      <c r="C444" s="9" t="s">
        <v>3389</v>
      </c>
      <c r="D444" s="6">
        <v>130.94999999999999</v>
      </c>
      <c r="F444">
        <v>100</v>
      </c>
    </row>
    <row r="445" spans="1:6" x14ac:dyDescent="0.2">
      <c r="A445" s="2" t="str">
        <f>"4011800552114"</f>
        <v>4011800552114</v>
      </c>
      <c r="B445" s="1" t="s">
        <v>444</v>
      </c>
      <c r="C445" s="9" t="s">
        <v>3382</v>
      </c>
      <c r="D445" s="6">
        <v>168</v>
      </c>
      <c r="F445">
        <v>100</v>
      </c>
    </row>
    <row r="446" spans="1:6" x14ac:dyDescent="0.2">
      <c r="A446" s="2" t="str">
        <f>"5997380360334"</f>
        <v>5997380360334</v>
      </c>
      <c r="B446" s="1" t="s">
        <v>445</v>
      </c>
      <c r="C446" s="9" t="s">
        <v>3374</v>
      </c>
      <c r="D446" s="6">
        <v>213.26</v>
      </c>
      <c r="F446">
        <v>100</v>
      </c>
    </row>
    <row r="447" spans="1:6" x14ac:dyDescent="0.2">
      <c r="A447" s="2" t="str">
        <f>"8593894808460"</f>
        <v>8593894808460</v>
      </c>
      <c r="B447" s="1" t="s">
        <v>446</v>
      </c>
      <c r="C447" s="9" t="s">
        <v>3382</v>
      </c>
      <c r="D447" s="6">
        <v>82.72</v>
      </c>
      <c r="F447">
        <v>100</v>
      </c>
    </row>
    <row r="448" spans="1:6" x14ac:dyDescent="0.2">
      <c r="A448" s="2" t="str">
        <f>"5410358459262"</f>
        <v>5410358459262</v>
      </c>
      <c r="B448" s="1" t="s">
        <v>447</v>
      </c>
      <c r="C448" s="9" t="s">
        <v>3382</v>
      </c>
      <c r="D448" s="6">
        <v>218.23</v>
      </c>
      <c r="F448">
        <v>100</v>
      </c>
    </row>
    <row r="449" spans="1:6" x14ac:dyDescent="0.2">
      <c r="A449" s="2" t="str">
        <f>"5996379377278"</f>
        <v>5996379377278</v>
      </c>
      <c r="B449" s="1" t="s">
        <v>448</v>
      </c>
      <c r="C449" s="9" t="s">
        <v>3382</v>
      </c>
      <c r="D449" s="6">
        <v>171.84</v>
      </c>
      <c r="F449">
        <v>100</v>
      </c>
    </row>
    <row r="450" spans="1:6" x14ac:dyDescent="0.2">
      <c r="A450" s="2" t="str">
        <f>"5900259097668"</f>
        <v>5900259097668</v>
      </c>
      <c r="B450" s="1" t="s">
        <v>449</v>
      </c>
      <c r="C450" s="9" t="s">
        <v>3382</v>
      </c>
      <c r="D450" s="6">
        <v>199.38</v>
      </c>
      <c r="F450">
        <v>100</v>
      </c>
    </row>
    <row r="451" spans="1:6" x14ac:dyDescent="0.2">
      <c r="A451" s="2" t="str">
        <f>"5900259093080"</f>
        <v>5900259093080</v>
      </c>
      <c r="B451" s="1" t="s">
        <v>450</v>
      </c>
      <c r="C451" s="9" t="s">
        <v>3382</v>
      </c>
      <c r="D451" s="6">
        <v>191.05</v>
      </c>
      <c r="F451">
        <v>100</v>
      </c>
    </row>
    <row r="452" spans="1:6" x14ac:dyDescent="0.2">
      <c r="A452" s="2" t="str">
        <f>"5900951140303"</f>
        <v>5900951140303</v>
      </c>
      <c r="B452" s="1" t="s">
        <v>451</v>
      </c>
      <c r="C452" s="9" t="s">
        <v>3382</v>
      </c>
      <c r="D452" s="6">
        <v>143.32</v>
      </c>
      <c r="F452">
        <v>100</v>
      </c>
    </row>
    <row r="453" spans="1:6" x14ac:dyDescent="0.2">
      <c r="A453" s="2" t="str">
        <f>"5997347555568"</f>
        <v>5997347555568</v>
      </c>
      <c r="B453" s="1" t="s">
        <v>452</v>
      </c>
      <c r="C453" s="9" t="s">
        <v>3382</v>
      </c>
      <c r="D453" s="6">
        <v>73.91</v>
      </c>
      <c r="F453">
        <v>100</v>
      </c>
    </row>
    <row r="454" spans="1:6" x14ac:dyDescent="0.2">
      <c r="A454" s="2" t="str">
        <f>"7622300444181"</f>
        <v>7622300444181</v>
      </c>
      <c r="B454" s="1" t="s">
        <v>453</v>
      </c>
      <c r="C454" s="9" t="s">
        <v>3382</v>
      </c>
      <c r="D454" s="6">
        <v>363.84</v>
      </c>
      <c r="F454">
        <v>100</v>
      </c>
    </row>
    <row r="455" spans="1:6" x14ac:dyDescent="0.2">
      <c r="A455" s="2" t="str">
        <f>"7622210411679"</f>
        <v>7622210411679</v>
      </c>
      <c r="B455" s="1" t="s">
        <v>454</v>
      </c>
      <c r="C455" s="9" t="s">
        <v>3382</v>
      </c>
      <c r="D455" s="6">
        <v>95.03</v>
      </c>
      <c r="F455">
        <v>100</v>
      </c>
    </row>
    <row r="456" spans="1:6" x14ac:dyDescent="0.2">
      <c r="A456" s="2" t="str">
        <f>"5998221502081"</f>
        <v>5998221502081</v>
      </c>
      <c r="B456" s="1" t="s">
        <v>455</v>
      </c>
      <c r="C456" s="9" t="s">
        <v>3382</v>
      </c>
      <c r="D456" s="6">
        <v>97.92</v>
      </c>
      <c r="F456">
        <v>100</v>
      </c>
    </row>
    <row r="457" spans="1:6" x14ac:dyDescent="0.2">
      <c r="A457" s="2" t="str">
        <f>"80051732     "</f>
        <v xml:space="preserve">80051732     </v>
      </c>
      <c r="B457" s="1" t="s">
        <v>456</v>
      </c>
      <c r="C457" s="9" t="s">
        <v>3382</v>
      </c>
      <c r="D457" s="6">
        <v>974.38</v>
      </c>
      <c r="F457">
        <v>100</v>
      </c>
    </row>
    <row r="458" spans="1:6" x14ac:dyDescent="0.2">
      <c r="A458" s="2" t="str">
        <f>"3800233070248"</f>
        <v>3800233070248</v>
      </c>
      <c r="B458" s="1" t="s">
        <v>457</v>
      </c>
      <c r="C458" s="9" t="s">
        <v>3375</v>
      </c>
      <c r="D458" s="6">
        <v>171.84</v>
      </c>
      <c r="F458">
        <v>100</v>
      </c>
    </row>
    <row r="459" spans="1:6" x14ac:dyDescent="0.2">
      <c r="A459" s="2" t="str">
        <f>"4823077619403"</f>
        <v>4823077619403</v>
      </c>
      <c r="B459" s="1" t="s">
        <v>458</v>
      </c>
      <c r="C459" s="9" t="s">
        <v>3382</v>
      </c>
      <c r="D459" s="6">
        <v>215.08</v>
      </c>
      <c r="F459">
        <v>100</v>
      </c>
    </row>
    <row r="460" spans="1:6" x14ac:dyDescent="0.2">
      <c r="A460" s="2" t="str">
        <f>"80052043     "</f>
        <v xml:space="preserve">80052043     </v>
      </c>
      <c r="B460" s="1" t="s">
        <v>459</v>
      </c>
      <c r="C460" s="9" t="s">
        <v>3374</v>
      </c>
      <c r="D460" s="6">
        <v>134.84</v>
      </c>
      <c r="F460">
        <v>100</v>
      </c>
    </row>
    <row r="461" spans="1:6" x14ac:dyDescent="0.2">
      <c r="A461" s="2" t="str">
        <f>"5998711389000"</f>
        <v>5998711389000</v>
      </c>
      <c r="B461" s="1" t="s">
        <v>460</v>
      </c>
      <c r="C461" s="9" t="s">
        <v>3382</v>
      </c>
      <c r="D461" s="6">
        <v>184.78</v>
      </c>
      <c r="F461">
        <v>100</v>
      </c>
    </row>
    <row r="462" spans="1:6" x14ac:dyDescent="0.2">
      <c r="A462" s="2" t="str">
        <f>"5410041435702"</f>
        <v>5410041435702</v>
      </c>
      <c r="B462" s="1" t="s">
        <v>461</v>
      </c>
      <c r="C462" s="9" t="s">
        <v>3382</v>
      </c>
      <c r="D462" s="6">
        <v>180.09</v>
      </c>
      <c r="F462">
        <v>100</v>
      </c>
    </row>
    <row r="463" spans="1:6" x14ac:dyDescent="0.2">
      <c r="A463" s="2" t="str">
        <f>"5997443311648"</f>
        <v>5997443311648</v>
      </c>
      <c r="B463" s="1" t="s">
        <v>462</v>
      </c>
      <c r="C463" s="9" t="s">
        <v>3382</v>
      </c>
      <c r="D463" s="6">
        <v>225.6</v>
      </c>
      <c r="F463">
        <v>100</v>
      </c>
    </row>
    <row r="464" spans="1:6" x14ac:dyDescent="0.2">
      <c r="A464" s="2" t="str">
        <f>"5201360639571"</f>
        <v>5201360639571</v>
      </c>
      <c r="B464" s="1" t="s">
        <v>463</v>
      </c>
      <c r="C464" s="9" t="s">
        <v>3382</v>
      </c>
      <c r="D464" s="6">
        <v>148.28</v>
      </c>
      <c r="F464">
        <v>100</v>
      </c>
    </row>
    <row r="465" spans="1:6" x14ac:dyDescent="0.2">
      <c r="A465" s="2" t="str">
        <f>"7613034986139"</f>
        <v>7613034986139</v>
      </c>
      <c r="B465" s="1" t="s">
        <v>464</v>
      </c>
      <c r="C465" s="9" t="s">
        <v>3382</v>
      </c>
      <c r="D465" s="6">
        <v>82.57</v>
      </c>
      <c r="F465">
        <v>100</v>
      </c>
    </row>
    <row r="466" spans="1:6" x14ac:dyDescent="0.2">
      <c r="A466" s="2" t="str">
        <f>"8584004302701"</f>
        <v>8584004302701</v>
      </c>
      <c r="B466" s="1" t="s">
        <v>465</v>
      </c>
      <c r="C466" s="9" t="s">
        <v>3382</v>
      </c>
      <c r="D466" s="6">
        <v>79.91</v>
      </c>
      <c r="F466">
        <v>100</v>
      </c>
    </row>
    <row r="467" spans="1:6" x14ac:dyDescent="0.2">
      <c r="A467" s="2" t="str">
        <f>"5999524033111"</f>
        <v>5999524033111</v>
      </c>
      <c r="B467" s="1" t="s">
        <v>466</v>
      </c>
      <c r="C467" s="9" t="s">
        <v>3376</v>
      </c>
      <c r="D467" s="6">
        <v>292.98</v>
      </c>
      <c r="F467">
        <v>100</v>
      </c>
    </row>
    <row r="468" spans="1:6" x14ac:dyDescent="0.2">
      <c r="A468" s="2" t="str">
        <f>"5998400305489"</f>
        <v>5998400305489</v>
      </c>
      <c r="B468" s="1" t="s">
        <v>467</v>
      </c>
      <c r="C468" s="9" t="s">
        <v>3382</v>
      </c>
      <c r="D468" s="6">
        <v>53.07</v>
      </c>
      <c r="F468">
        <v>100</v>
      </c>
    </row>
    <row r="469" spans="1:6" x14ac:dyDescent="0.2">
      <c r="A469" s="2" t="str">
        <f>"5998400308176"</f>
        <v>5998400308176</v>
      </c>
      <c r="B469" s="1" t="s">
        <v>468</v>
      </c>
      <c r="C469" s="9" t="s">
        <v>3374</v>
      </c>
      <c r="D469" s="6">
        <v>106.08</v>
      </c>
      <c r="F469">
        <v>100</v>
      </c>
    </row>
    <row r="470" spans="1:6" x14ac:dyDescent="0.2">
      <c r="A470" s="2" t="str">
        <f>"5997347543435"</f>
        <v>5997347543435</v>
      </c>
      <c r="B470" s="1" t="s">
        <v>469</v>
      </c>
      <c r="C470" s="9" t="s">
        <v>3376</v>
      </c>
      <c r="D470" s="6">
        <v>139.93</v>
      </c>
      <c r="F470">
        <v>100</v>
      </c>
    </row>
    <row r="471" spans="1:6" x14ac:dyDescent="0.2">
      <c r="A471" s="2" t="str">
        <f>"5907471443075"</f>
        <v>5907471443075</v>
      </c>
      <c r="B471" s="1" t="s">
        <v>470</v>
      </c>
      <c r="C471" s="9" t="s">
        <v>3376</v>
      </c>
      <c r="D471" s="6">
        <v>151.88999999999999</v>
      </c>
      <c r="F471">
        <v>100</v>
      </c>
    </row>
    <row r="472" spans="1:6" x14ac:dyDescent="0.2">
      <c r="A472" s="2" t="str">
        <f>"8595054903961"</f>
        <v>8595054903961</v>
      </c>
      <c r="B472" s="1" t="s">
        <v>471</v>
      </c>
      <c r="C472" s="9" t="s">
        <v>3382</v>
      </c>
      <c r="D472" s="6">
        <v>120.84</v>
      </c>
      <c r="F472">
        <v>100</v>
      </c>
    </row>
    <row r="473" spans="1:6" x14ac:dyDescent="0.2">
      <c r="A473" s="2" t="str">
        <f>"7622210769947"</f>
        <v>7622210769947</v>
      </c>
      <c r="B473" s="1" t="s">
        <v>472</v>
      </c>
      <c r="C473" s="9" t="s">
        <v>3382</v>
      </c>
      <c r="D473" s="6">
        <v>97.76</v>
      </c>
      <c r="F473">
        <v>100</v>
      </c>
    </row>
    <row r="474" spans="1:6" x14ac:dyDescent="0.2">
      <c r="A474" s="2" t="str">
        <f>"8426617615185"</f>
        <v>8426617615185</v>
      </c>
      <c r="B474" s="1" t="s">
        <v>473</v>
      </c>
      <c r="C474" s="9" t="s">
        <v>3382</v>
      </c>
      <c r="D474" s="6">
        <v>171.84</v>
      </c>
      <c r="F474">
        <v>100</v>
      </c>
    </row>
    <row r="475" spans="1:6" x14ac:dyDescent="0.2">
      <c r="A475" s="2" t="str">
        <f>"5900951134937"</f>
        <v>5900951134937</v>
      </c>
      <c r="B475" s="1" t="s">
        <v>474</v>
      </c>
      <c r="C475" s="9" t="s">
        <v>3382</v>
      </c>
      <c r="D475" s="6">
        <v>164.21</v>
      </c>
      <c r="F475">
        <v>100</v>
      </c>
    </row>
    <row r="476" spans="1:6" x14ac:dyDescent="0.2">
      <c r="A476" s="2" t="str">
        <f>"4008400402222"</f>
        <v>4008400402222</v>
      </c>
      <c r="B476" s="1" t="s">
        <v>475</v>
      </c>
      <c r="C476" s="9" t="s">
        <v>3389</v>
      </c>
      <c r="D476" s="6">
        <v>0</v>
      </c>
      <c r="F476">
        <v>100</v>
      </c>
    </row>
    <row r="477" spans="1:6" x14ac:dyDescent="0.2">
      <c r="A477" s="2" t="str">
        <f>"5998221502104"</f>
        <v>5998221502104</v>
      </c>
      <c r="B477" s="1" t="s">
        <v>476</v>
      </c>
      <c r="C477" s="9" t="s">
        <v>3382</v>
      </c>
      <c r="D477" s="6">
        <v>97.89</v>
      </c>
      <c r="F477">
        <v>100</v>
      </c>
    </row>
    <row r="478" spans="1:6" x14ac:dyDescent="0.2">
      <c r="A478" s="2" t="str">
        <f>"7622210079008"</f>
        <v>7622210079008</v>
      </c>
      <c r="B478" s="1" t="s">
        <v>477</v>
      </c>
      <c r="C478" s="9" t="s">
        <v>3382</v>
      </c>
      <c r="D478" s="6">
        <v>541.97</v>
      </c>
      <c r="F478">
        <v>100</v>
      </c>
    </row>
    <row r="479" spans="1:6" x14ac:dyDescent="0.2">
      <c r="A479" s="2" t="str">
        <f>"5053990101597"</f>
        <v>5053990101597</v>
      </c>
      <c r="B479" s="1" t="s">
        <v>478</v>
      </c>
      <c r="C479" s="9" t="s">
        <v>3382</v>
      </c>
      <c r="D479" s="6">
        <v>575.04</v>
      </c>
      <c r="F479">
        <v>100</v>
      </c>
    </row>
    <row r="480" spans="1:6" x14ac:dyDescent="0.2">
      <c r="A480" s="2" t="str">
        <f>"5998711388942"</f>
        <v>5998711388942</v>
      </c>
      <c r="B480" s="1" t="s">
        <v>479</v>
      </c>
      <c r="C480" s="9" t="s">
        <v>3374</v>
      </c>
      <c r="D480" s="6">
        <v>194.84</v>
      </c>
      <c r="F480">
        <v>100</v>
      </c>
    </row>
    <row r="481" spans="1:6" x14ac:dyDescent="0.2">
      <c r="A481" s="2" t="str">
        <f>"5996496010874"</f>
        <v>5996496010874</v>
      </c>
      <c r="B481" s="1" t="s">
        <v>480</v>
      </c>
      <c r="C481" s="9" t="s">
        <v>3374</v>
      </c>
      <c r="D481" s="6">
        <v>196.78</v>
      </c>
      <c r="F481">
        <v>100</v>
      </c>
    </row>
    <row r="482" spans="1:6" x14ac:dyDescent="0.2">
      <c r="A482" s="2" t="str">
        <f>"5941311007478"</f>
        <v>5941311007478</v>
      </c>
      <c r="B482" s="1" t="s">
        <v>481</v>
      </c>
      <c r="C482" s="9" t="s">
        <v>3375</v>
      </c>
      <c r="D482" s="6">
        <v>226.88</v>
      </c>
      <c r="F482">
        <v>100</v>
      </c>
    </row>
    <row r="483" spans="1:6" x14ac:dyDescent="0.2">
      <c r="A483" s="2" t="str">
        <f>"5999527960704"</f>
        <v>5999527960704</v>
      </c>
      <c r="B483" s="1" t="s">
        <v>482</v>
      </c>
      <c r="C483" s="9" t="s">
        <v>3382</v>
      </c>
      <c r="D483" s="6">
        <v>46.11</v>
      </c>
      <c r="F483">
        <v>100</v>
      </c>
    </row>
    <row r="484" spans="1:6" x14ac:dyDescent="0.2">
      <c r="A484" s="2" t="str">
        <f>"5998400306448"</f>
        <v>5998400306448</v>
      </c>
      <c r="B484" s="1" t="s">
        <v>483</v>
      </c>
      <c r="C484" s="9" t="s">
        <v>3374</v>
      </c>
      <c r="D484" s="6">
        <v>121.25</v>
      </c>
      <c r="F484">
        <v>100</v>
      </c>
    </row>
    <row r="485" spans="1:6" x14ac:dyDescent="0.2">
      <c r="A485" s="2" t="str">
        <f>"5996253000421"</f>
        <v>5996253000421</v>
      </c>
      <c r="B485" s="1" t="s">
        <v>484</v>
      </c>
      <c r="C485" s="9" t="s">
        <v>3382</v>
      </c>
      <c r="D485" s="6">
        <v>210.15</v>
      </c>
      <c r="F485">
        <v>100</v>
      </c>
    </row>
    <row r="486" spans="1:6" x14ac:dyDescent="0.2">
      <c r="A486" s="2" t="str">
        <f>"5996253000469"</f>
        <v>5996253000469</v>
      </c>
      <c r="B486" s="1" t="s">
        <v>485</v>
      </c>
      <c r="C486" s="9" t="s">
        <v>3382</v>
      </c>
      <c r="D486" s="6">
        <v>212.44</v>
      </c>
      <c r="F486">
        <v>100</v>
      </c>
    </row>
    <row r="487" spans="1:6" x14ac:dyDescent="0.2">
      <c r="A487" s="2" t="str">
        <f>"3387390122473"</f>
        <v>3387390122473</v>
      </c>
      <c r="B487" s="1" t="s">
        <v>486</v>
      </c>
      <c r="C487" s="9" t="s">
        <v>3382</v>
      </c>
      <c r="D487" s="6">
        <v>393.71</v>
      </c>
      <c r="F487">
        <v>100</v>
      </c>
    </row>
    <row r="488" spans="1:6" x14ac:dyDescent="0.2">
      <c r="A488" s="2" t="str">
        <f>"5997380350243"</f>
        <v>5997380350243</v>
      </c>
      <c r="B488" s="1" t="s">
        <v>487</v>
      </c>
      <c r="C488" s="9" t="s">
        <v>3382</v>
      </c>
      <c r="D488" s="6">
        <v>123.99</v>
      </c>
      <c r="F488">
        <v>100</v>
      </c>
    </row>
    <row r="489" spans="1:6" x14ac:dyDescent="0.2">
      <c r="A489" s="2" t="str">
        <f>"3800061602550"</f>
        <v>3800061602550</v>
      </c>
      <c r="B489" s="1" t="s">
        <v>488</v>
      </c>
      <c r="C489" s="9" t="s">
        <v>3382</v>
      </c>
      <c r="D489" s="6">
        <v>114.24</v>
      </c>
      <c r="F489">
        <v>100</v>
      </c>
    </row>
    <row r="490" spans="1:6" x14ac:dyDescent="0.2">
      <c r="A490" s="2" t="str">
        <f>"3800205875604"</f>
        <v>3800205875604</v>
      </c>
      <c r="B490" s="1" t="s">
        <v>489</v>
      </c>
      <c r="C490" s="9" t="s">
        <v>3382</v>
      </c>
      <c r="D490" s="6">
        <v>144.53</v>
      </c>
      <c r="F490">
        <v>100</v>
      </c>
    </row>
    <row r="491" spans="1:6" x14ac:dyDescent="0.2">
      <c r="A491" s="2" t="str">
        <f>"3800205877707"</f>
        <v>3800205877707</v>
      </c>
      <c r="B491" s="1" t="s">
        <v>490</v>
      </c>
      <c r="C491" s="9" t="s">
        <v>3382</v>
      </c>
      <c r="D491" s="6">
        <v>143.04</v>
      </c>
      <c r="F491">
        <v>100</v>
      </c>
    </row>
    <row r="492" spans="1:6" x14ac:dyDescent="0.2">
      <c r="A492" s="2" t="str">
        <f>"5999881296518"</f>
        <v>5999881296518</v>
      </c>
      <c r="B492" s="1" t="s">
        <v>491</v>
      </c>
      <c r="C492" s="9" t="s">
        <v>3391</v>
      </c>
      <c r="D492" s="6">
        <v>520</v>
      </c>
      <c r="F492">
        <v>100</v>
      </c>
    </row>
    <row r="493" spans="1:6" x14ac:dyDescent="0.2">
      <c r="A493" s="2" t="str">
        <f>"8584004041785"</f>
        <v>8584004041785</v>
      </c>
      <c r="B493" s="1" t="s">
        <v>492</v>
      </c>
      <c r="C493" s="9" t="s">
        <v>3382</v>
      </c>
      <c r="D493" s="6">
        <v>72.12</v>
      </c>
      <c r="F493">
        <v>100</v>
      </c>
    </row>
    <row r="494" spans="1:6" x14ac:dyDescent="0.2">
      <c r="A494" s="2" t="str">
        <f>"5998710925612"</f>
        <v>5998710925612</v>
      </c>
      <c r="B494" s="1" t="s">
        <v>493</v>
      </c>
      <c r="C494" s="9" t="s">
        <v>3382</v>
      </c>
      <c r="D494" s="6">
        <v>72.260000000000005</v>
      </c>
      <c r="F494">
        <v>100</v>
      </c>
    </row>
    <row r="495" spans="1:6" x14ac:dyDescent="0.2">
      <c r="A495" s="2" t="str">
        <f>"5998710960545"</f>
        <v>5998710960545</v>
      </c>
      <c r="B495" s="1" t="s">
        <v>494</v>
      </c>
      <c r="C495" s="9" t="s">
        <v>3382</v>
      </c>
      <c r="D495" s="6">
        <v>239.04</v>
      </c>
      <c r="F495">
        <v>100</v>
      </c>
    </row>
    <row r="496" spans="1:6" x14ac:dyDescent="0.2">
      <c r="A496" s="2" t="str">
        <f>"5900020016065"</f>
        <v>5900020016065</v>
      </c>
      <c r="B496" s="1" t="s">
        <v>495</v>
      </c>
      <c r="C496" s="9" t="s">
        <v>3374</v>
      </c>
      <c r="D496" s="6">
        <v>402.55</v>
      </c>
      <c r="F496">
        <v>100</v>
      </c>
    </row>
    <row r="497" spans="1:6" x14ac:dyDescent="0.2">
      <c r="A497" s="2" t="str">
        <f>"5900020007001"</f>
        <v>5900020007001</v>
      </c>
      <c r="B497" s="1" t="s">
        <v>496</v>
      </c>
      <c r="C497" s="9" t="s">
        <v>3374</v>
      </c>
      <c r="D497" s="6">
        <v>396.65</v>
      </c>
      <c r="F497">
        <v>100</v>
      </c>
    </row>
    <row r="498" spans="1:6" x14ac:dyDescent="0.2">
      <c r="A498" s="2" t="str">
        <f>"5906747310783"</f>
        <v>5906747310783</v>
      </c>
      <c r="B498" s="1" t="s">
        <v>497</v>
      </c>
      <c r="C498" s="9" t="s">
        <v>3382</v>
      </c>
      <c r="D498" s="6">
        <v>251.62</v>
      </c>
      <c r="F498">
        <v>100</v>
      </c>
    </row>
    <row r="499" spans="1:6" x14ac:dyDescent="0.2">
      <c r="A499" s="2" t="str">
        <f>"80052333     "</f>
        <v xml:space="preserve">80052333     </v>
      </c>
      <c r="B499" s="1" t="s">
        <v>498</v>
      </c>
      <c r="C499" s="9" t="s">
        <v>3374</v>
      </c>
      <c r="D499" s="6">
        <v>134.84</v>
      </c>
      <c r="F499">
        <v>100</v>
      </c>
    </row>
    <row r="500" spans="1:6" x14ac:dyDescent="0.2">
      <c r="A500" s="2" t="str">
        <f>"7622300570293"</f>
        <v>7622300570293</v>
      </c>
      <c r="B500" s="1" t="s">
        <v>499</v>
      </c>
      <c r="C500" s="9" t="s">
        <v>3374</v>
      </c>
      <c r="D500" s="6">
        <v>183.81</v>
      </c>
      <c r="F500">
        <v>100</v>
      </c>
    </row>
    <row r="501" spans="1:6" x14ac:dyDescent="0.2">
      <c r="A501" s="2" t="str">
        <f>"5998711388928"</f>
        <v>5998711388928</v>
      </c>
      <c r="B501" s="1" t="s">
        <v>500</v>
      </c>
      <c r="C501" s="9" t="s">
        <v>3382</v>
      </c>
      <c r="D501" s="6">
        <v>178.62</v>
      </c>
      <c r="F501">
        <v>100</v>
      </c>
    </row>
    <row r="502" spans="1:6" x14ac:dyDescent="0.2">
      <c r="A502" s="2" t="str">
        <f>"5997443312676"</f>
        <v>5997443312676</v>
      </c>
      <c r="B502" s="1" t="s">
        <v>501</v>
      </c>
      <c r="C502" s="9" t="s">
        <v>3382</v>
      </c>
      <c r="D502" s="6">
        <v>229.16</v>
      </c>
      <c r="F502">
        <v>100</v>
      </c>
    </row>
    <row r="503" spans="1:6" x14ac:dyDescent="0.2">
      <c r="A503" s="2" t="str">
        <f>"8585000208745"</f>
        <v>8585000208745</v>
      </c>
      <c r="B503" s="1" t="s">
        <v>502</v>
      </c>
      <c r="C503" s="9" t="s">
        <v>3382</v>
      </c>
      <c r="D503" s="6">
        <v>135.18</v>
      </c>
      <c r="F503">
        <v>100</v>
      </c>
    </row>
    <row r="504" spans="1:6" x14ac:dyDescent="0.2">
      <c r="A504" s="2" t="str">
        <f>"5941311007539"</f>
        <v>5941311007539</v>
      </c>
      <c r="B504" s="1" t="s">
        <v>503</v>
      </c>
      <c r="C504" s="9" t="s">
        <v>3374</v>
      </c>
      <c r="D504" s="6">
        <v>222.14</v>
      </c>
      <c r="F504">
        <v>100</v>
      </c>
    </row>
    <row r="505" spans="1:6" x14ac:dyDescent="0.2">
      <c r="A505" s="2" t="str">
        <f>"5999883192351"</f>
        <v>5999883192351</v>
      </c>
      <c r="B505" s="1" t="s">
        <v>504</v>
      </c>
      <c r="C505" s="9" t="s">
        <v>3387</v>
      </c>
      <c r="D505" s="6">
        <v>85</v>
      </c>
      <c r="F505">
        <v>100</v>
      </c>
    </row>
    <row r="506" spans="1:6" x14ac:dyDescent="0.2">
      <c r="A506" s="2" t="str">
        <f>"5997105113382"</f>
        <v>5997105113382</v>
      </c>
      <c r="B506" s="1" t="s">
        <v>505</v>
      </c>
      <c r="C506" s="9" t="s">
        <v>3376</v>
      </c>
      <c r="D506" s="6">
        <v>229.73</v>
      </c>
      <c r="F506">
        <v>100</v>
      </c>
    </row>
    <row r="507" spans="1:6" x14ac:dyDescent="0.2">
      <c r="A507" s="2" t="str">
        <f>"5997443300116"</f>
        <v>5997443300116</v>
      </c>
      <c r="B507" s="1" t="s">
        <v>506</v>
      </c>
      <c r="C507" s="9" t="s">
        <v>3376</v>
      </c>
      <c r="D507" s="6">
        <v>230.7</v>
      </c>
      <c r="F507">
        <v>100</v>
      </c>
    </row>
    <row r="508" spans="1:6" x14ac:dyDescent="0.2">
      <c r="A508" s="2" t="str">
        <f>"5998400306424"</f>
        <v>5998400306424</v>
      </c>
      <c r="B508" s="1" t="s">
        <v>507</v>
      </c>
      <c r="C508" s="9" t="s">
        <v>3375</v>
      </c>
      <c r="D508" s="6">
        <v>123.84</v>
      </c>
      <c r="F508">
        <v>100</v>
      </c>
    </row>
    <row r="509" spans="1:6" x14ac:dyDescent="0.2">
      <c r="A509" s="2" t="str">
        <f>"5998400309395"</f>
        <v>5998400309395</v>
      </c>
      <c r="B509" s="1" t="s">
        <v>508</v>
      </c>
      <c r="C509" s="9" t="s">
        <v>3374</v>
      </c>
      <c r="D509" s="6">
        <v>106.61</v>
      </c>
      <c r="F509">
        <v>100</v>
      </c>
    </row>
    <row r="510" spans="1:6" x14ac:dyDescent="0.2">
      <c r="A510" s="2" t="str">
        <f>"5998400307827"</f>
        <v>5998400307827</v>
      </c>
      <c r="B510" s="1" t="s">
        <v>509</v>
      </c>
      <c r="C510" s="9" t="s">
        <v>3375</v>
      </c>
      <c r="D510" s="6">
        <v>335.04</v>
      </c>
      <c r="F510">
        <v>100</v>
      </c>
    </row>
    <row r="511" spans="1:6" x14ac:dyDescent="0.2">
      <c r="A511" s="2" t="str">
        <f>"5900020027467"</f>
        <v>5900020027467</v>
      </c>
      <c r="B511" s="1" t="s">
        <v>510</v>
      </c>
      <c r="C511" s="9" t="s">
        <v>3374</v>
      </c>
      <c r="D511" s="6">
        <v>393.15</v>
      </c>
      <c r="F511">
        <v>100</v>
      </c>
    </row>
    <row r="512" spans="1:6" x14ac:dyDescent="0.2">
      <c r="A512" s="2" t="str">
        <f>"5997380352322"</f>
        <v>5997380352322</v>
      </c>
      <c r="B512" s="1" t="s">
        <v>511</v>
      </c>
      <c r="C512" s="9" t="s">
        <v>3376</v>
      </c>
      <c r="D512" s="6">
        <v>224.98</v>
      </c>
      <c r="F512">
        <v>100</v>
      </c>
    </row>
    <row r="513" spans="1:6" x14ac:dyDescent="0.2">
      <c r="A513" s="2" t="str">
        <f>"5997380362291"</f>
        <v>5997380362291</v>
      </c>
      <c r="B513" s="1" t="s">
        <v>512</v>
      </c>
      <c r="C513" s="9" t="s">
        <v>3376</v>
      </c>
      <c r="D513" s="6">
        <v>223.85</v>
      </c>
      <c r="F513">
        <v>100</v>
      </c>
    </row>
    <row r="514" spans="1:6" x14ac:dyDescent="0.2">
      <c r="A514" s="2" t="str">
        <f>"4011800567316"</f>
        <v>4011800567316</v>
      </c>
      <c r="B514" s="1" t="s">
        <v>513</v>
      </c>
      <c r="C514" s="9" t="s">
        <v>3382</v>
      </c>
      <c r="D514" s="6">
        <v>168</v>
      </c>
      <c r="F514">
        <v>100</v>
      </c>
    </row>
    <row r="515" spans="1:6" x14ac:dyDescent="0.2">
      <c r="A515" s="2" t="str">
        <f>"8606106808193"</f>
        <v>8606106808193</v>
      </c>
      <c r="B515" s="1" t="s">
        <v>514</v>
      </c>
      <c r="C515" s="9" t="s">
        <v>3378</v>
      </c>
      <c r="D515" s="6">
        <v>99</v>
      </c>
      <c r="F515">
        <v>100</v>
      </c>
    </row>
    <row r="516" spans="1:6" x14ac:dyDescent="0.2">
      <c r="A516" s="2" t="str">
        <f>"8410525240546"</f>
        <v>8410525240546</v>
      </c>
      <c r="B516" s="1" t="s">
        <v>515</v>
      </c>
      <c r="C516" s="9" t="s">
        <v>3378</v>
      </c>
      <c r="D516" s="6">
        <v>75.010000000000005</v>
      </c>
      <c r="F516">
        <v>100</v>
      </c>
    </row>
    <row r="517" spans="1:6" x14ac:dyDescent="0.2">
      <c r="A517" s="2" t="str">
        <f>"5410358453048"</f>
        <v>5410358453048</v>
      </c>
      <c r="B517" s="1" t="s">
        <v>516</v>
      </c>
      <c r="C517" s="9" t="s">
        <v>3382</v>
      </c>
      <c r="D517" s="6">
        <v>216.44</v>
      </c>
      <c r="F517">
        <v>100</v>
      </c>
    </row>
    <row r="518" spans="1:6" x14ac:dyDescent="0.2">
      <c r="A518" s="2" t="str">
        <f>"5998221500100"</f>
        <v>5998221500100</v>
      </c>
      <c r="B518" s="1" t="s">
        <v>517</v>
      </c>
      <c r="C518" s="9" t="s">
        <v>3382</v>
      </c>
      <c r="D518" s="6">
        <v>95.87</v>
      </c>
      <c r="F518">
        <v>100</v>
      </c>
    </row>
    <row r="519" spans="1:6" x14ac:dyDescent="0.2">
      <c r="A519" s="2" t="str">
        <f>"5901016022299"</f>
        <v>5901016022299</v>
      </c>
      <c r="B519" s="1" t="s">
        <v>518</v>
      </c>
      <c r="C519" s="9" t="s">
        <v>3382</v>
      </c>
      <c r="D519" s="6">
        <v>276.01</v>
      </c>
      <c r="F519">
        <v>100</v>
      </c>
    </row>
    <row r="520" spans="1:6" x14ac:dyDescent="0.2">
      <c r="A520" s="2" t="str">
        <f>"7622210145437"</f>
        <v>7622210145437</v>
      </c>
      <c r="B520" s="1" t="s">
        <v>519</v>
      </c>
      <c r="C520" s="9" t="s">
        <v>3382</v>
      </c>
      <c r="D520" s="6">
        <v>99.7</v>
      </c>
      <c r="F520">
        <v>100</v>
      </c>
    </row>
    <row r="521" spans="1:6" x14ac:dyDescent="0.2">
      <c r="A521" s="2" t="str">
        <f>"5997359136595"</f>
        <v>5997359136595</v>
      </c>
      <c r="B521" s="1" t="s">
        <v>520</v>
      </c>
      <c r="C521" s="9" t="s">
        <v>3374</v>
      </c>
      <c r="D521" s="6">
        <v>32.26</v>
      </c>
      <c r="F521">
        <v>100</v>
      </c>
    </row>
    <row r="522" spans="1:6" x14ac:dyDescent="0.2">
      <c r="A522" s="2" t="str">
        <f>"5319990934826"</f>
        <v>5319990934826</v>
      </c>
      <c r="B522" s="1" t="s">
        <v>521</v>
      </c>
      <c r="C522" s="9" t="s">
        <v>3388</v>
      </c>
      <c r="D522" s="6">
        <v>83.99</v>
      </c>
      <c r="F522">
        <v>100</v>
      </c>
    </row>
    <row r="523" spans="1:6" x14ac:dyDescent="0.2">
      <c r="A523" s="2" t="str">
        <f>"4014400901191"</f>
        <v>4014400901191</v>
      </c>
      <c r="B523" s="1" t="s">
        <v>522</v>
      </c>
      <c r="C523" s="9" t="s">
        <v>3382</v>
      </c>
      <c r="D523" s="6">
        <v>1055.04</v>
      </c>
      <c r="F523">
        <v>100</v>
      </c>
    </row>
    <row r="524" spans="1:6" x14ac:dyDescent="0.2">
      <c r="A524" s="2" t="str">
        <f>"3800205875109"</f>
        <v>3800205875109</v>
      </c>
      <c r="B524" s="1" t="s">
        <v>523</v>
      </c>
      <c r="C524" s="9" t="s">
        <v>3382</v>
      </c>
      <c r="D524" s="6">
        <v>143.04</v>
      </c>
      <c r="F524">
        <v>100</v>
      </c>
    </row>
    <row r="525" spans="1:6" x14ac:dyDescent="0.2">
      <c r="A525" s="2" t="str">
        <f>"46138057     "</f>
        <v xml:space="preserve">46138057     </v>
      </c>
      <c r="B525" s="1" t="s">
        <v>524</v>
      </c>
      <c r="C525" s="9" t="s">
        <v>3375</v>
      </c>
      <c r="D525" s="6">
        <v>152.63999999999999</v>
      </c>
      <c r="F525">
        <v>100</v>
      </c>
    </row>
    <row r="526" spans="1:6" x14ac:dyDescent="0.2">
      <c r="A526" s="2" t="str">
        <f>"8584004041778"</f>
        <v>8584004041778</v>
      </c>
      <c r="B526" s="1" t="s">
        <v>525</v>
      </c>
      <c r="C526" s="9" t="s">
        <v>3382</v>
      </c>
      <c r="D526" s="6">
        <v>74.069999999999993</v>
      </c>
      <c r="F526">
        <v>100</v>
      </c>
    </row>
    <row r="527" spans="1:6" x14ac:dyDescent="0.2">
      <c r="A527" s="2" t="str">
        <f>"5900020023377"</f>
        <v>5900020023377</v>
      </c>
      <c r="B527" s="1" t="s">
        <v>526</v>
      </c>
      <c r="C527" s="9" t="s">
        <v>3382</v>
      </c>
      <c r="D527" s="6">
        <v>60.48</v>
      </c>
      <c r="F527">
        <v>100</v>
      </c>
    </row>
    <row r="528" spans="1:6" x14ac:dyDescent="0.2">
      <c r="A528" s="2" t="str">
        <f>"5900020025210"</f>
        <v>5900020025210</v>
      </c>
      <c r="B528" s="1" t="s">
        <v>527</v>
      </c>
      <c r="C528" s="9" t="s">
        <v>3382</v>
      </c>
      <c r="D528" s="6">
        <v>63.35</v>
      </c>
      <c r="F528">
        <v>100</v>
      </c>
    </row>
    <row r="529" spans="1:6" x14ac:dyDescent="0.2">
      <c r="A529" s="2" t="str">
        <f>"4008400401621"</f>
        <v>4008400401621</v>
      </c>
      <c r="B529" s="1" t="s">
        <v>528</v>
      </c>
      <c r="C529" s="9" t="s">
        <v>3389</v>
      </c>
      <c r="D529" s="6">
        <v>639.45000000000005</v>
      </c>
      <c r="F529">
        <v>100</v>
      </c>
    </row>
    <row r="530" spans="1:6" x14ac:dyDescent="0.2">
      <c r="A530" s="2" t="str">
        <f>"8000500023976"</f>
        <v>8000500023976</v>
      </c>
      <c r="B530" s="1" t="s">
        <v>529</v>
      </c>
      <c r="C530" s="9" t="s">
        <v>3382</v>
      </c>
      <c r="D530" s="6">
        <v>728.64</v>
      </c>
      <c r="F530">
        <v>100</v>
      </c>
    </row>
    <row r="531" spans="1:6" x14ac:dyDescent="0.2">
      <c r="A531" s="2" t="str">
        <f>"4008400163826"</f>
        <v>4008400163826</v>
      </c>
      <c r="B531" s="1" t="s">
        <v>530</v>
      </c>
      <c r="C531" s="9" t="s">
        <v>3389</v>
      </c>
      <c r="D531" s="6">
        <v>890</v>
      </c>
      <c r="F531">
        <v>100</v>
      </c>
    </row>
    <row r="532" spans="1:6" x14ac:dyDescent="0.2">
      <c r="A532" s="2" t="str">
        <f>"5998711723385"</f>
        <v>5998711723385</v>
      </c>
      <c r="B532" s="1" t="s">
        <v>531</v>
      </c>
      <c r="C532" s="9" t="s">
        <v>3382</v>
      </c>
      <c r="D532" s="6">
        <v>72.930000000000007</v>
      </c>
      <c r="F532">
        <v>100</v>
      </c>
    </row>
    <row r="533" spans="1:6" x14ac:dyDescent="0.2">
      <c r="A533" s="2" t="str">
        <f>"5997380360136"</f>
        <v>5997380360136</v>
      </c>
      <c r="B533" s="1" t="s">
        <v>532</v>
      </c>
      <c r="C533" s="9" t="s">
        <v>3382</v>
      </c>
      <c r="D533" s="6">
        <v>163.19999999999999</v>
      </c>
      <c r="F533">
        <v>100</v>
      </c>
    </row>
    <row r="534" spans="1:6" x14ac:dyDescent="0.2">
      <c r="A534" s="2" t="str">
        <f>"8000500280195"</f>
        <v>8000500280195</v>
      </c>
      <c r="B534" s="1" t="s">
        <v>533</v>
      </c>
      <c r="C534" s="9" t="s">
        <v>3374</v>
      </c>
      <c r="D534" s="6">
        <v>140.63999999999999</v>
      </c>
      <c r="F534">
        <v>100</v>
      </c>
    </row>
    <row r="535" spans="1:6" x14ac:dyDescent="0.2">
      <c r="A535" s="2" t="str">
        <f>"4014400400007"</f>
        <v>4014400400007</v>
      </c>
      <c r="B535" s="1" t="s">
        <v>534</v>
      </c>
      <c r="C535" s="9" t="s">
        <v>3382</v>
      </c>
      <c r="D535" s="6">
        <v>513.6</v>
      </c>
      <c r="F535">
        <v>100</v>
      </c>
    </row>
    <row r="536" spans="1:6" x14ac:dyDescent="0.2">
      <c r="A536" s="2" t="str">
        <f>"5998711388935"</f>
        <v>5998711388935</v>
      </c>
      <c r="B536" s="1" t="s">
        <v>535</v>
      </c>
      <c r="C536" s="9" t="s">
        <v>3382</v>
      </c>
      <c r="D536" s="6">
        <v>185.83</v>
      </c>
      <c r="F536">
        <v>100</v>
      </c>
    </row>
    <row r="537" spans="1:6" x14ac:dyDescent="0.2">
      <c r="A537" s="2" t="str">
        <f>"5997443312614"</f>
        <v>5997443312614</v>
      </c>
      <c r="B537" s="1" t="s">
        <v>536</v>
      </c>
      <c r="C537" s="9" t="s">
        <v>3382</v>
      </c>
      <c r="D537" s="6">
        <v>204.48</v>
      </c>
      <c r="F537">
        <v>100</v>
      </c>
    </row>
    <row r="538" spans="1:6" x14ac:dyDescent="0.2">
      <c r="A538" s="2" t="str">
        <f>"5997443311662"</f>
        <v>5997443311662</v>
      </c>
      <c r="B538" s="1" t="s">
        <v>537</v>
      </c>
      <c r="C538" s="9" t="s">
        <v>3382</v>
      </c>
      <c r="D538" s="6">
        <v>206.4</v>
      </c>
      <c r="F538">
        <v>100</v>
      </c>
    </row>
    <row r="539" spans="1:6" x14ac:dyDescent="0.2">
      <c r="A539" s="2" t="str">
        <f>"8584004113628"</f>
        <v>8584004113628</v>
      </c>
      <c r="B539" s="1" t="s">
        <v>538</v>
      </c>
      <c r="C539" s="9" t="s">
        <v>3382</v>
      </c>
      <c r="D539" s="6">
        <v>218.43</v>
      </c>
      <c r="F539">
        <v>100</v>
      </c>
    </row>
    <row r="540" spans="1:6" x14ac:dyDescent="0.2">
      <c r="A540" s="2" t="str">
        <f>"8585000210335"</f>
        <v>8585000210335</v>
      </c>
      <c r="B540" s="1" t="s">
        <v>539</v>
      </c>
      <c r="C540" s="9" t="s">
        <v>3382</v>
      </c>
      <c r="D540" s="6">
        <v>131.82</v>
      </c>
      <c r="F540">
        <v>100</v>
      </c>
    </row>
    <row r="541" spans="1:6" x14ac:dyDescent="0.2">
      <c r="A541" s="2" t="str">
        <f>"5941311002275"</f>
        <v>5941311002275</v>
      </c>
      <c r="B541" s="1" t="s">
        <v>540</v>
      </c>
      <c r="C541" s="9" t="s">
        <v>3374</v>
      </c>
      <c r="D541" s="6">
        <v>222.47</v>
      </c>
      <c r="F541">
        <v>100</v>
      </c>
    </row>
    <row r="542" spans="1:6" x14ac:dyDescent="0.2">
      <c r="A542" s="2" t="str">
        <f>"5201360674503"</f>
        <v>5201360674503</v>
      </c>
      <c r="B542" s="1" t="s">
        <v>541</v>
      </c>
      <c r="C542" s="9" t="s">
        <v>3382</v>
      </c>
      <c r="D542" s="6">
        <v>149.41</v>
      </c>
      <c r="F542">
        <v>100</v>
      </c>
    </row>
    <row r="543" spans="1:6" x14ac:dyDescent="0.2">
      <c r="A543" s="2" t="str">
        <f>"5201360639007"</f>
        <v>5201360639007</v>
      </c>
      <c r="B543" s="1" t="s">
        <v>542</v>
      </c>
      <c r="C543" s="9" t="s">
        <v>3382</v>
      </c>
      <c r="D543" s="6">
        <v>148.91</v>
      </c>
      <c r="F543">
        <v>100</v>
      </c>
    </row>
    <row r="544" spans="1:6" x14ac:dyDescent="0.2">
      <c r="A544" s="2" t="str">
        <f>"8595564512028"</f>
        <v>8595564512028</v>
      </c>
      <c r="B544" s="1" t="s">
        <v>543</v>
      </c>
      <c r="C544" s="9" t="s">
        <v>3379</v>
      </c>
      <c r="D544" s="6">
        <v>135.81</v>
      </c>
      <c r="F544">
        <v>100</v>
      </c>
    </row>
    <row r="545" spans="1:6" x14ac:dyDescent="0.2">
      <c r="A545" s="2" t="str">
        <f>"8595564512042"</f>
        <v>8595564512042</v>
      </c>
      <c r="B545" s="1" t="s">
        <v>544</v>
      </c>
      <c r="C545" s="9" t="s">
        <v>3379</v>
      </c>
      <c r="D545" s="6">
        <v>121.64</v>
      </c>
      <c r="F545">
        <v>100</v>
      </c>
    </row>
    <row r="546" spans="1:6" x14ac:dyDescent="0.2">
      <c r="A546" s="2" t="str">
        <f>"8692544002712"</f>
        <v>8692544002712</v>
      </c>
      <c r="B546" s="1" t="s">
        <v>545</v>
      </c>
      <c r="C546" s="9" t="s">
        <v>3378</v>
      </c>
      <c r="D546" s="6">
        <v>49.51</v>
      </c>
      <c r="F546">
        <v>100</v>
      </c>
    </row>
    <row r="547" spans="1:6" x14ac:dyDescent="0.2">
      <c r="A547" s="2" t="str">
        <f>"5997443300109"</f>
        <v>5997443300109</v>
      </c>
      <c r="B547" s="1" t="s">
        <v>546</v>
      </c>
      <c r="C547" s="9" t="s">
        <v>3376</v>
      </c>
      <c r="D547" s="6">
        <v>230.7</v>
      </c>
      <c r="F547">
        <v>100</v>
      </c>
    </row>
    <row r="548" spans="1:6" x14ac:dyDescent="0.2">
      <c r="A548" s="2" t="str">
        <f>"5998400393219"</f>
        <v>5998400393219</v>
      </c>
      <c r="B548" s="1" t="s">
        <v>547</v>
      </c>
      <c r="C548" s="9" t="s">
        <v>3382</v>
      </c>
      <c r="D548" s="6">
        <v>53.35</v>
      </c>
      <c r="F548">
        <v>100</v>
      </c>
    </row>
    <row r="549" spans="1:6" x14ac:dyDescent="0.2">
      <c r="A549" s="2" t="str">
        <f>"5998400393837"</f>
        <v>5998400393837</v>
      </c>
      <c r="B549" s="1" t="s">
        <v>548</v>
      </c>
      <c r="C549" s="9" t="s">
        <v>3374</v>
      </c>
      <c r="D549" s="6">
        <v>286.14999999999998</v>
      </c>
      <c r="F549">
        <v>100</v>
      </c>
    </row>
    <row r="550" spans="1:6" x14ac:dyDescent="0.2">
      <c r="A550" s="2" t="str">
        <f>"5998400305137"</f>
        <v>5998400305137</v>
      </c>
      <c r="B550" s="1" t="s">
        <v>549</v>
      </c>
      <c r="C550" s="9" t="s">
        <v>3382</v>
      </c>
      <c r="D550" s="6">
        <v>281.49</v>
      </c>
      <c r="F550">
        <v>100</v>
      </c>
    </row>
    <row r="551" spans="1:6" x14ac:dyDescent="0.2">
      <c r="A551" s="2" t="str">
        <f>"5998400373815"</f>
        <v>5998400373815</v>
      </c>
      <c r="B551" s="1" t="s">
        <v>550</v>
      </c>
      <c r="C551" s="9" t="s">
        <v>3374</v>
      </c>
      <c r="D551" s="6">
        <v>286.14999999999998</v>
      </c>
      <c r="F551">
        <v>100</v>
      </c>
    </row>
    <row r="552" spans="1:6" x14ac:dyDescent="0.2">
      <c r="A552" s="2" t="str">
        <f>"5998400308459"</f>
        <v>5998400308459</v>
      </c>
      <c r="B552" s="1" t="s">
        <v>551</v>
      </c>
      <c r="C552" s="9" t="s">
        <v>3382</v>
      </c>
      <c r="D552" s="6">
        <v>178.93</v>
      </c>
      <c r="F552">
        <v>100</v>
      </c>
    </row>
    <row r="553" spans="1:6" x14ac:dyDescent="0.2">
      <c r="A553" s="2" t="str">
        <f>"5998400309272"</f>
        <v>5998400309272</v>
      </c>
      <c r="B553" s="1" t="s">
        <v>552</v>
      </c>
      <c r="C553" s="9" t="s">
        <v>3382</v>
      </c>
      <c r="D553" s="6">
        <v>277.44</v>
      </c>
      <c r="F553">
        <v>100</v>
      </c>
    </row>
    <row r="554" spans="1:6" x14ac:dyDescent="0.2">
      <c r="A554" s="2" t="str">
        <f>"5998400309449"</f>
        <v>5998400309449</v>
      </c>
      <c r="B554" s="1" t="s">
        <v>553</v>
      </c>
      <c r="C554" s="9" t="s">
        <v>3374</v>
      </c>
      <c r="D554" s="6">
        <v>106.61</v>
      </c>
      <c r="F554">
        <v>100</v>
      </c>
    </row>
    <row r="555" spans="1:6" x14ac:dyDescent="0.2">
      <c r="A555" s="2" t="str">
        <f>"5998400308152"</f>
        <v>5998400308152</v>
      </c>
      <c r="B555" s="1" t="s">
        <v>554</v>
      </c>
      <c r="C555" s="9" t="s">
        <v>3374</v>
      </c>
      <c r="D555" s="6">
        <v>106.61</v>
      </c>
      <c r="F555">
        <v>100</v>
      </c>
    </row>
    <row r="556" spans="1:6" x14ac:dyDescent="0.2">
      <c r="A556" s="2" t="str">
        <f>"5997312706353"</f>
        <v>5997312706353</v>
      </c>
      <c r="B556" s="1" t="s">
        <v>555</v>
      </c>
      <c r="C556" s="9" t="s">
        <v>3382</v>
      </c>
      <c r="D556" s="6">
        <v>154.94</v>
      </c>
      <c r="F556">
        <v>100</v>
      </c>
    </row>
    <row r="557" spans="1:6" x14ac:dyDescent="0.2">
      <c r="A557" s="2" t="str">
        <f>"8590311103030"</f>
        <v>8590311103030</v>
      </c>
      <c r="B557" s="1" t="s">
        <v>556</v>
      </c>
      <c r="C557" s="9" t="s">
        <v>3374</v>
      </c>
      <c r="D557" s="6">
        <v>126</v>
      </c>
      <c r="F557">
        <v>100</v>
      </c>
    </row>
    <row r="558" spans="1:6" x14ac:dyDescent="0.2">
      <c r="A558" s="2" t="str">
        <f>"5999881296129"</f>
        <v>5999881296129</v>
      </c>
      <c r="B558" s="1" t="s">
        <v>557</v>
      </c>
      <c r="C558" s="9" t="s">
        <v>3391</v>
      </c>
      <c r="D558" s="6">
        <v>500.03</v>
      </c>
      <c r="F558">
        <v>100</v>
      </c>
    </row>
    <row r="559" spans="1:6" x14ac:dyDescent="0.2">
      <c r="A559" s="2" t="str">
        <f>"5999011690209"</f>
        <v>5999011690209</v>
      </c>
      <c r="B559" s="1" t="s">
        <v>558</v>
      </c>
      <c r="C559" s="9" t="s">
        <v>3376</v>
      </c>
      <c r="D559" s="6">
        <v>214.71</v>
      </c>
      <c r="F559">
        <v>100</v>
      </c>
    </row>
    <row r="560" spans="1:6" x14ac:dyDescent="0.2">
      <c r="A560" s="2" t="str">
        <f>"5997380362338"</f>
        <v>5997380362338</v>
      </c>
      <c r="B560" s="1" t="s">
        <v>559</v>
      </c>
      <c r="C560" s="9" t="s">
        <v>3376</v>
      </c>
      <c r="D560" s="6">
        <v>135.80000000000001</v>
      </c>
      <c r="F560">
        <v>100</v>
      </c>
    </row>
    <row r="561" spans="1:6" x14ac:dyDescent="0.2">
      <c r="A561" s="2" t="str">
        <f>"5997234710704"</f>
        <v>5997234710704</v>
      </c>
      <c r="B561" s="1" t="s">
        <v>560</v>
      </c>
      <c r="C561" s="9" t="s">
        <v>3376</v>
      </c>
      <c r="D561" s="6">
        <v>67.290000000000006</v>
      </c>
      <c r="F561">
        <v>100</v>
      </c>
    </row>
    <row r="562" spans="1:6" x14ac:dyDescent="0.2">
      <c r="A562" s="2" t="str">
        <f>"5998143108507"</f>
        <v>5998143108507</v>
      </c>
      <c r="B562" s="1" t="s">
        <v>561</v>
      </c>
      <c r="C562" s="9" t="s">
        <v>3376</v>
      </c>
      <c r="D562" s="6">
        <v>153.03</v>
      </c>
      <c r="F562">
        <v>100</v>
      </c>
    </row>
    <row r="563" spans="1:6" x14ac:dyDescent="0.2">
      <c r="A563" s="2" t="str">
        <f>"4011800567415"</f>
        <v>4011800567415</v>
      </c>
      <c r="B563" s="1" t="s">
        <v>562</v>
      </c>
      <c r="C563" s="9" t="s">
        <v>3382</v>
      </c>
      <c r="D563" s="6">
        <v>168</v>
      </c>
      <c r="F563">
        <v>100</v>
      </c>
    </row>
    <row r="564" spans="1:6" x14ac:dyDescent="0.2">
      <c r="A564" s="2" t="str">
        <f>"5941194002553"</f>
        <v>5941194002553</v>
      </c>
      <c r="B564" s="1" t="s">
        <v>563</v>
      </c>
      <c r="C564" s="9" t="s">
        <v>3375</v>
      </c>
      <c r="D564" s="6">
        <v>298.60000000000002</v>
      </c>
      <c r="F564">
        <v>100</v>
      </c>
    </row>
    <row r="565" spans="1:6" x14ac:dyDescent="0.2">
      <c r="A565" s="2" t="str">
        <f>"5941194001341"</f>
        <v>5941194001341</v>
      </c>
      <c r="B565" s="1" t="s">
        <v>564</v>
      </c>
      <c r="C565" s="9" t="s">
        <v>3374</v>
      </c>
      <c r="D565" s="6">
        <v>57.41</v>
      </c>
      <c r="F565">
        <v>100</v>
      </c>
    </row>
    <row r="566" spans="1:6" x14ac:dyDescent="0.2">
      <c r="A566" s="2" t="str">
        <f>"5997380351097"</f>
        <v>5997380351097</v>
      </c>
      <c r="B566" s="1" t="s">
        <v>565</v>
      </c>
      <c r="C566" s="9" t="s">
        <v>3382</v>
      </c>
      <c r="D566" s="6">
        <v>123.84</v>
      </c>
      <c r="F566">
        <v>100</v>
      </c>
    </row>
    <row r="567" spans="1:6" x14ac:dyDescent="0.2">
      <c r="A567" s="2" t="str">
        <f>"5997380350298"</f>
        <v>5997380350298</v>
      </c>
      <c r="B567" s="1" t="s">
        <v>566</v>
      </c>
      <c r="C567" s="9" t="s">
        <v>3374</v>
      </c>
      <c r="D567" s="6">
        <v>116.31</v>
      </c>
      <c r="F567">
        <v>100</v>
      </c>
    </row>
    <row r="568" spans="1:6" x14ac:dyDescent="0.2">
      <c r="A568" s="2" t="str">
        <f>"5999091300982"</f>
        <v>5999091300982</v>
      </c>
      <c r="B568" s="1" t="s">
        <v>567</v>
      </c>
      <c r="C568" s="9" t="s">
        <v>3374</v>
      </c>
      <c r="D568" s="6">
        <v>300.02</v>
      </c>
      <c r="F568">
        <v>100</v>
      </c>
    </row>
    <row r="569" spans="1:6" x14ac:dyDescent="0.2">
      <c r="A569" s="2" t="str">
        <f>"5999881237078"</f>
        <v>5999881237078</v>
      </c>
      <c r="B569" s="1" t="s">
        <v>568</v>
      </c>
      <c r="C569" s="9" t="s">
        <v>3382</v>
      </c>
      <c r="D569" s="6">
        <v>56.83</v>
      </c>
      <c r="F569">
        <v>100</v>
      </c>
    </row>
    <row r="570" spans="1:6" x14ac:dyDescent="0.2">
      <c r="A570" s="2" t="str">
        <f>"5998221503026"</f>
        <v>5998221503026</v>
      </c>
      <c r="B570" s="1" t="s">
        <v>569</v>
      </c>
      <c r="C570" s="9" t="s">
        <v>3382</v>
      </c>
      <c r="D570" s="6">
        <v>115.43</v>
      </c>
      <c r="F570">
        <v>100</v>
      </c>
    </row>
    <row r="571" spans="1:6" x14ac:dyDescent="0.2">
      <c r="A571" s="2" t="str">
        <f>"5907471440500"</f>
        <v>5907471440500</v>
      </c>
      <c r="B571" s="1" t="s">
        <v>570</v>
      </c>
      <c r="C571" s="9" t="s">
        <v>3382</v>
      </c>
      <c r="D571" s="6">
        <v>251.22</v>
      </c>
      <c r="F571">
        <v>100</v>
      </c>
    </row>
    <row r="572" spans="1:6" x14ac:dyDescent="0.2">
      <c r="A572" s="2" t="str">
        <f>"5907471404182"</f>
        <v>5907471404182</v>
      </c>
      <c r="B572" s="1" t="s">
        <v>571</v>
      </c>
      <c r="C572" s="9" t="s">
        <v>3376</v>
      </c>
      <c r="D572" s="6">
        <v>269.02</v>
      </c>
      <c r="F572">
        <v>100</v>
      </c>
    </row>
    <row r="573" spans="1:6" x14ac:dyDescent="0.2">
      <c r="A573" s="2" t="str">
        <f>"5907471408616"</f>
        <v>5907471408616</v>
      </c>
      <c r="B573" s="1" t="s">
        <v>572</v>
      </c>
      <c r="C573" s="9" t="s">
        <v>3376</v>
      </c>
      <c r="D573" s="6">
        <v>203.75</v>
      </c>
      <c r="F573">
        <v>100</v>
      </c>
    </row>
    <row r="574" spans="1:6" x14ac:dyDescent="0.2">
      <c r="A574" s="2" t="str">
        <f>"5907471430785"</f>
        <v>5907471430785</v>
      </c>
      <c r="B574" s="1" t="s">
        <v>573</v>
      </c>
      <c r="C574" s="9" t="s">
        <v>3376</v>
      </c>
      <c r="D574" s="6">
        <v>251.33</v>
      </c>
      <c r="F574">
        <v>100</v>
      </c>
    </row>
    <row r="575" spans="1:6" x14ac:dyDescent="0.2">
      <c r="A575" s="2" t="str">
        <f>"5907471402478"</f>
        <v>5907471402478</v>
      </c>
      <c r="B575" s="1" t="s">
        <v>574</v>
      </c>
      <c r="C575" s="9" t="s">
        <v>3376</v>
      </c>
      <c r="D575" s="6">
        <v>192.32</v>
      </c>
      <c r="F575">
        <v>100</v>
      </c>
    </row>
    <row r="576" spans="1:6" x14ac:dyDescent="0.2">
      <c r="A576" s="2" t="str">
        <f>"5907471430617"</f>
        <v>5907471430617</v>
      </c>
      <c r="B576" s="1" t="s">
        <v>575</v>
      </c>
      <c r="C576" s="9" t="s">
        <v>3376</v>
      </c>
      <c r="D576" s="6">
        <v>291.17</v>
      </c>
      <c r="F576">
        <v>100</v>
      </c>
    </row>
    <row r="577" spans="1:6" x14ac:dyDescent="0.2">
      <c r="A577" s="2" t="str">
        <f>"5998221504900"</f>
        <v>5998221504900</v>
      </c>
      <c r="B577" s="1" t="s">
        <v>576</v>
      </c>
      <c r="C577" s="9" t="s">
        <v>3382</v>
      </c>
      <c r="D577" s="6">
        <v>115.43</v>
      </c>
      <c r="F577">
        <v>100</v>
      </c>
    </row>
    <row r="578" spans="1:6" x14ac:dyDescent="0.2">
      <c r="A578" s="2" t="str">
        <f>"7613033019425"</f>
        <v>7613033019425</v>
      </c>
      <c r="B578" s="1" t="s">
        <v>577</v>
      </c>
      <c r="C578" s="9" t="s">
        <v>3374</v>
      </c>
      <c r="D578" s="6">
        <v>481.45</v>
      </c>
      <c r="F578">
        <v>100</v>
      </c>
    </row>
    <row r="579" spans="1:6" x14ac:dyDescent="0.2">
      <c r="A579" s="2" t="str">
        <f>"5998090150093"</f>
        <v>5998090150093</v>
      </c>
      <c r="B579" s="1" t="s">
        <v>578</v>
      </c>
      <c r="C579" s="9" t="s">
        <v>3382</v>
      </c>
      <c r="D579" s="6">
        <v>148.41999999999999</v>
      </c>
      <c r="F579">
        <v>100</v>
      </c>
    </row>
    <row r="580" spans="1:6" x14ac:dyDescent="0.2">
      <c r="A580" s="2" t="str">
        <f>"4001686519042"</f>
        <v>4001686519042</v>
      </c>
      <c r="B580" s="1" t="s">
        <v>579</v>
      </c>
      <c r="C580" s="9" t="s">
        <v>3382</v>
      </c>
      <c r="D580" s="6">
        <v>48.01</v>
      </c>
      <c r="F580">
        <v>100</v>
      </c>
    </row>
    <row r="581" spans="1:6" x14ac:dyDescent="0.2">
      <c r="A581" s="2" t="str">
        <f>"4008102483512"</f>
        <v>4008102483512</v>
      </c>
      <c r="B581" s="1" t="s">
        <v>580</v>
      </c>
      <c r="C581" s="9" t="s">
        <v>3374</v>
      </c>
      <c r="D581" s="6">
        <v>310.26</v>
      </c>
      <c r="F581">
        <v>100</v>
      </c>
    </row>
    <row r="582" spans="1:6" x14ac:dyDescent="0.2">
      <c r="A582" s="2" t="str">
        <f>"7622210937223"</f>
        <v>7622210937223</v>
      </c>
      <c r="B582" s="1" t="s">
        <v>581</v>
      </c>
      <c r="C582" s="9" t="s">
        <v>3382</v>
      </c>
      <c r="D582" s="6">
        <v>1208.6500000000001</v>
      </c>
      <c r="F582">
        <v>100</v>
      </c>
    </row>
    <row r="583" spans="1:6" x14ac:dyDescent="0.2">
      <c r="A583" s="2" t="str">
        <f>"5901016020882"</f>
        <v>5901016020882</v>
      </c>
      <c r="B583" s="1" t="s">
        <v>582</v>
      </c>
      <c r="C583" s="9" t="s">
        <v>3382</v>
      </c>
      <c r="D583" s="6">
        <v>301.22000000000003</v>
      </c>
      <c r="F583">
        <v>100</v>
      </c>
    </row>
    <row r="584" spans="1:6" x14ac:dyDescent="0.2">
      <c r="A584" s="2" t="str">
        <f>"5901016000754"</f>
        <v>5901016000754</v>
      </c>
      <c r="B584" s="1" t="s">
        <v>583</v>
      </c>
      <c r="C584" s="9" t="s">
        <v>3382</v>
      </c>
      <c r="D584" s="6">
        <v>306.24</v>
      </c>
      <c r="F584">
        <v>100</v>
      </c>
    </row>
    <row r="585" spans="1:6" x14ac:dyDescent="0.2">
      <c r="A585" s="2" t="str">
        <f>"40144245     "</f>
        <v xml:space="preserve">40144245     </v>
      </c>
      <c r="B585" s="1" t="s">
        <v>584</v>
      </c>
      <c r="C585" s="9" t="s">
        <v>3382</v>
      </c>
      <c r="D585" s="6">
        <v>95.03</v>
      </c>
      <c r="F585">
        <v>100</v>
      </c>
    </row>
    <row r="586" spans="1:6" x14ac:dyDescent="0.2">
      <c r="A586" s="2" t="str">
        <f>"3800205877325"</f>
        <v>3800205877325</v>
      </c>
      <c r="B586" s="1" t="s">
        <v>585</v>
      </c>
      <c r="C586" s="9" t="s">
        <v>3382</v>
      </c>
      <c r="D586" s="6">
        <v>147.66999999999999</v>
      </c>
      <c r="F586">
        <v>100</v>
      </c>
    </row>
    <row r="587" spans="1:6" x14ac:dyDescent="0.2">
      <c r="A587" s="2" t="str">
        <f>"7622300291785"</f>
        <v>7622300291785</v>
      </c>
      <c r="B587" s="1" t="s">
        <v>586</v>
      </c>
      <c r="C587" s="9" t="s">
        <v>3382</v>
      </c>
      <c r="D587" s="6">
        <v>219.84</v>
      </c>
      <c r="F587">
        <v>100</v>
      </c>
    </row>
    <row r="588" spans="1:6" x14ac:dyDescent="0.2">
      <c r="A588" s="2" t="str">
        <f>"4025700001962"</f>
        <v>4025700001962</v>
      </c>
      <c r="B588" s="1" t="s">
        <v>587</v>
      </c>
      <c r="C588" s="9" t="s">
        <v>3382</v>
      </c>
      <c r="D588" s="6">
        <v>219.84</v>
      </c>
      <c r="F588">
        <v>100</v>
      </c>
    </row>
    <row r="589" spans="1:6" x14ac:dyDescent="0.2">
      <c r="A589" s="2" t="str">
        <f>"3800202841435"</f>
        <v>3800202841435</v>
      </c>
      <c r="B589" s="1" t="s">
        <v>588</v>
      </c>
      <c r="C589" s="9" t="s">
        <v>3382</v>
      </c>
      <c r="D589" s="6">
        <v>101.66</v>
      </c>
      <c r="F589">
        <v>100</v>
      </c>
    </row>
    <row r="590" spans="1:6" x14ac:dyDescent="0.2">
      <c r="A590" s="2" t="str">
        <f>"8593893007437"</f>
        <v>8593893007437</v>
      </c>
      <c r="B590" s="1" t="s">
        <v>589</v>
      </c>
      <c r="C590" s="9" t="s">
        <v>3382</v>
      </c>
      <c r="D590" s="6">
        <v>60.64</v>
      </c>
      <c r="F590">
        <v>100</v>
      </c>
    </row>
    <row r="591" spans="1:6" x14ac:dyDescent="0.2">
      <c r="A591" s="2" t="str">
        <f>"7622210046048"</f>
        <v>7622210046048</v>
      </c>
      <c r="B591" s="1" t="s">
        <v>590</v>
      </c>
      <c r="C591" s="9" t="s">
        <v>3382</v>
      </c>
      <c r="D591" s="6">
        <v>145.72</v>
      </c>
      <c r="F591">
        <v>100</v>
      </c>
    </row>
    <row r="592" spans="1:6" x14ac:dyDescent="0.2">
      <c r="A592" s="2" t="str">
        <f>"7622210046321"</f>
        <v>7622210046321</v>
      </c>
      <c r="B592" s="1" t="s">
        <v>591</v>
      </c>
      <c r="C592" s="9" t="s">
        <v>3382</v>
      </c>
      <c r="D592" s="6">
        <v>136.97999999999999</v>
      </c>
      <c r="F592">
        <v>100</v>
      </c>
    </row>
    <row r="593" spans="1:6" x14ac:dyDescent="0.2">
      <c r="A593" s="2" t="str">
        <f>"8692806080076"</f>
        <v>8692806080076</v>
      </c>
      <c r="B593" s="1" t="s">
        <v>592</v>
      </c>
      <c r="C593" s="9" t="s">
        <v>3382</v>
      </c>
      <c r="D593" s="6">
        <v>91.97</v>
      </c>
      <c r="F593">
        <v>100</v>
      </c>
    </row>
    <row r="594" spans="1:6" x14ac:dyDescent="0.2">
      <c r="A594" s="2" t="str">
        <f>"5998821501040"</f>
        <v>5998821501040</v>
      </c>
      <c r="B594" s="1" t="s">
        <v>593</v>
      </c>
      <c r="C594" s="9" t="s">
        <v>3375</v>
      </c>
      <c r="D594" s="6">
        <v>177.6</v>
      </c>
      <c r="F594">
        <v>100</v>
      </c>
    </row>
    <row r="595" spans="1:6" x14ac:dyDescent="0.2">
      <c r="A595" s="2" t="str">
        <f>"7622210078988"</f>
        <v>7622210078988</v>
      </c>
      <c r="B595" s="1" t="s">
        <v>594</v>
      </c>
      <c r="C595" s="9" t="s">
        <v>3382</v>
      </c>
      <c r="D595" s="6">
        <v>290.02999999999997</v>
      </c>
      <c r="F595">
        <v>100</v>
      </c>
    </row>
    <row r="596" spans="1:6" x14ac:dyDescent="0.2">
      <c r="A596" s="2" t="str">
        <f>"7622210078971"</f>
        <v>7622210078971</v>
      </c>
      <c r="B596" s="1" t="s">
        <v>595</v>
      </c>
      <c r="C596" s="9" t="s">
        <v>3382</v>
      </c>
      <c r="D596" s="6">
        <v>593.91</v>
      </c>
      <c r="F596">
        <v>100</v>
      </c>
    </row>
    <row r="597" spans="1:6" x14ac:dyDescent="0.2">
      <c r="A597" s="2" t="str">
        <f>"5999544130685"</f>
        <v>5999544130685</v>
      </c>
      <c r="B597" s="1" t="s">
        <v>596</v>
      </c>
      <c r="C597" s="9" t="s">
        <v>3374</v>
      </c>
      <c r="D597" s="6">
        <v>236.98</v>
      </c>
      <c r="F597">
        <v>100</v>
      </c>
    </row>
    <row r="598" spans="1:6" x14ac:dyDescent="0.2">
      <c r="A598" s="2" t="str">
        <f>"5999881295504"</f>
        <v>5999881295504</v>
      </c>
      <c r="B598" s="1" t="s">
        <v>597</v>
      </c>
      <c r="C598" s="9" t="s">
        <v>3391</v>
      </c>
      <c r="D598" s="6">
        <v>500.03</v>
      </c>
      <c r="F598">
        <v>100</v>
      </c>
    </row>
    <row r="599" spans="1:6" x14ac:dyDescent="0.2">
      <c r="A599" s="2" t="str">
        <f>"3800233070125"</f>
        <v>3800233070125</v>
      </c>
      <c r="B599" s="1" t="s">
        <v>598</v>
      </c>
      <c r="C599" s="9" t="s">
        <v>3375</v>
      </c>
      <c r="D599" s="6">
        <v>171.84</v>
      </c>
      <c r="F599">
        <v>100</v>
      </c>
    </row>
    <row r="600" spans="1:6" x14ac:dyDescent="0.2">
      <c r="A600" s="2" t="str">
        <f>"7610700948644"</f>
        <v>7610700948644</v>
      </c>
      <c r="B600" s="1" t="s">
        <v>599</v>
      </c>
      <c r="C600" s="9" t="s">
        <v>3382</v>
      </c>
      <c r="D600" s="6">
        <v>240.65</v>
      </c>
      <c r="F600">
        <v>100</v>
      </c>
    </row>
    <row r="601" spans="1:6" x14ac:dyDescent="0.2">
      <c r="A601" s="2" t="str">
        <f>"7613036551519"</f>
        <v>7613036551519</v>
      </c>
      <c r="B601" s="1" t="s">
        <v>600</v>
      </c>
      <c r="C601" s="9" t="s">
        <v>3374</v>
      </c>
      <c r="D601" s="6">
        <v>214.42</v>
      </c>
      <c r="F601">
        <v>100</v>
      </c>
    </row>
    <row r="602" spans="1:6" x14ac:dyDescent="0.2">
      <c r="A602" s="2" t="str">
        <f>"5999881297706"</f>
        <v>5999881297706</v>
      </c>
      <c r="B602" s="1" t="s">
        <v>601</v>
      </c>
      <c r="C602" s="9" t="s">
        <v>3391</v>
      </c>
      <c r="D602" s="6">
        <v>500.03</v>
      </c>
      <c r="F602">
        <v>100</v>
      </c>
    </row>
    <row r="603" spans="1:6" x14ac:dyDescent="0.2">
      <c r="A603" s="2" t="str">
        <f>"5996496014377"</f>
        <v>5996496014377</v>
      </c>
      <c r="B603" s="1" t="s">
        <v>602</v>
      </c>
      <c r="C603" s="9" t="s">
        <v>3382</v>
      </c>
      <c r="D603" s="6">
        <v>211.97</v>
      </c>
      <c r="F603">
        <v>100</v>
      </c>
    </row>
    <row r="604" spans="1:6" x14ac:dyDescent="0.2">
      <c r="A604" s="2" t="str">
        <f>"7622300570316"</f>
        <v>7622300570316</v>
      </c>
      <c r="B604" s="1" t="s">
        <v>603</v>
      </c>
      <c r="C604" s="9" t="s">
        <v>3382</v>
      </c>
      <c r="D604" s="6">
        <v>177.6</v>
      </c>
      <c r="F604">
        <v>100</v>
      </c>
    </row>
    <row r="605" spans="1:6" x14ac:dyDescent="0.2">
      <c r="A605" s="2" t="str">
        <f>"8585000207465"</f>
        <v>8585000207465</v>
      </c>
      <c r="B605" s="1" t="s">
        <v>604</v>
      </c>
      <c r="C605" s="9" t="s">
        <v>3382</v>
      </c>
      <c r="D605" s="6">
        <v>129.6</v>
      </c>
      <c r="F605">
        <v>100</v>
      </c>
    </row>
    <row r="606" spans="1:6" x14ac:dyDescent="0.2">
      <c r="A606" s="2" t="str">
        <f>"8584004113581"</f>
        <v>8584004113581</v>
      </c>
      <c r="B606" s="1" t="s">
        <v>605</v>
      </c>
      <c r="C606" s="9" t="s">
        <v>3382</v>
      </c>
      <c r="D606" s="6">
        <v>217.38</v>
      </c>
      <c r="F606">
        <v>100</v>
      </c>
    </row>
    <row r="607" spans="1:6" x14ac:dyDescent="0.2">
      <c r="A607" s="2" t="str">
        <f>"4002575016253"</f>
        <v>4002575016253</v>
      </c>
      <c r="B607" s="1" t="s">
        <v>606</v>
      </c>
      <c r="C607" s="9" t="s">
        <v>3375</v>
      </c>
      <c r="D607" s="6">
        <v>268.63</v>
      </c>
      <c r="F607">
        <v>100</v>
      </c>
    </row>
    <row r="608" spans="1:6" x14ac:dyDescent="0.2">
      <c r="A608" s="2" t="str">
        <f>"5999881296341"</f>
        <v>5999881296341</v>
      </c>
      <c r="B608" s="1" t="s">
        <v>607</v>
      </c>
      <c r="C608" s="9" t="s">
        <v>3391</v>
      </c>
      <c r="D608" s="6">
        <v>520</v>
      </c>
      <c r="F608">
        <v>100</v>
      </c>
    </row>
    <row r="609" spans="1:6" x14ac:dyDescent="0.2">
      <c r="A609" s="2" t="str">
        <f>"5997148702086"</f>
        <v>5997148702086</v>
      </c>
      <c r="B609" s="1" t="s">
        <v>608</v>
      </c>
      <c r="C609" s="9" t="s">
        <v>3387</v>
      </c>
      <c r="D609" s="6">
        <v>181.54</v>
      </c>
      <c r="F609">
        <v>100</v>
      </c>
    </row>
    <row r="610" spans="1:6" x14ac:dyDescent="0.2">
      <c r="A610" s="2" t="str">
        <f>"8593894803847"</f>
        <v>8593894803847</v>
      </c>
      <c r="B610" s="1" t="s">
        <v>609</v>
      </c>
      <c r="C610" s="9" t="s">
        <v>3382</v>
      </c>
      <c r="D610" s="6">
        <v>82.75</v>
      </c>
      <c r="F610">
        <v>100</v>
      </c>
    </row>
    <row r="611" spans="1:6" x14ac:dyDescent="0.2">
      <c r="A611" s="2" t="str">
        <f>"7613036104999"</f>
        <v>7613036104999</v>
      </c>
      <c r="B611" s="1" t="s">
        <v>610</v>
      </c>
      <c r="C611" s="9" t="s">
        <v>3382</v>
      </c>
      <c r="D611" s="6">
        <v>188.7</v>
      </c>
      <c r="F611">
        <v>100</v>
      </c>
    </row>
    <row r="612" spans="1:6" x14ac:dyDescent="0.2">
      <c r="A612" s="2" t="str">
        <f>"7613036168755"</f>
        <v>7613036168755</v>
      </c>
      <c r="B612" s="1" t="s">
        <v>611</v>
      </c>
      <c r="C612" s="9" t="s">
        <v>3374</v>
      </c>
      <c r="D612" s="6">
        <v>204.37</v>
      </c>
      <c r="F612">
        <v>100</v>
      </c>
    </row>
    <row r="613" spans="1:6" x14ac:dyDescent="0.2">
      <c r="A613" s="2" t="str">
        <f>"5997204416278"</f>
        <v>5997204416278</v>
      </c>
      <c r="B613" s="1" t="s">
        <v>612</v>
      </c>
      <c r="C613" s="9" t="s">
        <v>3376</v>
      </c>
      <c r="D613" s="6">
        <v>112.78</v>
      </c>
      <c r="F613">
        <v>100</v>
      </c>
    </row>
    <row r="614" spans="1:6" x14ac:dyDescent="0.2">
      <c r="A614" s="2" t="str">
        <f>"5998400309500"</f>
        <v>5998400309500</v>
      </c>
      <c r="B614" s="1" t="s">
        <v>613</v>
      </c>
      <c r="C614" s="9" t="s">
        <v>3374</v>
      </c>
      <c r="D614" s="6">
        <v>286.14999999999998</v>
      </c>
      <c r="F614">
        <v>100</v>
      </c>
    </row>
    <row r="615" spans="1:6" x14ac:dyDescent="0.2">
      <c r="A615" s="2" t="str">
        <f>"5998400303867"</f>
        <v>5998400303867</v>
      </c>
      <c r="B615" s="1" t="s">
        <v>614</v>
      </c>
      <c r="C615" s="9" t="s">
        <v>3382</v>
      </c>
      <c r="D615" s="6">
        <v>53.35</v>
      </c>
      <c r="F615">
        <v>100</v>
      </c>
    </row>
    <row r="616" spans="1:6" x14ac:dyDescent="0.2">
      <c r="A616" s="2" t="str">
        <f>"5998400306400"</f>
        <v>5998400306400</v>
      </c>
      <c r="B616" s="1" t="s">
        <v>615</v>
      </c>
      <c r="C616" s="9" t="s">
        <v>3374</v>
      </c>
      <c r="D616" s="6">
        <v>120.21</v>
      </c>
      <c r="F616">
        <v>100</v>
      </c>
    </row>
    <row r="617" spans="1:6" x14ac:dyDescent="0.2">
      <c r="A617" s="2" t="str">
        <f>"5998400307568"</f>
        <v>5998400307568</v>
      </c>
      <c r="B617" s="1" t="s">
        <v>616</v>
      </c>
      <c r="C617" s="9" t="s">
        <v>3382</v>
      </c>
      <c r="D617" s="6">
        <v>80.47</v>
      </c>
      <c r="F617">
        <v>100</v>
      </c>
    </row>
    <row r="618" spans="1:6" x14ac:dyDescent="0.2">
      <c r="A618" s="2" t="str">
        <f>"5998400307537"</f>
        <v>5998400307537</v>
      </c>
      <c r="B618" s="1" t="s">
        <v>617</v>
      </c>
      <c r="C618" s="9" t="s">
        <v>3382</v>
      </c>
      <c r="D618" s="6">
        <v>75.930000000000007</v>
      </c>
      <c r="F618">
        <v>100</v>
      </c>
    </row>
    <row r="619" spans="1:6" x14ac:dyDescent="0.2">
      <c r="A619" s="2" t="str">
        <f>"5997312763943"</f>
        <v>5997312763943</v>
      </c>
      <c r="B619" s="1" t="s">
        <v>618</v>
      </c>
      <c r="C619" s="9" t="s">
        <v>3382</v>
      </c>
      <c r="D619" s="6">
        <v>210.03</v>
      </c>
      <c r="F619">
        <v>100</v>
      </c>
    </row>
    <row r="620" spans="1:6" x14ac:dyDescent="0.2">
      <c r="A620" s="2" t="str">
        <f>"5998221500407"</f>
        <v>5998221500407</v>
      </c>
      <c r="B620" s="1" t="s">
        <v>619</v>
      </c>
      <c r="C620" s="9" t="s">
        <v>3382</v>
      </c>
      <c r="D620" s="6">
        <v>52.79</v>
      </c>
      <c r="F620">
        <v>100</v>
      </c>
    </row>
    <row r="621" spans="1:6" x14ac:dyDescent="0.2">
      <c r="A621" s="2" t="str">
        <f>"5997142101250"</f>
        <v>5997142101250</v>
      </c>
      <c r="B621" s="1" t="s">
        <v>620</v>
      </c>
      <c r="C621" s="9" t="s">
        <v>3376</v>
      </c>
      <c r="D621" s="6">
        <v>87.57</v>
      </c>
      <c r="F621">
        <v>100</v>
      </c>
    </row>
    <row r="622" spans="1:6" x14ac:dyDescent="0.2">
      <c r="A622" s="2" t="str">
        <f>"5997380362284"</f>
        <v>5997380362284</v>
      </c>
      <c r="B622" s="1" t="s">
        <v>621</v>
      </c>
      <c r="C622" s="9" t="s">
        <v>3376</v>
      </c>
      <c r="D622" s="6">
        <v>138.71</v>
      </c>
      <c r="F622">
        <v>100</v>
      </c>
    </row>
    <row r="623" spans="1:6" x14ac:dyDescent="0.2">
      <c r="A623" s="2" t="str">
        <f>"5999563071242"</f>
        <v>5999563071242</v>
      </c>
      <c r="B623" s="1" t="s">
        <v>622</v>
      </c>
      <c r="C623" s="9" t="s">
        <v>3376</v>
      </c>
      <c r="D623" s="6">
        <v>467.08</v>
      </c>
      <c r="F623">
        <v>100</v>
      </c>
    </row>
    <row r="624" spans="1:6" x14ac:dyDescent="0.2">
      <c r="A624" s="2" t="str">
        <f>"4011800568214"</f>
        <v>4011800568214</v>
      </c>
      <c r="B624" s="1" t="s">
        <v>623</v>
      </c>
      <c r="C624" s="9" t="s">
        <v>3382</v>
      </c>
      <c r="D624" s="6">
        <v>158.38999999999999</v>
      </c>
      <c r="F624">
        <v>100</v>
      </c>
    </row>
    <row r="625" spans="1:6" x14ac:dyDescent="0.2">
      <c r="A625" s="2" t="str">
        <f>"8606106808490"</f>
        <v>8606106808490</v>
      </c>
      <c r="B625" s="1" t="s">
        <v>624</v>
      </c>
      <c r="C625" s="9" t="s">
        <v>3378</v>
      </c>
      <c r="D625" s="6">
        <v>99</v>
      </c>
      <c r="F625">
        <v>100</v>
      </c>
    </row>
    <row r="626" spans="1:6" x14ac:dyDescent="0.2">
      <c r="A626" s="2" t="str">
        <f>"8606106808513"</f>
        <v>8606106808513</v>
      </c>
      <c r="B626" s="1" t="s">
        <v>625</v>
      </c>
      <c r="C626" s="9" t="s">
        <v>3378</v>
      </c>
      <c r="D626" s="6">
        <v>99</v>
      </c>
      <c r="F626">
        <v>100</v>
      </c>
    </row>
    <row r="627" spans="1:6" x14ac:dyDescent="0.2">
      <c r="A627" s="2" t="str">
        <f>"5941194000375"</f>
        <v>5941194000375</v>
      </c>
      <c r="B627" s="1" t="s">
        <v>626</v>
      </c>
      <c r="C627" s="9" t="s">
        <v>3374</v>
      </c>
      <c r="D627" s="6">
        <v>103.48</v>
      </c>
      <c r="F627">
        <v>100</v>
      </c>
    </row>
    <row r="628" spans="1:6" x14ac:dyDescent="0.2">
      <c r="A628" s="2" t="str">
        <f>"5941194000245"</f>
        <v>5941194000245</v>
      </c>
      <c r="B628" s="1" t="s">
        <v>627</v>
      </c>
      <c r="C628" s="9" t="s">
        <v>3374</v>
      </c>
      <c r="D628" s="6">
        <v>140.63999999999999</v>
      </c>
      <c r="F628">
        <v>100</v>
      </c>
    </row>
    <row r="629" spans="1:6" x14ac:dyDescent="0.2">
      <c r="A629" s="2" t="str">
        <f>"5941194002737"</f>
        <v>5941194002737</v>
      </c>
      <c r="B629" s="1" t="s">
        <v>628</v>
      </c>
      <c r="C629" s="9" t="s">
        <v>3374</v>
      </c>
      <c r="D629" s="6">
        <v>169.75</v>
      </c>
      <c r="F629">
        <v>100</v>
      </c>
    </row>
    <row r="630" spans="1:6" x14ac:dyDescent="0.2">
      <c r="A630" s="2" t="str">
        <f>"5997380351080"</f>
        <v>5997380351080</v>
      </c>
      <c r="B630" s="1" t="s">
        <v>629</v>
      </c>
      <c r="C630" s="9" t="s">
        <v>3382</v>
      </c>
      <c r="D630" s="6">
        <v>123.84</v>
      </c>
      <c r="F630">
        <v>100</v>
      </c>
    </row>
    <row r="631" spans="1:6" x14ac:dyDescent="0.2">
      <c r="A631" s="2" t="str">
        <f>"5997380350724"</f>
        <v>5997380350724</v>
      </c>
      <c r="B631" s="1" t="s">
        <v>630</v>
      </c>
      <c r="C631" s="9" t="s">
        <v>3382</v>
      </c>
      <c r="D631" s="6">
        <v>187.2</v>
      </c>
      <c r="F631">
        <v>100</v>
      </c>
    </row>
    <row r="632" spans="1:6" x14ac:dyDescent="0.2">
      <c r="A632" s="2" t="str">
        <f>"5997380350786"</f>
        <v>5997380350786</v>
      </c>
      <c r="B632" s="1" t="s">
        <v>631</v>
      </c>
      <c r="C632" s="9" t="s">
        <v>3382</v>
      </c>
      <c r="D632" s="6">
        <v>147.52000000000001</v>
      </c>
      <c r="F632">
        <v>100</v>
      </c>
    </row>
    <row r="633" spans="1:6" x14ac:dyDescent="0.2">
      <c r="A633" s="2" t="str">
        <f>"5907471408685"</f>
        <v>5907471408685</v>
      </c>
      <c r="B633" s="1" t="s">
        <v>632</v>
      </c>
      <c r="C633" s="9" t="s">
        <v>3376</v>
      </c>
      <c r="D633" s="6">
        <v>259.91000000000003</v>
      </c>
      <c r="F633">
        <v>100</v>
      </c>
    </row>
    <row r="634" spans="1:6" x14ac:dyDescent="0.2">
      <c r="A634" s="2" t="str">
        <f>"5907471414525"</f>
        <v>5907471414525</v>
      </c>
      <c r="B634" s="1" t="s">
        <v>633</v>
      </c>
      <c r="C634" s="9" t="s">
        <v>3376</v>
      </c>
      <c r="D634" s="6">
        <v>256.32</v>
      </c>
      <c r="F634">
        <v>100</v>
      </c>
    </row>
    <row r="635" spans="1:6" x14ac:dyDescent="0.2">
      <c r="A635" s="2" t="str">
        <f>"5997381362924"</f>
        <v>5997381362924</v>
      </c>
      <c r="B635" s="1" t="s">
        <v>634</v>
      </c>
      <c r="C635" s="9" t="s">
        <v>3374</v>
      </c>
      <c r="D635" s="6">
        <v>245.34</v>
      </c>
      <c r="F635">
        <v>100</v>
      </c>
    </row>
    <row r="636" spans="1:6" x14ac:dyDescent="0.2">
      <c r="A636" s="2" t="str">
        <f>"5997381364751"</f>
        <v>5997381364751</v>
      </c>
      <c r="B636" s="1" t="s">
        <v>635</v>
      </c>
      <c r="C636" s="9" t="s">
        <v>3374</v>
      </c>
      <c r="D636" s="6">
        <v>198.93</v>
      </c>
      <c r="F636">
        <v>100</v>
      </c>
    </row>
    <row r="637" spans="1:6" x14ac:dyDescent="0.2">
      <c r="A637" s="2" t="str">
        <f>"5999881296259"</f>
        <v>5999881296259</v>
      </c>
      <c r="B637" s="1" t="s">
        <v>636</v>
      </c>
      <c r="C637" s="9" t="s">
        <v>3391</v>
      </c>
      <c r="D637" s="6">
        <v>510.02</v>
      </c>
      <c r="F637">
        <v>100</v>
      </c>
    </row>
    <row r="638" spans="1:6" x14ac:dyDescent="0.2">
      <c r="A638" s="2" t="str">
        <f>"5999883405864"</f>
        <v>5999883405864</v>
      </c>
      <c r="B638" s="1" t="s">
        <v>637</v>
      </c>
      <c r="C638" s="9" t="s">
        <v>3382</v>
      </c>
      <c r="D638" s="6">
        <v>311.33999999999997</v>
      </c>
      <c r="F638">
        <v>100</v>
      </c>
    </row>
    <row r="639" spans="1:6" x14ac:dyDescent="0.2">
      <c r="A639" s="2" t="str">
        <f>"8410376050936"</f>
        <v>8410376050936</v>
      </c>
      <c r="B639" s="1" t="s">
        <v>638</v>
      </c>
      <c r="C639" s="9" t="s">
        <v>3374</v>
      </c>
      <c r="D639" s="6">
        <v>257.05</v>
      </c>
      <c r="F639">
        <v>100</v>
      </c>
    </row>
    <row r="640" spans="1:6" x14ac:dyDescent="0.2">
      <c r="A640" s="2" t="str">
        <f>"8593894806169"</f>
        <v>8593894806169</v>
      </c>
      <c r="B640" s="1" t="s">
        <v>639</v>
      </c>
      <c r="C640" s="9" t="s">
        <v>3382</v>
      </c>
      <c r="D640" s="6">
        <v>81.99</v>
      </c>
      <c r="F640">
        <v>100</v>
      </c>
    </row>
    <row r="641" spans="1:6" x14ac:dyDescent="0.2">
      <c r="A641" s="2" t="str">
        <f>"5998711378189"</f>
        <v>5998711378189</v>
      </c>
      <c r="B641" s="1" t="s">
        <v>640</v>
      </c>
      <c r="C641" s="9" t="s">
        <v>3382</v>
      </c>
      <c r="D641" s="6">
        <v>204.91</v>
      </c>
      <c r="F641">
        <v>100</v>
      </c>
    </row>
    <row r="642" spans="1:6" x14ac:dyDescent="0.2">
      <c r="A642" s="2" t="str">
        <f>"5901414203962"</f>
        <v>5901414203962</v>
      </c>
      <c r="B642" s="1" t="s">
        <v>641</v>
      </c>
      <c r="C642" s="9" t="s">
        <v>3382</v>
      </c>
      <c r="D642" s="6">
        <v>320.55</v>
      </c>
      <c r="F642">
        <v>100</v>
      </c>
    </row>
    <row r="643" spans="1:6" x14ac:dyDescent="0.2">
      <c r="A643" s="2" t="str">
        <f>"5999881297614"</f>
        <v>5999881297614</v>
      </c>
      <c r="B643" s="1" t="s">
        <v>642</v>
      </c>
      <c r="C643" s="9" t="s">
        <v>3391</v>
      </c>
      <c r="D643" s="6">
        <v>482.61</v>
      </c>
      <c r="F643">
        <v>100</v>
      </c>
    </row>
    <row r="644" spans="1:6" x14ac:dyDescent="0.2">
      <c r="A644" s="2" t="str">
        <f>"5999881296365"</f>
        <v>5999881296365</v>
      </c>
      <c r="B644" s="1" t="s">
        <v>643</v>
      </c>
      <c r="C644" s="9" t="s">
        <v>3391</v>
      </c>
      <c r="D644" s="6">
        <v>485.99</v>
      </c>
      <c r="F644">
        <v>100</v>
      </c>
    </row>
    <row r="645" spans="1:6" x14ac:dyDescent="0.2">
      <c r="A645" s="2" t="str">
        <f>"5999881298970"</f>
        <v>5999881298970</v>
      </c>
      <c r="B645" s="1" t="s">
        <v>644</v>
      </c>
      <c r="C645" s="9" t="s">
        <v>3391</v>
      </c>
      <c r="D645" s="6">
        <v>500.03</v>
      </c>
      <c r="F645">
        <v>100</v>
      </c>
    </row>
    <row r="646" spans="1:6" x14ac:dyDescent="0.2">
      <c r="A646" s="2" t="str">
        <f>"5997359137394"</f>
        <v>5997359137394</v>
      </c>
      <c r="B646" s="1" t="s">
        <v>645</v>
      </c>
      <c r="C646" s="9" t="s">
        <v>3374</v>
      </c>
      <c r="D646" s="6">
        <v>32.869999999999997</v>
      </c>
      <c r="F646">
        <v>100</v>
      </c>
    </row>
    <row r="647" spans="1:6" x14ac:dyDescent="0.2">
      <c r="A647" s="2" t="str">
        <f>"5999881296389"</f>
        <v>5999881296389</v>
      </c>
      <c r="B647" s="1" t="s">
        <v>646</v>
      </c>
      <c r="C647" s="9" t="s">
        <v>3391</v>
      </c>
      <c r="D647" s="6">
        <v>496.44</v>
      </c>
      <c r="F647">
        <v>100</v>
      </c>
    </row>
    <row r="648" spans="1:6" x14ac:dyDescent="0.2">
      <c r="A648" s="2" t="str">
        <f>"90158100     "</f>
        <v xml:space="preserve">90158100     </v>
      </c>
      <c r="B648" s="1" t="s">
        <v>647</v>
      </c>
      <c r="C648" s="9" t="s">
        <v>3382</v>
      </c>
      <c r="D648" s="6">
        <v>73.349999999999994</v>
      </c>
      <c r="F648">
        <v>100</v>
      </c>
    </row>
    <row r="649" spans="1:6" x14ac:dyDescent="0.2">
      <c r="A649" s="2" t="str">
        <f>"3800205875208"</f>
        <v>3800205875208</v>
      </c>
      <c r="B649" s="1" t="s">
        <v>648</v>
      </c>
      <c r="C649" s="9" t="s">
        <v>3382</v>
      </c>
      <c r="D649" s="6">
        <v>153.28</v>
      </c>
      <c r="F649">
        <v>100</v>
      </c>
    </row>
    <row r="650" spans="1:6" x14ac:dyDescent="0.2">
      <c r="A650" s="2" t="str">
        <f>"3800205870517"</f>
        <v>3800205870517</v>
      </c>
      <c r="B650" s="1" t="s">
        <v>649</v>
      </c>
      <c r="C650" s="9" t="s">
        <v>3382</v>
      </c>
      <c r="D650" s="6">
        <v>146.9</v>
      </c>
      <c r="F650">
        <v>100</v>
      </c>
    </row>
    <row r="651" spans="1:6" x14ac:dyDescent="0.2">
      <c r="A651" s="2" t="str">
        <f>"3800205873358"</f>
        <v>3800205873358</v>
      </c>
      <c r="B651" s="1" t="s">
        <v>650</v>
      </c>
      <c r="C651" s="9" t="s">
        <v>3382</v>
      </c>
      <c r="D651" s="6">
        <v>143.76</v>
      </c>
      <c r="F651">
        <v>100</v>
      </c>
    </row>
    <row r="652" spans="1:6" x14ac:dyDescent="0.2">
      <c r="A652" s="2" t="str">
        <f>"3800205875307"</f>
        <v>3800205875307</v>
      </c>
      <c r="B652" s="1" t="s">
        <v>651</v>
      </c>
      <c r="C652" s="9" t="s">
        <v>3382</v>
      </c>
      <c r="D652" s="6">
        <v>158.44</v>
      </c>
      <c r="F652">
        <v>100</v>
      </c>
    </row>
    <row r="653" spans="1:6" x14ac:dyDescent="0.2">
      <c r="A653" s="2" t="str">
        <f>"7622210293381"</f>
        <v>7622210293381</v>
      </c>
      <c r="B653" s="1" t="s">
        <v>652</v>
      </c>
      <c r="C653" s="9" t="s">
        <v>3389</v>
      </c>
      <c r="D653" s="6">
        <v>0</v>
      </c>
      <c r="F653">
        <v>100</v>
      </c>
    </row>
    <row r="654" spans="1:6" x14ac:dyDescent="0.2">
      <c r="A654" s="2" t="str">
        <f>"7622210826251"</f>
        <v>7622210826251</v>
      </c>
      <c r="B654" s="1" t="s">
        <v>653</v>
      </c>
      <c r="C654" s="9" t="s">
        <v>3382</v>
      </c>
      <c r="D654" s="6">
        <v>219.84</v>
      </c>
      <c r="F654">
        <v>100</v>
      </c>
    </row>
    <row r="655" spans="1:6" x14ac:dyDescent="0.2">
      <c r="A655" s="2" t="str">
        <f>"5999565270377"</f>
        <v>5999565270377</v>
      </c>
      <c r="B655" s="1" t="s">
        <v>654</v>
      </c>
      <c r="C655" s="9" t="s">
        <v>3388</v>
      </c>
      <c r="D655" s="6">
        <v>128.99</v>
      </c>
      <c r="F655">
        <v>100</v>
      </c>
    </row>
    <row r="656" spans="1:6" x14ac:dyDescent="0.2">
      <c r="A656" s="2" t="str">
        <f>"5999881297751"</f>
        <v>5999881297751</v>
      </c>
      <c r="B656" s="1" t="s">
        <v>655</v>
      </c>
      <c r="C656" s="9" t="s">
        <v>3391</v>
      </c>
      <c r="D656" s="6">
        <v>500.03</v>
      </c>
      <c r="F656">
        <v>100</v>
      </c>
    </row>
    <row r="657" spans="1:6" x14ac:dyDescent="0.2">
      <c r="A657" s="2" t="str">
        <f>"5900020025678"</f>
        <v>5900020025678</v>
      </c>
      <c r="B657" s="1" t="s">
        <v>656</v>
      </c>
      <c r="C657" s="9" t="s">
        <v>3382</v>
      </c>
      <c r="D657" s="6">
        <v>60.94</v>
      </c>
      <c r="F657">
        <v>100</v>
      </c>
    </row>
    <row r="658" spans="1:6" x14ac:dyDescent="0.2">
      <c r="A658" s="2" t="str">
        <f>"5900020000972"</f>
        <v>5900020000972</v>
      </c>
      <c r="B658" s="1" t="s">
        <v>657</v>
      </c>
      <c r="C658" s="9" t="s">
        <v>3374</v>
      </c>
      <c r="D658" s="6">
        <v>421.94</v>
      </c>
      <c r="F658">
        <v>100</v>
      </c>
    </row>
    <row r="659" spans="1:6" x14ac:dyDescent="0.2">
      <c r="A659" s="2" t="str">
        <f>"5999881297157"</f>
        <v>5999881297157</v>
      </c>
      <c r="B659" s="1" t="s">
        <v>658</v>
      </c>
      <c r="C659" s="9" t="s">
        <v>3391</v>
      </c>
      <c r="D659" s="6">
        <v>500.03</v>
      </c>
      <c r="F659">
        <v>100</v>
      </c>
    </row>
    <row r="660" spans="1:6" x14ac:dyDescent="0.2">
      <c r="A660" s="2" t="str">
        <f>"80177173     "</f>
        <v xml:space="preserve">80177173     </v>
      </c>
      <c r="B660" s="1" t="s">
        <v>659</v>
      </c>
      <c r="C660" s="9" t="s">
        <v>3389</v>
      </c>
      <c r="D660" s="6">
        <v>610</v>
      </c>
      <c r="F660">
        <v>100</v>
      </c>
    </row>
    <row r="661" spans="1:6" x14ac:dyDescent="0.2">
      <c r="A661" s="2" t="str">
        <f>"8588000001071"</f>
        <v>8588000001071</v>
      </c>
      <c r="B661" s="1" t="s">
        <v>660</v>
      </c>
      <c r="C661" s="9" t="s">
        <v>3382</v>
      </c>
      <c r="D661" s="6">
        <v>143.04</v>
      </c>
      <c r="F661">
        <v>100</v>
      </c>
    </row>
    <row r="662" spans="1:6" x14ac:dyDescent="0.2">
      <c r="A662" s="2" t="str">
        <f>"5998221502098"</f>
        <v>5998221502098</v>
      </c>
      <c r="B662" s="1" t="s">
        <v>661</v>
      </c>
      <c r="C662" s="9" t="s">
        <v>3382</v>
      </c>
      <c r="D662" s="6">
        <v>97.92</v>
      </c>
      <c r="F662">
        <v>100</v>
      </c>
    </row>
    <row r="663" spans="1:6" x14ac:dyDescent="0.2">
      <c r="A663" s="2" t="str">
        <f>"5412514931377"</f>
        <v>5412514931377</v>
      </c>
      <c r="B663" s="1" t="s">
        <v>662</v>
      </c>
      <c r="C663" s="9" t="s">
        <v>3375</v>
      </c>
      <c r="D663" s="6">
        <v>545</v>
      </c>
      <c r="F663">
        <v>100</v>
      </c>
    </row>
    <row r="664" spans="1:6" x14ac:dyDescent="0.2">
      <c r="A664" s="2" t="str">
        <f>"5999881237047"</f>
        <v>5999881237047</v>
      </c>
      <c r="B664" s="1" t="s">
        <v>663</v>
      </c>
      <c r="C664" s="9" t="s">
        <v>3382</v>
      </c>
      <c r="D664" s="6">
        <v>52.81</v>
      </c>
      <c r="F664">
        <v>100</v>
      </c>
    </row>
    <row r="665" spans="1:6" x14ac:dyDescent="0.2">
      <c r="A665" s="2" t="str">
        <f>"7610700948637"</f>
        <v>7610700948637</v>
      </c>
      <c r="B665" s="1" t="s">
        <v>664</v>
      </c>
      <c r="C665" s="9" t="s">
        <v>3382</v>
      </c>
      <c r="D665" s="6">
        <v>243.49</v>
      </c>
      <c r="F665">
        <v>100</v>
      </c>
    </row>
    <row r="666" spans="1:6" x14ac:dyDescent="0.2">
      <c r="A666" s="2" t="str">
        <f>"5999077200015"</f>
        <v>5999077200015</v>
      </c>
      <c r="B666" s="1" t="s">
        <v>665</v>
      </c>
      <c r="C666" s="9" t="s">
        <v>3375</v>
      </c>
      <c r="D666" s="6">
        <v>93.09</v>
      </c>
      <c r="F666">
        <v>100</v>
      </c>
    </row>
    <row r="667" spans="1:6" x14ac:dyDescent="0.2">
      <c r="A667" s="2" t="str">
        <f>"5996496011307"</f>
        <v>5996496011307</v>
      </c>
      <c r="B667" s="1" t="s">
        <v>666</v>
      </c>
      <c r="C667" s="9" t="s">
        <v>3382</v>
      </c>
      <c r="D667" s="6">
        <v>210.74</v>
      </c>
      <c r="F667">
        <v>100</v>
      </c>
    </row>
    <row r="668" spans="1:6" x14ac:dyDescent="0.2">
      <c r="A668" s="2" t="str">
        <f>"8000500280188"</f>
        <v>8000500280188</v>
      </c>
      <c r="B668" s="1" t="s">
        <v>667</v>
      </c>
      <c r="C668" s="9" t="s">
        <v>3374</v>
      </c>
      <c r="D668" s="6">
        <v>140.63999999999999</v>
      </c>
      <c r="F668">
        <v>100</v>
      </c>
    </row>
    <row r="669" spans="1:6" x14ac:dyDescent="0.2">
      <c r="A669" s="2" t="str">
        <f>"80913405     "</f>
        <v xml:space="preserve">80913405     </v>
      </c>
      <c r="B669" s="1" t="s">
        <v>668</v>
      </c>
      <c r="C669" s="9" t="s">
        <v>3374</v>
      </c>
      <c r="D669" s="6">
        <v>134.87</v>
      </c>
      <c r="F669">
        <v>100</v>
      </c>
    </row>
    <row r="670" spans="1:6" x14ac:dyDescent="0.2">
      <c r="A670" s="2" t="str">
        <f>"42276616     "</f>
        <v xml:space="preserve">42276616     </v>
      </c>
      <c r="B670" s="1" t="s">
        <v>669</v>
      </c>
      <c r="C670" s="9" t="s">
        <v>3374</v>
      </c>
      <c r="D670" s="6">
        <v>134.77000000000001</v>
      </c>
      <c r="F670">
        <v>100</v>
      </c>
    </row>
    <row r="671" spans="1:6" x14ac:dyDescent="0.2">
      <c r="A671" s="2" t="str">
        <f>"5997443312478"</f>
        <v>5997443312478</v>
      </c>
      <c r="B671" s="1" t="s">
        <v>670</v>
      </c>
      <c r="C671" s="9" t="s">
        <v>3382</v>
      </c>
      <c r="D671" s="6">
        <v>213.07</v>
      </c>
      <c r="F671">
        <v>100</v>
      </c>
    </row>
    <row r="672" spans="1:6" x14ac:dyDescent="0.2">
      <c r="A672" s="2" t="str">
        <f>"8585000207441"</f>
        <v>8585000207441</v>
      </c>
      <c r="B672" s="1" t="s">
        <v>671</v>
      </c>
      <c r="C672" s="9" t="s">
        <v>3382</v>
      </c>
      <c r="D672" s="6">
        <v>130.06</v>
      </c>
      <c r="F672">
        <v>100</v>
      </c>
    </row>
    <row r="673" spans="1:6" x14ac:dyDescent="0.2">
      <c r="A673" s="2" t="str">
        <f>"5941311007515"</f>
        <v>5941311007515</v>
      </c>
      <c r="B673" s="1" t="s">
        <v>481</v>
      </c>
      <c r="C673" s="9" t="s">
        <v>3375</v>
      </c>
      <c r="D673" s="6">
        <v>235.2</v>
      </c>
      <c r="F673">
        <v>100</v>
      </c>
    </row>
    <row r="674" spans="1:6" x14ac:dyDescent="0.2">
      <c r="A674" s="2" t="str">
        <f>"8606018700493"</f>
        <v>8606018700493</v>
      </c>
      <c r="B674" s="1" t="s">
        <v>672</v>
      </c>
      <c r="C674" s="9" t="s">
        <v>3375</v>
      </c>
      <c r="D674" s="6">
        <v>158.4</v>
      </c>
      <c r="F674">
        <v>100</v>
      </c>
    </row>
    <row r="675" spans="1:6" x14ac:dyDescent="0.2">
      <c r="A675" s="2" t="str">
        <f>"5201360571208"</f>
        <v>5201360571208</v>
      </c>
      <c r="B675" s="1" t="s">
        <v>673</v>
      </c>
      <c r="C675" s="9" t="s">
        <v>3382</v>
      </c>
      <c r="D675" s="6">
        <v>100.89</v>
      </c>
      <c r="F675">
        <v>100</v>
      </c>
    </row>
    <row r="676" spans="1:6" x14ac:dyDescent="0.2">
      <c r="A676" s="2" t="str">
        <f>"5000189363069"</f>
        <v>5000189363069</v>
      </c>
      <c r="B676" s="1" t="s">
        <v>674</v>
      </c>
      <c r="C676" s="9" t="s">
        <v>3389</v>
      </c>
      <c r="D676" s="6">
        <v>0</v>
      </c>
      <c r="F676">
        <v>100</v>
      </c>
    </row>
    <row r="677" spans="1:6" x14ac:dyDescent="0.2">
      <c r="A677" s="2" t="str">
        <f>"5999881295306"</f>
        <v>5999881295306</v>
      </c>
      <c r="B677" s="1" t="s">
        <v>675</v>
      </c>
      <c r="C677" s="9" t="s">
        <v>3391</v>
      </c>
      <c r="D677" s="6">
        <v>520</v>
      </c>
      <c r="F677">
        <v>100</v>
      </c>
    </row>
    <row r="678" spans="1:6" x14ac:dyDescent="0.2">
      <c r="A678" s="2" t="str">
        <f>"7613034063946"</f>
        <v>7613034063946</v>
      </c>
      <c r="B678" s="1" t="s">
        <v>676</v>
      </c>
      <c r="C678" s="9" t="s">
        <v>3382</v>
      </c>
      <c r="D678" s="6">
        <v>82.56</v>
      </c>
      <c r="F678">
        <v>100</v>
      </c>
    </row>
    <row r="679" spans="1:6" x14ac:dyDescent="0.2">
      <c r="A679" s="2" t="str">
        <f>"4600680007731"</f>
        <v>4600680007731</v>
      </c>
      <c r="B679" s="1" t="s">
        <v>677</v>
      </c>
      <c r="C679" s="9" t="s">
        <v>3382</v>
      </c>
      <c r="D679" s="6">
        <v>85.45</v>
      </c>
      <c r="F679">
        <v>100</v>
      </c>
    </row>
    <row r="680" spans="1:6" x14ac:dyDescent="0.2">
      <c r="A680" s="2" t="str">
        <f>"7613036267540"</f>
        <v>7613036267540</v>
      </c>
      <c r="B680" s="1" t="s">
        <v>678</v>
      </c>
      <c r="C680" s="9" t="s">
        <v>3382</v>
      </c>
      <c r="D680" s="6">
        <v>81.89</v>
      </c>
      <c r="F680">
        <v>100</v>
      </c>
    </row>
    <row r="681" spans="1:6" x14ac:dyDescent="0.2">
      <c r="A681" s="2" t="str">
        <f>"5997944701689"</f>
        <v>5997944701689</v>
      </c>
      <c r="B681" s="1" t="s">
        <v>679</v>
      </c>
      <c r="C681" s="9" t="s">
        <v>3375</v>
      </c>
      <c r="D681" s="6">
        <v>200.65</v>
      </c>
      <c r="F681">
        <v>100</v>
      </c>
    </row>
    <row r="682" spans="1:6" x14ac:dyDescent="0.2">
      <c r="A682" s="2" t="str">
        <f>"8584004302404"</f>
        <v>8584004302404</v>
      </c>
      <c r="B682" s="1" t="s">
        <v>680</v>
      </c>
      <c r="C682" s="9" t="s">
        <v>3382</v>
      </c>
      <c r="D682" s="6">
        <v>79.7</v>
      </c>
      <c r="F682">
        <v>100</v>
      </c>
    </row>
    <row r="683" spans="1:6" x14ac:dyDescent="0.2">
      <c r="A683" s="2" t="str">
        <f>"5997380362260"</f>
        <v>5997380362260</v>
      </c>
      <c r="B683" s="1" t="s">
        <v>681</v>
      </c>
      <c r="C683" s="9" t="s">
        <v>3376</v>
      </c>
      <c r="D683" s="6">
        <v>136.96</v>
      </c>
      <c r="F683">
        <v>100</v>
      </c>
    </row>
    <row r="684" spans="1:6" x14ac:dyDescent="0.2">
      <c r="A684" s="2" t="str">
        <f>"5998400375543"</f>
        <v>5998400375543</v>
      </c>
      <c r="B684" s="1" t="s">
        <v>682</v>
      </c>
      <c r="C684" s="9" t="s">
        <v>3374</v>
      </c>
      <c r="D684" s="6">
        <v>285.61</v>
      </c>
      <c r="F684">
        <v>100</v>
      </c>
    </row>
    <row r="685" spans="1:6" x14ac:dyDescent="0.2">
      <c r="A685" s="2" t="str">
        <f>"5998400393851"</f>
        <v>5998400393851</v>
      </c>
      <c r="B685" s="1" t="s">
        <v>683</v>
      </c>
      <c r="C685" s="9" t="s">
        <v>3374</v>
      </c>
      <c r="D685" s="6">
        <v>283.77</v>
      </c>
      <c r="F685">
        <v>100</v>
      </c>
    </row>
    <row r="686" spans="1:6" x14ac:dyDescent="0.2">
      <c r="A686" s="2" t="str">
        <f>"5998400373969"</f>
        <v>5998400373969</v>
      </c>
      <c r="B686" s="1" t="s">
        <v>684</v>
      </c>
      <c r="C686" s="9" t="s">
        <v>3382</v>
      </c>
      <c r="D686" s="6">
        <v>279.74</v>
      </c>
      <c r="F686">
        <v>100</v>
      </c>
    </row>
    <row r="687" spans="1:6" x14ac:dyDescent="0.2">
      <c r="A687" s="2" t="str">
        <f>"5999882344034"</f>
        <v>5999882344034</v>
      </c>
      <c r="B687" s="1" t="s">
        <v>685</v>
      </c>
      <c r="C687" s="9" t="s">
        <v>3382</v>
      </c>
      <c r="D687" s="6">
        <v>52.79</v>
      </c>
      <c r="F687">
        <v>100</v>
      </c>
    </row>
    <row r="688" spans="1:6" x14ac:dyDescent="0.2">
      <c r="A688" s="2" t="str">
        <f>"5997380352346"</f>
        <v>5997380352346</v>
      </c>
      <c r="B688" s="1" t="s">
        <v>686</v>
      </c>
      <c r="C688" s="9" t="s">
        <v>3376</v>
      </c>
      <c r="D688" s="6">
        <v>346.15</v>
      </c>
      <c r="F688">
        <v>100</v>
      </c>
    </row>
    <row r="689" spans="1:6" x14ac:dyDescent="0.2">
      <c r="A689" s="2" t="str">
        <f>"5999011690216"</f>
        <v>5999011690216</v>
      </c>
      <c r="B689" s="1" t="s">
        <v>687</v>
      </c>
      <c r="C689" s="9" t="s">
        <v>3376</v>
      </c>
      <c r="D689" s="6">
        <v>442.46</v>
      </c>
      <c r="F689">
        <v>100</v>
      </c>
    </row>
    <row r="690" spans="1:6" x14ac:dyDescent="0.2">
      <c r="A690" s="2" t="str">
        <f>"5999886078010"</f>
        <v>5999886078010</v>
      </c>
      <c r="B690" s="1" t="s">
        <v>688</v>
      </c>
      <c r="C690" s="9" t="s">
        <v>3376</v>
      </c>
      <c r="D690" s="6">
        <v>161.11000000000001</v>
      </c>
      <c r="F690">
        <v>100</v>
      </c>
    </row>
    <row r="691" spans="1:6" x14ac:dyDescent="0.2">
      <c r="A691" s="2" t="str">
        <f>"5999542080302"</f>
        <v>5999542080302</v>
      </c>
      <c r="B691" s="1" t="s">
        <v>689</v>
      </c>
      <c r="C691" s="9" t="s">
        <v>3376</v>
      </c>
      <c r="D691" s="6">
        <v>137.12</v>
      </c>
      <c r="F691">
        <v>100</v>
      </c>
    </row>
    <row r="692" spans="1:6" x14ac:dyDescent="0.2">
      <c r="A692" s="2" t="str">
        <f>"5999886078430"</f>
        <v>5999886078430</v>
      </c>
      <c r="B692" s="1" t="s">
        <v>690</v>
      </c>
      <c r="C692" s="9" t="s">
        <v>3376</v>
      </c>
      <c r="D692" s="6">
        <v>134.01</v>
      </c>
      <c r="F692">
        <v>100</v>
      </c>
    </row>
    <row r="693" spans="1:6" x14ac:dyDescent="0.2">
      <c r="A693" s="2" t="str">
        <f>"5998038312453"</f>
        <v>5998038312453</v>
      </c>
      <c r="B693" s="1" t="s">
        <v>691</v>
      </c>
      <c r="C693" s="9" t="s">
        <v>3379</v>
      </c>
      <c r="D693" s="6">
        <v>121.88</v>
      </c>
      <c r="F693">
        <v>100</v>
      </c>
    </row>
    <row r="694" spans="1:6" x14ac:dyDescent="0.2">
      <c r="A694" s="2" t="str">
        <f>"5998038312422"</f>
        <v>5998038312422</v>
      </c>
      <c r="B694" s="1" t="s">
        <v>692</v>
      </c>
      <c r="C694" s="9" t="s">
        <v>3379</v>
      </c>
      <c r="D694" s="6">
        <v>120.89</v>
      </c>
      <c r="F694">
        <v>100</v>
      </c>
    </row>
    <row r="695" spans="1:6" x14ac:dyDescent="0.2">
      <c r="A695" s="2" t="str">
        <f>"4011800568412"</f>
        <v>4011800568412</v>
      </c>
      <c r="B695" s="1" t="s">
        <v>693</v>
      </c>
      <c r="C695" s="9" t="s">
        <v>3382</v>
      </c>
      <c r="D695" s="6">
        <v>168</v>
      </c>
      <c r="F695">
        <v>100</v>
      </c>
    </row>
    <row r="696" spans="1:6" x14ac:dyDescent="0.2">
      <c r="A696" s="2" t="str">
        <f>"4011800588113"</f>
        <v>4011800588113</v>
      </c>
      <c r="B696" s="1" t="s">
        <v>694</v>
      </c>
      <c r="C696" s="9" t="s">
        <v>3382</v>
      </c>
      <c r="D696" s="6">
        <v>169.27</v>
      </c>
      <c r="F696">
        <v>100</v>
      </c>
    </row>
    <row r="697" spans="1:6" x14ac:dyDescent="0.2">
      <c r="A697" s="2" t="str">
        <f>"5941194000252"</f>
        <v>5941194000252</v>
      </c>
      <c r="B697" s="1" t="s">
        <v>695</v>
      </c>
      <c r="C697" s="9" t="s">
        <v>3374</v>
      </c>
      <c r="D697" s="6">
        <v>140.05000000000001</v>
      </c>
      <c r="F697">
        <v>100</v>
      </c>
    </row>
    <row r="698" spans="1:6" x14ac:dyDescent="0.2">
      <c r="A698" s="2" t="str">
        <f>"5941194000085"</f>
        <v>5941194000085</v>
      </c>
      <c r="B698" s="1" t="s">
        <v>696</v>
      </c>
      <c r="C698" s="9" t="s">
        <v>3375</v>
      </c>
      <c r="D698" s="6">
        <v>534.33000000000004</v>
      </c>
      <c r="F698">
        <v>100</v>
      </c>
    </row>
    <row r="699" spans="1:6" x14ac:dyDescent="0.2">
      <c r="A699" s="2" t="str">
        <f>"5941194000740"</f>
        <v>5941194000740</v>
      </c>
      <c r="B699" s="1" t="s">
        <v>697</v>
      </c>
      <c r="C699" s="9" t="s">
        <v>3374</v>
      </c>
      <c r="D699" s="6">
        <v>140.63999999999999</v>
      </c>
      <c r="F699">
        <v>100</v>
      </c>
    </row>
    <row r="700" spans="1:6" x14ac:dyDescent="0.2">
      <c r="A700" s="2" t="str">
        <f>"5997380360112"</f>
        <v>5997380360112</v>
      </c>
      <c r="B700" s="1" t="s">
        <v>698</v>
      </c>
      <c r="C700" s="9" t="s">
        <v>3375</v>
      </c>
      <c r="D700" s="6">
        <v>149.06</v>
      </c>
      <c r="F700">
        <v>100</v>
      </c>
    </row>
    <row r="701" spans="1:6" x14ac:dyDescent="0.2">
      <c r="A701" s="2" t="str">
        <f>"5907471414532"</f>
        <v>5907471414532</v>
      </c>
      <c r="B701" s="1" t="s">
        <v>699</v>
      </c>
      <c r="C701" s="9" t="s">
        <v>3376</v>
      </c>
      <c r="D701" s="6">
        <v>255.11</v>
      </c>
      <c r="F701">
        <v>100</v>
      </c>
    </row>
    <row r="702" spans="1:6" x14ac:dyDescent="0.2">
      <c r="A702" s="2" t="str">
        <f>"5997380350304"</f>
        <v>5997380350304</v>
      </c>
      <c r="B702" s="1" t="s">
        <v>700</v>
      </c>
      <c r="C702" s="9" t="s">
        <v>3374</v>
      </c>
      <c r="D702" s="6">
        <v>258.63</v>
      </c>
      <c r="F702">
        <v>100</v>
      </c>
    </row>
    <row r="703" spans="1:6" x14ac:dyDescent="0.2">
      <c r="A703" s="2" t="str">
        <f>"5997380351400"</f>
        <v>5997380351400</v>
      </c>
      <c r="B703" s="1" t="s">
        <v>701</v>
      </c>
      <c r="C703" s="9" t="s">
        <v>3382</v>
      </c>
      <c r="D703" s="6">
        <v>182.32</v>
      </c>
      <c r="F703">
        <v>100</v>
      </c>
    </row>
    <row r="704" spans="1:6" x14ac:dyDescent="0.2">
      <c r="A704" s="2" t="str">
        <f>"5997380350762"</f>
        <v>5997380350762</v>
      </c>
      <c r="B704" s="1" t="s">
        <v>702</v>
      </c>
      <c r="C704" s="9" t="s">
        <v>3382</v>
      </c>
      <c r="D704" s="6">
        <v>218.25</v>
      </c>
      <c r="F704">
        <v>100</v>
      </c>
    </row>
    <row r="705" spans="1:6" x14ac:dyDescent="0.2">
      <c r="A705" s="2" t="str">
        <f>"5999091305352"</f>
        <v>5999091305352</v>
      </c>
      <c r="B705" s="1" t="s">
        <v>703</v>
      </c>
      <c r="C705" s="9" t="s">
        <v>3382</v>
      </c>
      <c r="D705" s="6">
        <v>113.28</v>
      </c>
      <c r="F705">
        <v>100</v>
      </c>
    </row>
    <row r="706" spans="1:6" x14ac:dyDescent="0.2">
      <c r="A706" s="2" t="str">
        <f>"5997381347457"</f>
        <v>5997381347457</v>
      </c>
      <c r="B706" s="1" t="s">
        <v>704</v>
      </c>
      <c r="C706" s="9" t="s">
        <v>3375</v>
      </c>
      <c r="D706" s="6">
        <v>219.85</v>
      </c>
      <c r="F706">
        <v>100</v>
      </c>
    </row>
    <row r="707" spans="1:6" x14ac:dyDescent="0.2">
      <c r="A707" s="2" t="str">
        <f>"5998221503040"</f>
        <v>5998221503040</v>
      </c>
      <c r="B707" s="1" t="s">
        <v>705</v>
      </c>
      <c r="C707" s="9" t="s">
        <v>3382</v>
      </c>
      <c r="D707" s="6">
        <v>120</v>
      </c>
      <c r="F707">
        <v>100</v>
      </c>
    </row>
    <row r="708" spans="1:6" x14ac:dyDescent="0.2">
      <c r="A708" s="2" t="str">
        <f>"5907471411999"</f>
        <v>5907471411999</v>
      </c>
      <c r="B708" s="1" t="s">
        <v>706</v>
      </c>
      <c r="C708" s="9" t="s">
        <v>3382</v>
      </c>
      <c r="D708" s="6">
        <v>242.29</v>
      </c>
      <c r="F708">
        <v>100</v>
      </c>
    </row>
    <row r="709" spans="1:6" x14ac:dyDescent="0.2">
      <c r="A709" s="2" t="str">
        <f>"5907471402485"</f>
        <v>5907471402485</v>
      </c>
      <c r="B709" s="1" t="s">
        <v>707</v>
      </c>
      <c r="C709" s="9" t="s">
        <v>3376</v>
      </c>
      <c r="D709" s="6">
        <v>182.56</v>
      </c>
      <c r="F709">
        <v>100</v>
      </c>
    </row>
    <row r="710" spans="1:6" x14ac:dyDescent="0.2">
      <c r="A710" s="2" t="str">
        <f>"5907471431225"</f>
        <v>5907471431225</v>
      </c>
      <c r="B710" s="1" t="s">
        <v>708</v>
      </c>
      <c r="C710" s="9" t="s">
        <v>3376</v>
      </c>
      <c r="D710" s="6">
        <v>288.79000000000002</v>
      </c>
      <c r="F710">
        <v>100</v>
      </c>
    </row>
    <row r="711" spans="1:6" x14ac:dyDescent="0.2">
      <c r="A711" s="2" t="str">
        <f>"5907471443402"</f>
        <v>5907471443402</v>
      </c>
      <c r="B711" s="1" t="s">
        <v>709</v>
      </c>
      <c r="C711" s="9" t="s">
        <v>3376</v>
      </c>
      <c r="D711" s="6">
        <v>252.23</v>
      </c>
      <c r="F711">
        <v>100</v>
      </c>
    </row>
    <row r="712" spans="1:6" x14ac:dyDescent="0.2">
      <c r="A712" s="2" t="str">
        <f>"5997381364744"</f>
        <v>5997381364744</v>
      </c>
      <c r="B712" s="1" t="s">
        <v>710</v>
      </c>
      <c r="C712" s="9" t="s">
        <v>3374</v>
      </c>
      <c r="D712" s="6">
        <v>210.88</v>
      </c>
      <c r="F712">
        <v>100</v>
      </c>
    </row>
    <row r="713" spans="1:6" x14ac:dyDescent="0.2">
      <c r="A713" s="2" t="str">
        <f>"5997381364737"</f>
        <v>5997381364737</v>
      </c>
      <c r="B713" s="1" t="s">
        <v>711</v>
      </c>
      <c r="C713" s="9" t="s">
        <v>3374</v>
      </c>
      <c r="D713" s="6">
        <v>209.12</v>
      </c>
      <c r="F713">
        <v>100</v>
      </c>
    </row>
    <row r="714" spans="1:6" x14ac:dyDescent="0.2">
      <c r="A714" s="2" t="str">
        <f>"5997381323604"</f>
        <v>5997381323604</v>
      </c>
      <c r="B714" s="1" t="s">
        <v>712</v>
      </c>
      <c r="C714" s="9" t="s">
        <v>3374</v>
      </c>
      <c r="D714" s="6">
        <v>318.33</v>
      </c>
      <c r="F714">
        <v>100</v>
      </c>
    </row>
    <row r="715" spans="1:6" x14ac:dyDescent="0.2">
      <c r="A715" s="2" t="str">
        <f>"5997381315241"</f>
        <v>5997381315241</v>
      </c>
      <c r="B715" s="1" t="s">
        <v>713</v>
      </c>
      <c r="C715" s="9" t="s">
        <v>3374</v>
      </c>
      <c r="D715" s="6">
        <v>89.2</v>
      </c>
      <c r="F715">
        <v>100</v>
      </c>
    </row>
    <row r="716" spans="1:6" x14ac:dyDescent="0.2">
      <c r="A716" s="2" t="str">
        <f>"5997381336574"</f>
        <v>5997381336574</v>
      </c>
      <c r="B716" s="1" t="s">
        <v>714</v>
      </c>
      <c r="C716" s="9" t="s">
        <v>3374</v>
      </c>
      <c r="D716" s="6">
        <v>183.1</v>
      </c>
      <c r="F716">
        <v>100</v>
      </c>
    </row>
    <row r="717" spans="1:6" x14ac:dyDescent="0.2">
      <c r="A717" s="2" t="str">
        <f>"5998710151806"</f>
        <v>5998710151806</v>
      </c>
      <c r="B717" s="1" t="s">
        <v>715</v>
      </c>
      <c r="C717" s="9" t="s">
        <v>3374</v>
      </c>
      <c r="D717" s="6">
        <v>145.77000000000001</v>
      </c>
      <c r="F717">
        <v>100</v>
      </c>
    </row>
    <row r="718" spans="1:6" x14ac:dyDescent="0.2">
      <c r="A718" s="2" t="str">
        <f>"5999881301632"</f>
        <v>5999881301632</v>
      </c>
      <c r="B718" s="1" t="s">
        <v>716</v>
      </c>
      <c r="C718" s="9" t="s">
        <v>3391</v>
      </c>
      <c r="D718" s="6">
        <v>500</v>
      </c>
      <c r="F718">
        <v>100</v>
      </c>
    </row>
    <row r="719" spans="1:6" x14ac:dyDescent="0.2">
      <c r="A719" s="2" t="str">
        <f>"5998090150031"</f>
        <v>5998090150031</v>
      </c>
      <c r="B719" s="1" t="s">
        <v>717</v>
      </c>
      <c r="C719" s="9" t="s">
        <v>3382</v>
      </c>
      <c r="D719" s="6">
        <v>145.19</v>
      </c>
      <c r="F719">
        <v>100</v>
      </c>
    </row>
    <row r="720" spans="1:6" x14ac:dyDescent="0.2">
      <c r="A720" s="2" t="str">
        <f>"5999884605768"</f>
        <v>5999884605768</v>
      </c>
      <c r="B720" s="1" t="s">
        <v>718</v>
      </c>
      <c r="C720" s="9" t="s">
        <v>3382</v>
      </c>
      <c r="D720" s="6">
        <v>306.3</v>
      </c>
      <c r="F720">
        <v>100</v>
      </c>
    </row>
    <row r="721" spans="1:6" x14ac:dyDescent="0.2">
      <c r="A721" s="2" t="str">
        <f>"4000522060069"</f>
        <v>4000522060069</v>
      </c>
      <c r="B721" s="1" t="s">
        <v>719</v>
      </c>
      <c r="C721" s="9" t="s">
        <v>3382</v>
      </c>
      <c r="D721" s="6">
        <v>298.02</v>
      </c>
      <c r="F721">
        <v>100</v>
      </c>
    </row>
    <row r="722" spans="1:6" x14ac:dyDescent="0.2">
      <c r="A722" s="2" t="str">
        <f>"8426617011055"</f>
        <v>8426617011055</v>
      </c>
      <c r="B722" s="1" t="s">
        <v>720</v>
      </c>
      <c r="C722" s="9" t="s">
        <v>3382</v>
      </c>
      <c r="D722" s="6">
        <v>191.05</v>
      </c>
      <c r="F722">
        <v>100</v>
      </c>
    </row>
    <row r="723" spans="1:6" x14ac:dyDescent="0.2">
      <c r="A723" s="2" t="str">
        <f>"5901414204846"</f>
        <v>5901414204846</v>
      </c>
      <c r="B723" s="1" t="s">
        <v>721</v>
      </c>
      <c r="C723" s="9" t="s">
        <v>3382</v>
      </c>
      <c r="D723" s="6">
        <v>325.44</v>
      </c>
      <c r="F723">
        <v>100</v>
      </c>
    </row>
    <row r="724" spans="1:6" x14ac:dyDescent="0.2">
      <c r="A724" s="2" t="str">
        <f>"5901414203658"</f>
        <v>5901414203658</v>
      </c>
      <c r="B724" s="1" t="s">
        <v>722</v>
      </c>
      <c r="C724" s="9" t="s">
        <v>3382</v>
      </c>
      <c r="D724" s="6">
        <v>324.08</v>
      </c>
      <c r="F724">
        <v>100</v>
      </c>
    </row>
    <row r="725" spans="1:6" x14ac:dyDescent="0.2">
      <c r="A725" s="2" t="str">
        <f>"5999881299359"</f>
        <v>5999881299359</v>
      </c>
      <c r="B725" s="1" t="s">
        <v>723</v>
      </c>
      <c r="C725" s="9" t="s">
        <v>3391</v>
      </c>
      <c r="D725" s="6">
        <v>497.47</v>
      </c>
      <c r="F725">
        <v>100</v>
      </c>
    </row>
    <row r="726" spans="1:6" x14ac:dyDescent="0.2">
      <c r="A726" s="2" t="str">
        <f>"3800061601799"</f>
        <v>3800061601799</v>
      </c>
      <c r="B726" s="1" t="s">
        <v>724</v>
      </c>
      <c r="C726" s="9" t="s">
        <v>3374</v>
      </c>
      <c r="D726" s="6">
        <v>86.33</v>
      </c>
      <c r="F726">
        <v>100</v>
      </c>
    </row>
    <row r="727" spans="1:6" x14ac:dyDescent="0.2">
      <c r="A727" s="2" t="str">
        <f>"5997380351318"</f>
        <v>5997380351318</v>
      </c>
      <c r="B727" s="1" t="s">
        <v>725</v>
      </c>
      <c r="C727" s="9" t="s">
        <v>3379</v>
      </c>
      <c r="D727" s="6">
        <v>93.45</v>
      </c>
      <c r="F727">
        <v>100</v>
      </c>
    </row>
    <row r="728" spans="1:6" x14ac:dyDescent="0.2">
      <c r="A728" s="2" t="str">
        <f>"5900259093165"</f>
        <v>5900259093165</v>
      </c>
      <c r="B728" s="1" t="s">
        <v>726</v>
      </c>
      <c r="C728" s="9" t="s">
        <v>3382</v>
      </c>
      <c r="D728" s="6">
        <v>191.05</v>
      </c>
      <c r="F728">
        <v>100</v>
      </c>
    </row>
    <row r="729" spans="1:6" x14ac:dyDescent="0.2">
      <c r="A729" s="2" t="str">
        <f>"5941047833303"</f>
        <v>5941047833303</v>
      </c>
      <c r="B729" s="1" t="s">
        <v>727</v>
      </c>
      <c r="C729" s="9" t="s">
        <v>3388</v>
      </c>
      <c r="D729" s="6">
        <v>68.989999999999995</v>
      </c>
      <c r="F729">
        <v>100</v>
      </c>
    </row>
    <row r="730" spans="1:6" x14ac:dyDescent="0.2">
      <c r="A730" s="2" t="str">
        <f>"7622210594785"</f>
        <v>7622210594785</v>
      </c>
      <c r="B730" s="1" t="s">
        <v>728</v>
      </c>
      <c r="C730" s="9" t="s">
        <v>3382</v>
      </c>
      <c r="D730" s="6">
        <v>584.64</v>
      </c>
      <c r="F730">
        <v>100</v>
      </c>
    </row>
    <row r="731" spans="1:6" x14ac:dyDescent="0.2">
      <c r="A731" s="2" t="str">
        <f>"7622210597342"</f>
        <v>7622210597342</v>
      </c>
      <c r="B731" s="1" t="s">
        <v>729</v>
      </c>
      <c r="C731" s="9" t="s">
        <v>3382</v>
      </c>
      <c r="D731" s="6">
        <v>555.84</v>
      </c>
      <c r="F731">
        <v>100</v>
      </c>
    </row>
    <row r="732" spans="1:6" x14ac:dyDescent="0.2">
      <c r="A732" s="2" t="str">
        <f>"5999565270407"</f>
        <v>5999565270407</v>
      </c>
      <c r="B732" s="1" t="s">
        <v>730</v>
      </c>
      <c r="C732" s="9" t="s">
        <v>3388</v>
      </c>
      <c r="D732" s="6">
        <v>127.1</v>
      </c>
      <c r="F732">
        <v>100</v>
      </c>
    </row>
    <row r="733" spans="1:6" x14ac:dyDescent="0.2">
      <c r="A733" s="2" t="str">
        <f>"5997347543909"</f>
        <v>5997347543909</v>
      </c>
      <c r="B733" s="1" t="s">
        <v>731</v>
      </c>
      <c r="C733" s="9" t="s">
        <v>3382</v>
      </c>
      <c r="D733" s="6">
        <v>101.51</v>
      </c>
      <c r="F733">
        <v>100</v>
      </c>
    </row>
    <row r="734" spans="1:6" x14ac:dyDescent="0.2">
      <c r="A734" s="2" t="str">
        <f>"5997347541912"</f>
        <v>5997347541912</v>
      </c>
      <c r="B734" s="1" t="s">
        <v>732</v>
      </c>
      <c r="C734" s="9" t="s">
        <v>3382</v>
      </c>
      <c r="D734" s="6">
        <v>98.06</v>
      </c>
      <c r="F734">
        <v>100</v>
      </c>
    </row>
    <row r="735" spans="1:6" x14ac:dyDescent="0.2">
      <c r="A735" s="2" t="str">
        <f>"8593893007468"</f>
        <v>8593893007468</v>
      </c>
      <c r="B735" s="1" t="s">
        <v>733</v>
      </c>
      <c r="C735" s="9" t="s">
        <v>3382</v>
      </c>
      <c r="D735" s="6">
        <v>60.5</v>
      </c>
      <c r="F735">
        <v>100</v>
      </c>
    </row>
    <row r="736" spans="1:6" x14ac:dyDescent="0.2">
      <c r="A736" s="2" t="str">
        <f>"5900020027542"</f>
        <v>5900020027542</v>
      </c>
      <c r="B736" s="1" t="s">
        <v>734</v>
      </c>
      <c r="C736" s="9" t="s">
        <v>3374</v>
      </c>
      <c r="D736" s="6">
        <v>389.23</v>
      </c>
      <c r="F736">
        <v>100</v>
      </c>
    </row>
    <row r="737" spans="1:6" x14ac:dyDescent="0.2">
      <c r="A737" s="2" t="str">
        <f>"5900020025159"</f>
        <v>5900020025159</v>
      </c>
      <c r="B737" s="1" t="s">
        <v>735</v>
      </c>
      <c r="C737" s="9" t="s">
        <v>3382</v>
      </c>
      <c r="D737" s="6">
        <v>60.48</v>
      </c>
      <c r="F737">
        <v>100</v>
      </c>
    </row>
    <row r="738" spans="1:6" x14ac:dyDescent="0.2">
      <c r="A738" s="2" t="str">
        <f>"5900020027283"</f>
        <v>5900020027283</v>
      </c>
      <c r="B738" s="1" t="s">
        <v>736</v>
      </c>
      <c r="C738" s="9" t="s">
        <v>3374</v>
      </c>
      <c r="D738" s="6">
        <v>396.9</v>
      </c>
      <c r="F738">
        <v>100</v>
      </c>
    </row>
    <row r="739" spans="1:6" x14ac:dyDescent="0.2">
      <c r="A739" s="2" t="str">
        <f>"7613033585005"</f>
        <v>7613033585005</v>
      </c>
      <c r="B739" s="1" t="s">
        <v>737</v>
      </c>
      <c r="C739" s="9" t="s">
        <v>3376</v>
      </c>
      <c r="D739" s="6">
        <v>171.97</v>
      </c>
      <c r="F739">
        <v>100</v>
      </c>
    </row>
    <row r="740" spans="1:6" x14ac:dyDescent="0.2">
      <c r="A740" s="2" t="str">
        <f>"5412514931117"</f>
        <v>5412514931117</v>
      </c>
      <c r="B740" s="1" t="s">
        <v>738</v>
      </c>
      <c r="C740" s="9" t="s">
        <v>3375</v>
      </c>
      <c r="D740" s="6">
        <v>525.76</v>
      </c>
      <c r="F740">
        <v>100</v>
      </c>
    </row>
    <row r="741" spans="1:6" x14ac:dyDescent="0.2">
      <c r="A741" s="2" t="str">
        <f>"5412514932350"</f>
        <v>5412514932350</v>
      </c>
      <c r="B741" s="1" t="s">
        <v>739</v>
      </c>
      <c r="C741" s="9" t="s">
        <v>3375</v>
      </c>
      <c r="D741" s="6">
        <v>549.16999999999996</v>
      </c>
      <c r="F741">
        <v>100</v>
      </c>
    </row>
    <row r="742" spans="1:6" x14ac:dyDescent="0.2">
      <c r="A742" s="2" t="str">
        <f>"80177043     "</f>
        <v xml:space="preserve">80177043     </v>
      </c>
      <c r="B742" s="1" t="s">
        <v>740</v>
      </c>
      <c r="C742" s="9" t="s">
        <v>3389</v>
      </c>
      <c r="D742" s="6">
        <v>280</v>
      </c>
      <c r="F742">
        <v>100</v>
      </c>
    </row>
    <row r="743" spans="1:6" x14ac:dyDescent="0.2">
      <c r="A743" s="2" t="str">
        <f>"3800233071702"</f>
        <v>3800233071702</v>
      </c>
      <c r="B743" s="1" t="s">
        <v>741</v>
      </c>
      <c r="C743" s="9" t="s">
        <v>3382</v>
      </c>
      <c r="D743" s="6">
        <v>200.8</v>
      </c>
      <c r="F743">
        <v>100</v>
      </c>
    </row>
    <row r="744" spans="1:6" x14ac:dyDescent="0.2">
      <c r="A744" s="2" t="str">
        <f>"85945258     "</f>
        <v xml:space="preserve">85945258     </v>
      </c>
      <c r="B744" s="1" t="s">
        <v>742</v>
      </c>
      <c r="C744" s="9" t="s">
        <v>3378</v>
      </c>
      <c r="D744" s="6">
        <v>59.99</v>
      </c>
      <c r="F744">
        <v>100</v>
      </c>
    </row>
    <row r="745" spans="1:6" x14ac:dyDescent="0.2">
      <c r="A745" s="2" t="str">
        <f>"5999566500633"</f>
        <v>5999566500633</v>
      </c>
      <c r="B745" s="1" t="s">
        <v>743</v>
      </c>
      <c r="C745" s="9" t="s">
        <v>3382</v>
      </c>
      <c r="D745" s="6">
        <v>575.04</v>
      </c>
      <c r="F745">
        <v>100</v>
      </c>
    </row>
    <row r="746" spans="1:6" x14ac:dyDescent="0.2">
      <c r="A746" s="2" t="str">
        <f>"8586000922839"</f>
        <v>8586000922839</v>
      </c>
      <c r="B746" s="1" t="s">
        <v>744</v>
      </c>
      <c r="C746" s="9" t="s">
        <v>3374</v>
      </c>
      <c r="D746" s="6">
        <v>218.25</v>
      </c>
      <c r="F746">
        <v>100</v>
      </c>
    </row>
    <row r="747" spans="1:6" x14ac:dyDescent="0.2">
      <c r="A747" s="2" t="str">
        <f>"5997443313925"</f>
        <v>5997443313925</v>
      </c>
      <c r="B747" s="1" t="s">
        <v>745</v>
      </c>
      <c r="C747" s="9" t="s">
        <v>3375</v>
      </c>
      <c r="D747" s="6">
        <v>277.33999999999997</v>
      </c>
      <c r="F747">
        <v>100</v>
      </c>
    </row>
    <row r="748" spans="1:6" x14ac:dyDescent="0.2">
      <c r="A748" s="2" t="str">
        <f>"5997443313918"</f>
        <v>5997443313918</v>
      </c>
      <c r="B748" s="1" t="s">
        <v>746</v>
      </c>
      <c r="C748" s="9" t="s">
        <v>3375</v>
      </c>
      <c r="D748" s="6">
        <v>275.68</v>
      </c>
      <c r="F748">
        <v>100</v>
      </c>
    </row>
    <row r="749" spans="1:6" x14ac:dyDescent="0.2">
      <c r="A749" s="2" t="str">
        <f>"5997443311679"</f>
        <v>5997443311679</v>
      </c>
      <c r="B749" s="1" t="s">
        <v>747</v>
      </c>
      <c r="C749" s="9" t="s">
        <v>3382</v>
      </c>
      <c r="D749" s="6">
        <v>206.12</v>
      </c>
      <c r="F749">
        <v>100</v>
      </c>
    </row>
    <row r="750" spans="1:6" x14ac:dyDescent="0.2">
      <c r="A750" s="2" t="str">
        <f>"5997443312546"</f>
        <v>5997443312546</v>
      </c>
      <c r="B750" s="1" t="s">
        <v>748</v>
      </c>
      <c r="C750" s="9" t="s">
        <v>3375</v>
      </c>
      <c r="D750" s="6">
        <v>181.09</v>
      </c>
      <c r="F750">
        <v>100</v>
      </c>
    </row>
    <row r="751" spans="1:6" x14ac:dyDescent="0.2">
      <c r="A751" s="2" t="str">
        <f>"5941311002237"</f>
        <v>5941311002237</v>
      </c>
      <c r="B751" s="1" t="s">
        <v>749</v>
      </c>
      <c r="C751" s="9" t="s">
        <v>3374</v>
      </c>
      <c r="D751" s="6">
        <v>224.25</v>
      </c>
      <c r="F751">
        <v>100</v>
      </c>
    </row>
    <row r="752" spans="1:6" x14ac:dyDescent="0.2">
      <c r="A752" s="2" t="str">
        <f>"8606018700479"</f>
        <v>8606018700479</v>
      </c>
      <c r="B752" s="1" t="s">
        <v>672</v>
      </c>
      <c r="C752" s="9" t="s">
        <v>3375</v>
      </c>
      <c r="D752" s="6">
        <v>158.4</v>
      </c>
      <c r="F752">
        <v>100</v>
      </c>
    </row>
    <row r="753" spans="1:6" x14ac:dyDescent="0.2">
      <c r="A753" s="2" t="str">
        <f>"5999881295894"</f>
        <v>5999881295894</v>
      </c>
      <c r="B753" s="1" t="s">
        <v>750</v>
      </c>
      <c r="C753" s="9" t="s">
        <v>3391</v>
      </c>
      <c r="D753" s="6">
        <v>520</v>
      </c>
      <c r="F753">
        <v>100</v>
      </c>
    </row>
    <row r="754" spans="1:6" x14ac:dyDescent="0.2">
      <c r="A754" s="2" t="str">
        <f>"5997347544173"</f>
        <v>5997347544173</v>
      </c>
      <c r="B754" s="1" t="s">
        <v>751</v>
      </c>
      <c r="C754" s="9" t="s">
        <v>3382</v>
      </c>
      <c r="D754" s="6">
        <v>210.24</v>
      </c>
      <c r="F754">
        <v>100</v>
      </c>
    </row>
    <row r="755" spans="1:6" x14ac:dyDescent="0.2">
      <c r="A755" s="2" t="str">
        <f>"5997347542766"</f>
        <v>5997347542766</v>
      </c>
      <c r="B755" s="1" t="s">
        <v>752</v>
      </c>
      <c r="C755" s="9" t="s">
        <v>3382</v>
      </c>
      <c r="D755" s="6">
        <v>411.61</v>
      </c>
      <c r="F755">
        <v>100</v>
      </c>
    </row>
    <row r="756" spans="1:6" x14ac:dyDescent="0.2">
      <c r="A756" s="2" t="str">
        <f>"5997347541974"</f>
        <v>5997347541974</v>
      </c>
      <c r="B756" s="1" t="s">
        <v>753</v>
      </c>
      <c r="C756" s="9" t="s">
        <v>3382</v>
      </c>
      <c r="D756" s="6">
        <v>143.02000000000001</v>
      </c>
      <c r="F756">
        <v>100</v>
      </c>
    </row>
    <row r="757" spans="1:6" x14ac:dyDescent="0.2">
      <c r="A757" s="2" t="str">
        <f>"5997347544166"</f>
        <v>5997347544166</v>
      </c>
      <c r="B757" s="1" t="s">
        <v>754</v>
      </c>
      <c r="C757" s="9" t="s">
        <v>3382</v>
      </c>
      <c r="D757" s="6">
        <v>210.24</v>
      </c>
      <c r="F757">
        <v>100</v>
      </c>
    </row>
    <row r="758" spans="1:6" x14ac:dyDescent="0.2">
      <c r="A758" s="2" t="str">
        <f>"5997347542902"</f>
        <v>5997347542902</v>
      </c>
      <c r="B758" s="1" t="s">
        <v>755</v>
      </c>
      <c r="C758" s="9" t="s">
        <v>3382</v>
      </c>
      <c r="D758" s="6">
        <v>143.04</v>
      </c>
      <c r="F758">
        <v>100</v>
      </c>
    </row>
    <row r="759" spans="1:6" x14ac:dyDescent="0.2">
      <c r="A759" s="2" t="str">
        <f>"5997347541967"</f>
        <v>5997347541967</v>
      </c>
      <c r="B759" s="1" t="s">
        <v>756</v>
      </c>
      <c r="C759" s="9" t="s">
        <v>3382</v>
      </c>
      <c r="D759" s="6">
        <v>248.64</v>
      </c>
      <c r="F759">
        <v>100</v>
      </c>
    </row>
    <row r="760" spans="1:6" x14ac:dyDescent="0.2">
      <c r="A760" s="2" t="str">
        <f>"5997473544047"</f>
        <v>5997473544047</v>
      </c>
      <c r="B760" s="1" t="s">
        <v>757</v>
      </c>
      <c r="C760" s="9" t="s">
        <v>3382</v>
      </c>
      <c r="D760" s="6">
        <v>100.8</v>
      </c>
      <c r="F760">
        <v>100</v>
      </c>
    </row>
    <row r="761" spans="1:6" x14ac:dyDescent="0.2">
      <c r="A761" s="2" t="str">
        <f>"5997473544023"</f>
        <v>5997473544023</v>
      </c>
      <c r="B761" s="1" t="s">
        <v>758</v>
      </c>
      <c r="C761" s="9" t="s">
        <v>3382</v>
      </c>
      <c r="D761" s="6">
        <v>100.8</v>
      </c>
      <c r="F761">
        <v>100</v>
      </c>
    </row>
    <row r="762" spans="1:6" x14ac:dyDescent="0.2">
      <c r="A762" s="2" t="str">
        <f>"5997347544395"</f>
        <v>5997347544395</v>
      </c>
      <c r="B762" s="1" t="s">
        <v>759</v>
      </c>
      <c r="C762" s="9" t="s">
        <v>3382</v>
      </c>
      <c r="D762" s="6">
        <v>148.85</v>
      </c>
      <c r="F762">
        <v>100</v>
      </c>
    </row>
    <row r="763" spans="1:6" x14ac:dyDescent="0.2">
      <c r="A763" s="2" t="str">
        <f>"5997347542773"</f>
        <v>5997347542773</v>
      </c>
      <c r="B763" s="1" t="s">
        <v>760</v>
      </c>
      <c r="C763" s="9" t="s">
        <v>3382</v>
      </c>
      <c r="D763" s="6">
        <v>412.8</v>
      </c>
      <c r="F763">
        <v>100</v>
      </c>
    </row>
    <row r="764" spans="1:6" x14ac:dyDescent="0.2">
      <c r="A764" s="2" t="str">
        <f>"5997473544030"</f>
        <v>5997473544030</v>
      </c>
      <c r="B764" s="1" t="s">
        <v>761</v>
      </c>
      <c r="C764" s="9" t="s">
        <v>3382</v>
      </c>
      <c r="D764" s="6">
        <v>100.79</v>
      </c>
      <c r="F764">
        <v>100</v>
      </c>
    </row>
    <row r="765" spans="1:6" x14ac:dyDescent="0.2">
      <c r="A765" s="2" t="str">
        <f>"5997347542889"</f>
        <v>5997347542889</v>
      </c>
      <c r="B765" s="1" t="s">
        <v>762</v>
      </c>
      <c r="C765" s="9" t="s">
        <v>3382</v>
      </c>
      <c r="D765" s="6">
        <v>142.99</v>
      </c>
      <c r="F765">
        <v>100</v>
      </c>
    </row>
    <row r="766" spans="1:6" x14ac:dyDescent="0.2">
      <c r="A766" s="2" t="str">
        <f>"5997347555575"</f>
        <v>5997347555575</v>
      </c>
      <c r="B766" s="1" t="s">
        <v>763</v>
      </c>
      <c r="C766" s="9" t="s">
        <v>3382</v>
      </c>
      <c r="D766" s="6">
        <v>168</v>
      </c>
      <c r="F766">
        <v>100</v>
      </c>
    </row>
    <row r="767" spans="1:6" x14ac:dyDescent="0.2">
      <c r="A767" s="2" t="str">
        <f>"5997347542759"</f>
        <v>5997347542759</v>
      </c>
      <c r="B767" s="1" t="s">
        <v>764</v>
      </c>
      <c r="C767" s="9" t="s">
        <v>3382</v>
      </c>
      <c r="D767" s="6">
        <v>411.84</v>
      </c>
      <c r="F767">
        <v>100</v>
      </c>
    </row>
    <row r="768" spans="1:6" x14ac:dyDescent="0.2">
      <c r="A768" s="2" t="str">
        <f>"5997347541981"</f>
        <v>5997347541981</v>
      </c>
      <c r="B768" s="1" t="s">
        <v>765</v>
      </c>
      <c r="C768" s="9" t="s">
        <v>3382</v>
      </c>
      <c r="D768" s="6">
        <v>248.64</v>
      </c>
      <c r="F768">
        <v>100</v>
      </c>
    </row>
    <row r="769" spans="1:6" x14ac:dyDescent="0.2">
      <c r="A769" s="2" t="str">
        <f>"5997347543886"</f>
        <v>5997347543886</v>
      </c>
      <c r="B769" s="1" t="s">
        <v>766</v>
      </c>
      <c r="C769" s="9" t="s">
        <v>3382</v>
      </c>
      <c r="D769" s="6">
        <v>101.76</v>
      </c>
      <c r="F769">
        <v>100</v>
      </c>
    </row>
    <row r="770" spans="1:6" x14ac:dyDescent="0.2">
      <c r="A770" s="2" t="str">
        <f>"5997347555599"</f>
        <v>5997347555599</v>
      </c>
      <c r="B770" s="1" t="s">
        <v>767</v>
      </c>
      <c r="C770" s="9" t="s">
        <v>3382</v>
      </c>
      <c r="D770" s="6">
        <v>133.44</v>
      </c>
      <c r="F770">
        <v>100</v>
      </c>
    </row>
    <row r="771" spans="1:6" x14ac:dyDescent="0.2">
      <c r="A771" s="2" t="str">
        <f>"5997347542926"</f>
        <v>5997347542926</v>
      </c>
      <c r="B771" s="1" t="s">
        <v>768</v>
      </c>
      <c r="C771" s="9" t="s">
        <v>3382</v>
      </c>
      <c r="D771" s="6">
        <v>142.94999999999999</v>
      </c>
      <c r="F771">
        <v>100</v>
      </c>
    </row>
    <row r="772" spans="1:6" x14ac:dyDescent="0.2">
      <c r="A772" s="2" t="str">
        <f>"5997347541301"</f>
        <v>5997347541301</v>
      </c>
      <c r="B772" s="1" t="s">
        <v>769</v>
      </c>
      <c r="C772" s="9" t="s">
        <v>3382</v>
      </c>
      <c r="D772" s="6">
        <v>143.05000000000001</v>
      </c>
      <c r="F772">
        <v>100</v>
      </c>
    </row>
    <row r="773" spans="1:6" x14ac:dyDescent="0.2">
      <c r="A773" s="2" t="str">
        <f>"5997347541295"</f>
        <v>5997347541295</v>
      </c>
      <c r="B773" s="1" t="s">
        <v>770</v>
      </c>
      <c r="C773" s="9" t="s">
        <v>3382</v>
      </c>
      <c r="D773" s="6">
        <v>142.97</v>
      </c>
      <c r="F773">
        <v>100</v>
      </c>
    </row>
    <row r="774" spans="1:6" x14ac:dyDescent="0.2">
      <c r="A774" s="2" t="str">
        <f>"5997347566663"</f>
        <v>5997347566663</v>
      </c>
      <c r="B774" s="1" t="s">
        <v>771</v>
      </c>
      <c r="C774" s="9" t="s">
        <v>3382</v>
      </c>
      <c r="D774" s="6">
        <v>229.59</v>
      </c>
      <c r="F774">
        <v>100</v>
      </c>
    </row>
    <row r="775" spans="1:6" x14ac:dyDescent="0.2">
      <c r="A775" s="2" t="str">
        <f>"50173822     "</f>
        <v xml:space="preserve">50173822     </v>
      </c>
      <c r="B775" s="1" t="s">
        <v>772</v>
      </c>
      <c r="C775" s="9" t="s">
        <v>3374</v>
      </c>
      <c r="D775" s="6">
        <v>105.74</v>
      </c>
      <c r="F775">
        <v>100</v>
      </c>
    </row>
    <row r="776" spans="1:6" x14ac:dyDescent="0.2">
      <c r="A776" s="2" t="str">
        <f>"42113669     "</f>
        <v xml:space="preserve">42113669     </v>
      </c>
      <c r="B776" s="1" t="s">
        <v>773</v>
      </c>
      <c r="C776" s="9" t="s">
        <v>3374</v>
      </c>
      <c r="D776" s="6">
        <v>105.74</v>
      </c>
      <c r="F776">
        <v>100</v>
      </c>
    </row>
    <row r="777" spans="1:6" x14ac:dyDescent="0.2">
      <c r="A777" s="2" t="str">
        <f>"42070351     "</f>
        <v xml:space="preserve">42070351     </v>
      </c>
      <c r="B777" s="1" t="s">
        <v>774</v>
      </c>
      <c r="C777" s="9" t="s">
        <v>3382</v>
      </c>
      <c r="D777" s="6">
        <v>105.6</v>
      </c>
      <c r="F777">
        <v>100</v>
      </c>
    </row>
    <row r="778" spans="1:6" x14ac:dyDescent="0.2">
      <c r="A778" s="2" t="str">
        <f>"87311396     "</f>
        <v xml:space="preserve">87311396     </v>
      </c>
      <c r="B778" s="1" t="s">
        <v>775</v>
      </c>
      <c r="C778" s="9" t="s">
        <v>3374</v>
      </c>
      <c r="D778" s="6">
        <v>111.54</v>
      </c>
      <c r="F778">
        <v>100</v>
      </c>
    </row>
    <row r="779" spans="1:6" x14ac:dyDescent="0.2">
      <c r="A779" s="2" t="str">
        <f>"50173167     "</f>
        <v xml:space="preserve">50173167     </v>
      </c>
      <c r="B779" s="1" t="s">
        <v>776</v>
      </c>
      <c r="C779" s="9" t="s">
        <v>3374</v>
      </c>
      <c r="D779" s="6">
        <v>121.26</v>
      </c>
      <c r="F779">
        <v>100</v>
      </c>
    </row>
    <row r="780" spans="1:6" x14ac:dyDescent="0.2">
      <c r="A780" s="2" t="str">
        <f>"50173976     "</f>
        <v xml:space="preserve">50173976     </v>
      </c>
      <c r="B780" s="1" t="s">
        <v>777</v>
      </c>
      <c r="C780" s="9" t="s">
        <v>3374</v>
      </c>
      <c r="D780" s="6">
        <v>105.74</v>
      </c>
      <c r="F780">
        <v>100</v>
      </c>
    </row>
    <row r="781" spans="1:6" x14ac:dyDescent="0.2">
      <c r="A781" s="2" t="str">
        <f>"42247371     "</f>
        <v xml:space="preserve">42247371     </v>
      </c>
      <c r="B781" s="1" t="s">
        <v>778</v>
      </c>
      <c r="C781" s="9" t="s">
        <v>3374</v>
      </c>
      <c r="D781" s="6">
        <v>105.74</v>
      </c>
      <c r="F781">
        <v>100</v>
      </c>
    </row>
    <row r="782" spans="1:6" x14ac:dyDescent="0.2">
      <c r="A782" s="2" t="str">
        <f>"42189633     "</f>
        <v xml:space="preserve">42189633     </v>
      </c>
      <c r="B782" s="1" t="s">
        <v>779</v>
      </c>
      <c r="C782" s="9" t="s">
        <v>3375</v>
      </c>
      <c r="D782" s="6">
        <v>114.24</v>
      </c>
      <c r="F782">
        <v>100</v>
      </c>
    </row>
    <row r="783" spans="1:6" x14ac:dyDescent="0.2">
      <c r="A783" s="2" t="str">
        <f>"42070047     "</f>
        <v xml:space="preserve">42070047     </v>
      </c>
      <c r="B783" s="1" t="s">
        <v>780</v>
      </c>
      <c r="C783" s="9" t="s">
        <v>3374</v>
      </c>
      <c r="D783" s="6">
        <v>121.26</v>
      </c>
      <c r="F783">
        <v>100</v>
      </c>
    </row>
    <row r="784" spans="1:6" x14ac:dyDescent="0.2">
      <c r="A784" s="2" t="str">
        <f>"42101925     "</f>
        <v xml:space="preserve">42101925     </v>
      </c>
      <c r="B784" s="1" t="s">
        <v>781</v>
      </c>
      <c r="C784" s="9" t="s">
        <v>3374</v>
      </c>
      <c r="D784" s="6">
        <v>121.26</v>
      </c>
      <c r="F784">
        <v>100</v>
      </c>
    </row>
    <row r="785" spans="1:6" x14ac:dyDescent="0.2">
      <c r="A785" s="2" t="str">
        <f>"50173204     "</f>
        <v xml:space="preserve">50173204     </v>
      </c>
      <c r="B785" s="1" t="s">
        <v>782</v>
      </c>
      <c r="C785" s="9" t="s">
        <v>3374</v>
      </c>
      <c r="D785" s="6">
        <v>105.74</v>
      </c>
      <c r="F785">
        <v>100</v>
      </c>
    </row>
    <row r="786" spans="1:6" x14ac:dyDescent="0.2">
      <c r="A786" s="2" t="str">
        <f>"42102120     "</f>
        <v xml:space="preserve">42102120     </v>
      </c>
      <c r="B786" s="1" t="s">
        <v>783</v>
      </c>
      <c r="C786" s="9" t="s">
        <v>3374</v>
      </c>
      <c r="D786" s="6">
        <v>121.11</v>
      </c>
      <c r="F786">
        <v>100</v>
      </c>
    </row>
    <row r="787" spans="1:6" x14ac:dyDescent="0.2">
      <c r="A787" s="2" t="str">
        <f>"87333442     "</f>
        <v xml:space="preserve">87333442     </v>
      </c>
      <c r="B787" s="1" t="s">
        <v>784</v>
      </c>
      <c r="C787" s="9" t="s">
        <v>3375</v>
      </c>
      <c r="D787" s="6">
        <v>102.72</v>
      </c>
      <c r="F787">
        <v>100</v>
      </c>
    </row>
    <row r="788" spans="1:6" x14ac:dyDescent="0.2">
      <c r="A788" s="2" t="str">
        <f>"87108026     "</f>
        <v xml:space="preserve">87108026     </v>
      </c>
      <c r="B788" s="1" t="s">
        <v>785</v>
      </c>
      <c r="C788" s="9" t="s">
        <v>3374</v>
      </c>
      <c r="D788" s="6">
        <v>111.54</v>
      </c>
      <c r="F788">
        <v>100</v>
      </c>
    </row>
    <row r="789" spans="1:6" x14ac:dyDescent="0.2">
      <c r="A789" s="2" t="str">
        <f>"42123880     "</f>
        <v xml:space="preserve">42123880     </v>
      </c>
      <c r="B789" s="1" t="s">
        <v>786</v>
      </c>
      <c r="C789" s="9" t="s">
        <v>3374</v>
      </c>
      <c r="D789" s="6">
        <v>105.74</v>
      </c>
      <c r="F789">
        <v>100</v>
      </c>
    </row>
    <row r="790" spans="1:6" x14ac:dyDescent="0.2">
      <c r="A790" s="2" t="str">
        <f>"42069942     "</f>
        <v xml:space="preserve">42069942     </v>
      </c>
      <c r="B790" s="1" t="s">
        <v>787</v>
      </c>
      <c r="C790" s="9" t="s">
        <v>3374</v>
      </c>
      <c r="D790" s="6">
        <v>121.03</v>
      </c>
      <c r="F790">
        <v>100</v>
      </c>
    </row>
    <row r="791" spans="1:6" x14ac:dyDescent="0.2">
      <c r="A791" s="2" t="str">
        <f>"900          "</f>
        <v xml:space="preserve">900          </v>
      </c>
      <c r="B791" s="1" t="s">
        <v>788</v>
      </c>
      <c r="C791" s="9" t="s">
        <v>3392</v>
      </c>
      <c r="D791" s="6">
        <v>360</v>
      </c>
      <c r="F791">
        <v>100</v>
      </c>
    </row>
    <row r="792" spans="1:6" x14ac:dyDescent="0.2">
      <c r="A792" s="2" t="str">
        <f>"901          "</f>
        <v xml:space="preserve">901          </v>
      </c>
      <c r="B792" s="1" t="s">
        <v>789</v>
      </c>
      <c r="C792" s="9" t="s">
        <v>3392</v>
      </c>
      <c r="D792" s="6">
        <v>542.27</v>
      </c>
      <c r="F792">
        <v>100</v>
      </c>
    </row>
    <row r="793" spans="1:6" x14ac:dyDescent="0.2">
      <c r="A793" s="2" t="str">
        <f>"899          "</f>
        <v xml:space="preserve">899          </v>
      </c>
      <c r="B793" s="1" t="s">
        <v>790</v>
      </c>
      <c r="C793" s="9" t="s">
        <v>3392</v>
      </c>
      <c r="D793" s="6">
        <v>268.77999999999997</v>
      </c>
      <c r="F793">
        <v>100</v>
      </c>
    </row>
    <row r="794" spans="1:6" x14ac:dyDescent="0.2">
      <c r="A794" s="2" t="str">
        <f>"5999884402343"</f>
        <v>5999884402343</v>
      </c>
      <c r="B794" s="1" t="s">
        <v>791</v>
      </c>
      <c r="C794" s="9" t="s">
        <v>3393</v>
      </c>
      <c r="D794" s="6">
        <v>404.02</v>
      </c>
      <c r="F794">
        <v>100</v>
      </c>
    </row>
    <row r="795" spans="1:6" x14ac:dyDescent="0.2">
      <c r="A795" s="2" t="str">
        <f>"5900951280412"</f>
        <v>5900951280412</v>
      </c>
      <c r="B795" s="1" t="s">
        <v>792</v>
      </c>
      <c r="C795" s="9" t="s">
        <v>3382</v>
      </c>
      <c r="D795" s="6">
        <v>290.02999999999997</v>
      </c>
      <c r="F795">
        <v>100</v>
      </c>
    </row>
    <row r="796" spans="1:6" x14ac:dyDescent="0.2">
      <c r="A796" s="2" t="str">
        <f>"4011800563011"</f>
        <v>4011800563011</v>
      </c>
      <c r="B796" s="1" t="s">
        <v>793</v>
      </c>
      <c r="C796" s="9" t="s">
        <v>3389</v>
      </c>
      <c r="D796" s="6">
        <v>0</v>
      </c>
      <c r="F796">
        <v>100</v>
      </c>
    </row>
    <row r="797" spans="1:6" x14ac:dyDescent="0.2">
      <c r="A797" s="2" t="str">
        <f>"8424621001086"</f>
        <v>8424621001086</v>
      </c>
      <c r="B797" s="1" t="s">
        <v>794</v>
      </c>
      <c r="C797" s="9" t="s">
        <v>3378</v>
      </c>
      <c r="D797" s="6">
        <v>59</v>
      </c>
      <c r="F797">
        <v>100</v>
      </c>
    </row>
    <row r="798" spans="1:6" x14ac:dyDescent="0.2">
      <c r="A798" s="2" t="str">
        <f>"5907471404755"</f>
        <v>5907471404755</v>
      </c>
      <c r="B798" s="1" t="s">
        <v>795</v>
      </c>
      <c r="C798" s="9" t="s">
        <v>3376</v>
      </c>
      <c r="D798" s="6">
        <v>243.13</v>
      </c>
      <c r="F798">
        <v>100</v>
      </c>
    </row>
    <row r="799" spans="1:6" x14ac:dyDescent="0.2">
      <c r="A799" s="2" t="str">
        <f>"5999881296075"</f>
        <v>5999881296075</v>
      </c>
      <c r="B799" s="1" t="s">
        <v>796</v>
      </c>
      <c r="C799" s="9" t="s">
        <v>3391</v>
      </c>
      <c r="D799" s="6">
        <v>520</v>
      </c>
      <c r="F799">
        <v>100</v>
      </c>
    </row>
    <row r="800" spans="1:6" x14ac:dyDescent="0.2">
      <c r="A800" s="2" t="str">
        <f>"5999881295962"</f>
        <v>5999881295962</v>
      </c>
      <c r="B800" s="1" t="s">
        <v>797</v>
      </c>
      <c r="C800" s="9" t="s">
        <v>3391</v>
      </c>
      <c r="D800" s="6">
        <v>520</v>
      </c>
      <c r="F800">
        <v>100</v>
      </c>
    </row>
    <row r="801" spans="1:6" x14ac:dyDescent="0.2">
      <c r="A801" s="2" t="str">
        <f>"5999881296037"</f>
        <v>5999881296037</v>
      </c>
      <c r="B801" s="1" t="s">
        <v>798</v>
      </c>
      <c r="C801" s="9" t="s">
        <v>3391</v>
      </c>
      <c r="D801" s="6">
        <v>520</v>
      </c>
      <c r="F801">
        <v>100</v>
      </c>
    </row>
    <row r="802" spans="1:6" x14ac:dyDescent="0.2">
      <c r="A802" s="2" t="str">
        <f>"1239         "</f>
        <v xml:space="preserve">1239         </v>
      </c>
      <c r="B802" s="1" t="s">
        <v>799</v>
      </c>
      <c r="C802" s="9" t="s">
        <v>3394</v>
      </c>
      <c r="D802" s="6">
        <v>260</v>
      </c>
      <c r="F802">
        <v>100</v>
      </c>
    </row>
    <row r="803" spans="1:6" x14ac:dyDescent="0.2">
      <c r="A803" s="2" t="str">
        <f>"7622210999634"</f>
        <v>7622210999634</v>
      </c>
      <c r="B803" s="1" t="s">
        <v>800</v>
      </c>
      <c r="C803" s="9" t="s">
        <v>3389</v>
      </c>
      <c r="D803" s="6">
        <v>0</v>
      </c>
      <c r="F803">
        <v>100</v>
      </c>
    </row>
    <row r="804" spans="1:6" x14ac:dyDescent="0.2">
      <c r="A804" s="2" t="str">
        <f>"5999884034650"</f>
        <v>5999884034650</v>
      </c>
      <c r="B804" s="1" t="s">
        <v>801</v>
      </c>
      <c r="C804" s="9" t="s">
        <v>3395</v>
      </c>
      <c r="D804" s="6">
        <v>119.29</v>
      </c>
      <c r="F804">
        <v>100</v>
      </c>
    </row>
    <row r="805" spans="1:6" x14ac:dyDescent="0.2">
      <c r="A805" s="2" t="str">
        <f>"5997861710078"</f>
        <v>5997861710078</v>
      </c>
      <c r="B805" s="1" t="s">
        <v>802</v>
      </c>
      <c r="C805" s="9" t="s">
        <v>3396</v>
      </c>
      <c r="D805" s="6">
        <v>109.99</v>
      </c>
      <c r="F805">
        <v>100</v>
      </c>
    </row>
    <row r="806" spans="1:6" x14ac:dyDescent="0.2">
      <c r="A806" s="2" t="str">
        <f>"5999885747733"</f>
        <v>5999885747733</v>
      </c>
      <c r="B806" s="1" t="s">
        <v>803</v>
      </c>
      <c r="C806" s="9" t="s">
        <v>3395</v>
      </c>
      <c r="D806" s="6">
        <v>145.93</v>
      </c>
      <c r="F806">
        <v>100</v>
      </c>
    </row>
    <row r="807" spans="1:6" x14ac:dyDescent="0.2">
      <c r="A807" s="2" t="str">
        <f>"5999884034506"</f>
        <v>5999884034506</v>
      </c>
      <c r="B807" s="1" t="s">
        <v>804</v>
      </c>
      <c r="C807" s="9" t="s">
        <v>3395</v>
      </c>
      <c r="D807" s="6">
        <v>141.37</v>
      </c>
      <c r="F807">
        <v>100</v>
      </c>
    </row>
    <row r="808" spans="1:6" x14ac:dyDescent="0.2">
      <c r="A808" s="2" t="str">
        <f>"5999885746019"</f>
        <v>5999885746019</v>
      </c>
      <c r="B808" s="1" t="s">
        <v>805</v>
      </c>
      <c r="C808" s="9" t="s">
        <v>3395</v>
      </c>
      <c r="D808" s="6">
        <v>146.01</v>
      </c>
      <c r="F808">
        <v>100</v>
      </c>
    </row>
    <row r="809" spans="1:6" x14ac:dyDescent="0.2">
      <c r="A809" s="2" t="str">
        <f>"5999885746217"</f>
        <v>5999885746217</v>
      </c>
      <c r="B809" s="1" t="s">
        <v>806</v>
      </c>
      <c r="C809" s="9" t="s">
        <v>3395</v>
      </c>
      <c r="D809" s="6">
        <v>146.01</v>
      </c>
      <c r="F809">
        <v>100</v>
      </c>
    </row>
    <row r="810" spans="1:6" x14ac:dyDescent="0.2">
      <c r="A810" s="2" t="str">
        <f>"5999885747115"</f>
        <v>5999885747115</v>
      </c>
      <c r="B810" s="1" t="s">
        <v>807</v>
      </c>
      <c r="C810" s="9" t="s">
        <v>3395</v>
      </c>
      <c r="D810" s="6">
        <v>146.01</v>
      </c>
      <c r="F810">
        <v>100</v>
      </c>
    </row>
    <row r="811" spans="1:6" x14ac:dyDescent="0.2">
      <c r="A811" s="2" t="str">
        <f>"5999884034612"</f>
        <v>5999884034612</v>
      </c>
      <c r="B811" s="1" t="s">
        <v>808</v>
      </c>
      <c r="C811" s="9" t="s">
        <v>3395</v>
      </c>
      <c r="D811" s="6">
        <v>131.47</v>
      </c>
      <c r="F811">
        <v>100</v>
      </c>
    </row>
    <row r="812" spans="1:6" x14ac:dyDescent="0.2">
      <c r="A812" s="2" t="str">
        <f>"5060639121823"</f>
        <v>5060639121823</v>
      </c>
      <c r="B812" s="1" t="s">
        <v>809</v>
      </c>
      <c r="C812" s="9" t="s">
        <v>3382</v>
      </c>
      <c r="D812" s="6">
        <v>274.93</v>
      </c>
      <c r="F812">
        <v>100</v>
      </c>
    </row>
    <row r="813" spans="1:6" x14ac:dyDescent="0.2">
      <c r="A813" s="2" t="str">
        <f>"5999884034209"</f>
        <v>5999884034209</v>
      </c>
      <c r="B813" s="1" t="s">
        <v>810</v>
      </c>
      <c r="C813" s="9" t="s">
        <v>3395</v>
      </c>
      <c r="D813" s="6">
        <v>232.79</v>
      </c>
      <c r="F813">
        <v>100</v>
      </c>
    </row>
    <row r="814" spans="1:6" x14ac:dyDescent="0.2">
      <c r="A814" s="2" t="str">
        <f>"5999884034445"</f>
        <v>5999884034445</v>
      </c>
      <c r="B814" s="1" t="s">
        <v>811</v>
      </c>
      <c r="C814" s="9" t="s">
        <v>3395</v>
      </c>
      <c r="D814" s="6">
        <v>146.01</v>
      </c>
      <c r="F814">
        <v>100</v>
      </c>
    </row>
    <row r="815" spans="1:6" x14ac:dyDescent="0.2">
      <c r="A815" s="2" t="str">
        <f>"90162404     "</f>
        <v xml:space="preserve">90162404     </v>
      </c>
      <c r="B815" s="1" t="s">
        <v>812</v>
      </c>
      <c r="C815" s="9" t="s">
        <v>3374</v>
      </c>
      <c r="D815" s="6">
        <v>344.35</v>
      </c>
      <c r="F815">
        <v>100</v>
      </c>
    </row>
    <row r="816" spans="1:6" x14ac:dyDescent="0.2">
      <c r="A816" s="2" t="str">
        <f>"5998811759741"</f>
        <v>5998811759741</v>
      </c>
      <c r="B816" s="1" t="s">
        <v>813</v>
      </c>
      <c r="C816" s="9" t="s">
        <v>3375</v>
      </c>
      <c r="D816" s="6">
        <v>152.63999999999999</v>
      </c>
      <c r="F816">
        <v>100</v>
      </c>
    </row>
    <row r="817" spans="1:6" x14ac:dyDescent="0.2">
      <c r="A817" s="2" t="str">
        <f>"5999885747023"</f>
        <v>5999885747023</v>
      </c>
      <c r="B817" s="1" t="s">
        <v>814</v>
      </c>
      <c r="C817" s="9" t="s">
        <v>3395</v>
      </c>
      <c r="D817" s="6">
        <v>145.4</v>
      </c>
      <c r="F817">
        <v>100</v>
      </c>
    </row>
    <row r="818" spans="1:6" x14ac:dyDescent="0.2">
      <c r="A818" s="2" t="str">
        <f>"5060466512122"</f>
        <v>5060466512122</v>
      </c>
      <c r="B818" s="1" t="s">
        <v>815</v>
      </c>
      <c r="C818" s="9" t="s">
        <v>3376</v>
      </c>
      <c r="D818" s="6">
        <v>209.81</v>
      </c>
      <c r="F818">
        <v>100</v>
      </c>
    </row>
    <row r="819" spans="1:6" x14ac:dyDescent="0.2">
      <c r="A819" s="2" t="str">
        <f>"9002349039087"</f>
        <v>9002349039087</v>
      </c>
      <c r="B819" s="1" t="s">
        <v>816</v>
      </c>
      <c r="C819" s="9" t="s">
        <v>3396</v>
      </c>
      <c r="D819" s="6">
        <v>82.99</v>
      </c>
      <c r="F819">
        <v>100</v>
      </c>
    </row>
    <row r="820" spans="1:6" x14ac:dyDescent="0.2">
      <c r="A820" s="2" t="str">
        <f>"5999887753541"</f>
        <v>5999887753541</v>
      </c>
      <c r="B820" s="1" t="s">
        <v>817</v>
      </c>
      <c r="C820" s="9" t="s">
        <v>3395</v>
      </c>
      <c r="D820" s="6">
        <v>147.63999999999999</v>
      </c>
      <c r="F820">
        <v>100</v>
      </c>
    </row>
    <row r="821" spans="1:6" x14ac:dyDescent="0.2">
      <c r="A821" s="2" t="str">
        <f>"5060466512184"</f>
        <v>5060466512184</v>
      </c>
      <c r="B821" s="1" t="s">
        <v>818</v>
      </c>
      <c r="C821" s="9" t="s">
        <v>3376</v>
      </c>
      <c r="D821" s="6">
        <v>209.54</v>
      </c>
      <c r="F821">
        <v>100</v>
      </c>
    </row>
    <row r="822" spans="1:6" x14ac:dyDescent="0.2">
      <c r="A822" s="2" t="str">
        <f>"5998811759871"</f>
        <v>5998811759871</v>
      </c>
      <c r="B822" s="1" t="s">
        <v>819</v>
      </c>
      <c r="C822" s="9" t="s">
        <v>3375</v>
      </c>
      <c r="D822" s="6">
        <v>113.1</v>
      </c>
      <c r="F822">
        <v>100</v>
      </c>
    </row>
    <row r="823" spans="1:6" x14ac:dyDescent="0.2">
      <c r="A823" s="2" t="str">
        <f>"9002349040403"</f>
        <v>9002349040403</v>
      </c>
      <c r="B823" s="1" t="s">
        <v>820</v>
      </c>
      <c r="C823" s="9" t="s">
        <v>3396</v>
      </c>
      <c r="D823" s="6">
        <v>109.96</v>
      </c>
      <c r="F823">
        <v>100</v>
      </c>
    </row>
    <row r="824" spans="1:6" x14ac:dyDescent="0.2">
      <c r="A824" s="2" t="str">
        <f>"5999885746804"</f>
        <v>5999885746804</v>
      </c>
      <c r="B824" s="1" t="s">
        <v>821</v>
      </c>
      <c r="C824" s="9" t="s">
        <v>3395</v>
      </c>
      <c r="D824" s="6">
        <v>146.01</v>
      </c>
      <c r="F824">
        <v>100</v>
      </c>
    </row>
    <row r="825" spans="1:6" x14ac:dyDescent="0.2">
      <c r="A825" s="2" t="str">
        <f>"9002349037694"</f>
        <v>9002349037694</v>
      </c>
      <c r="B825" s="1" t="s">
        <v>822</v>
      </c>
      <c r="C825" s="9" t="s">
        <v>3396</v>
      </c>
      <c r="D825" s="6">
        <v>109.99</v>
      </c>
      <c r="F825">
        <v>100</v>
      </c>
    </row>
    <row r="826" spans="1:6" x14ac:dyDescent="0.2">
      <c r="A826" s="2" t="str">
        <f>"5060466517509"</f>
        <v>5060466517509</v>
      </c>
      <c r="B826" s="1" t="s">
        <v>823</v>
      </c>
      <c r="C826" s="9" t="s">
        <v>3376</v>
      </c>
      <c r="D826" s="6">
        <v>210.68</v>
      </c>
      <c r="F826">
        <v>100</v>
      </c>
    </row>
    <row r="827" spans="1:6" x14ac:dyDescent="0.2">
      <c r="A827" s="2" t="str">
        <f>"9002349037755"</f>
        <v>9002349037755</v>
      </c>
      <c r="B827" s="1" t="s">
        <v>824</v>
      </c>
      <c r="C827" s="9" t="s">
        <v>3396</v>
      </c>
      <c r="D827" s="6">
        <v>82.98</v>
      </c>
      <c r="F827">
        <v>100</v>
      </c>
    </row>
    <row r="828" spans="1:6" x14ac:dyDescent="0.2">
      <c r="A828" s="2" t="str">
        <f>"9002349040014"</f>
        <v>9002349040014</v>
      </c>
      <c r="B828" s="1" t="s">
        <v>825</v>
      </c>
      <c r="C828" s="9" t="s">
        <v>3396</v>
      </c>
      <c r="D828" s="6">
        <v>109.93</v>
      </c>
      <c r="F828">
        <v>100</v>
      </c>
    </row>
    <row r="829" spans="1:6" x14ac:dyDescent="0.2">
      <c r="A829" s="2" t="str">
        <f>"5998818564645"</f>
        <v>5998818564645</v>
      </c>
      <c r="B829" s="1" t="s">
        <v>826</v>
      </c>
      <c r="C829" s="9" t="s">
        <v>3396</v>
      </c>
      <c r="D829" s="6">
        <v>109.99</v>
      </c>
      <c r="F829">
        <v>100</v>
      </c>
    </row>
    <row r="830" spans="1:6" x14ac:dyDescent="0.2">
      <c r="A830" s="2" t="str">
        <f>"5060166693015"</f>
        <v>5060166693015</v>
      </c>
      <c r="B830" s="1" t="s">
        <v>827</v>
      </c>
      <c r="C830" s="9" t="s">
        <v>3376</v>
      </c>
      <c r="D830" s="6">
        <v>300.41000000000003</v>
      </c>
      <c r="F830">
        <v>100</v>
      </c>
    </row>
    <row r="831" spans="1:6" x14ac:dyDescent="0.2">
      <c r="A831" s="2" t="str">
        <f>"5060337508667"</f>
        <v>5060337508667</v>
      </c>
      <c r="B831" s="1" t="s">
        <v>828</v>
      </c>
      <c r="C831" s="9" t="s">
        <v>3376</v>
      </c>
      <c r="D831" s="6">
        <v>277.43</v>
      </c>
      <c r="F831">
        <v>100</v>
      </c>
    </row>
    <row r="832" spans="1:6" x14ac:dyDescent="0.2">
      <c r="A832" s="2" t="str">
        <f>"5060639122646"</f>
        <v>5060639122646</v>
      </c>
      <c r="B832" s="1" t="s">
        <v>829</v>
      </c>
      <c r="C832" s="9" t="s">
        <v>3382</v>
      </c>
      <c r="D832" s="6">
        <v>287.83</v>
      </c>
      <c r="F832">
        <v>100</v>
      </c>
    </row>
    <row r="833" spans="1:6" x14ac:dyDescent="0.2">
      <c r="A833" s="2" t="str">
        <f>"9002349037786"</f>
        <v>9002349037786</v>
      </c>
      <c r="B833" s="1" t="s">
        <v>830</v>
      </c>
      <c r="C833" s="9" t="s">
        <v>3396</v>
      </c>
      <c r="D833" s="6">
        <v>108.99</v>
      </c>
      <c r="F833">
        <v>100</v>
      </c>
    </row>
    <row r="834" spans="1:6" x14ac:dyDescent="0.2">
      <c r="A834" s="2" t="str">
        <f>"9002490212087"</f>
        <v>9002490212087</v>
      </c>
      <c r="B834" s="1" t="s">
        <v>831</v>
      </c>
      <c r="C834" s="9" t="s">
        <v>3374</v>
      </c>
      <c r="D834" s="6">
        <v>349.11</v>
      </c>
      <c r="F834">
        <v>100</v>
      </c>
    </row>
    <row r="835" spans="1:6" x14ac:dyDescent="0.2">
      <c r="A835" s="2" t="str">
        <f>"90435485     "</f>
        <v xml:space="preserve">90435485     </v>
      </c>
      <c r="B835" s="1" t="s">
        <v>832</v>
      </c>
      <c r="C835" s="9" t="s">
        <v>3374</v>
      </c>
      <c r="D835" s="6">
        <v>349.72</v>
      </c>
      <c r="F835">
        <v>100</v>
      </c>
    </row>
    <row r="836" spans="1:6" x14ac:dyDescent="0.2">
      <c r="A836" s="2" t="str">
        <f>"5998811760341"</f>
        <v>5998811760341</v>
      </c>
      <c r="B836" s="1" t="s">
        <v>833</v>
      </c>
      <c r="C836" s="9" t="s">
        <v>3375</v>
      </c>
      <c r="D836" s="6">
        <v>114.24</v>
      </c>
      <c r="F836">
        <v>100</v>
      </c>
    </row>
    <row r="837" spans="1:6" x14ac:dyDescent="0.2">
      <c r="A837" s="2" t="str">
        <f>"9002349035348"</f>
        <v>9002349035348</v>
      </c>
      <c r="B837" s="1" t="s">
        <v>834</v>
      </c>
      <c r="C837" s="9" t="s">
        <v>3396</v>
      </c>
      <c r="D837" s="6">
        <v>173</v>
      </c>
      <c r="F837">
        <v>100</v>
      </c>
    </row>
    <row r="838" spans="1:6" x14ac:dyDescent="0.2">
      <c r="A838" s="2" t="str">
        <f>"9002349040571"</f>
        <v>9002349040571</v>
      </c>
      <c r="B838" s="1" t="s">
        <v>835</v>
      </c>
      <c r="C838" s="9" t="s">
        <v>3396</v>
      </c>
      <c r="D838" s="6">
        <v>251</v>
      </c>
      <c r="F838">
        <v>100</v>
      </c>
    </row>
    <row r="839" spans="1:6" x14ac:dyDescent="0.2">
      <c r="A839" s="2" t="str">
        <f>"9002349040465"</f>
        <v>9002349040465</v>
      </c>
      <c r="B839" s="1" t="s">
        <v>836</v>
      </c>
      <c r="C839" s="9" t="s">
        <v>3396</v>
      </c>
      <c r="D839" s="6">
        <v>109.82</v>
      </c>
      <c r="F839">
        <v>100</v>
      </c>
    </row>
    <row r="840" spans="1:6" x14ac:dyDescent="0.2">
      <c r="A840" s="2" t="str">
        <f>"5449000265098"</f>
        <v>5449000265098</v>
      </c>
      <c r="B840" s="1" t="s">
        <v>837</v>
      </c>
      <c r="C840" s="9" t="s">
        <v>3376</v>
      </c>
      <c r="D840" s="6">
        <v>323.01</v>
      </c>
      <c r="F840">
        <v>100</v>
      </c>
    </row>
    <row r="841" spans="1:6" x14ac:dyDescent="0.2">
      <c r="A841" s="2" t="str">
        <f>"5060337500982"</f>
        <v>5060337500982</v>
      </c>
      <c r="B841" s="1" t="s">
        <v>838</v>
      </c>
      <c r="C841" s="9" t="s">
        <v>3382</v>
      </c>
      <c r="D841" s="6">
        <v>274.22000000000003</v>
      </c>
      <c r="F841">
        <v>100</v>
      </c>
    </row>
    <row r="842" spans="1:6" x14ac:dyDescent="0.2">
      <c r="A842" s="2" t="str">
        <f>"5060166698959"</f>
        <v>5060166698959</v>
      </c>
      <c r="B842" s="1" t="s">
        <v>839</v>
      </c>
      <c r="C842" s="9" t="s">
        <v>3382</v>
      </c>
      <c r="D842" s="6">
        <v>282.35000000000002</v>
      </c>
      <c r="F842">
        <v>100</v>
      </c>
    </row>
    <row r="843" spans="1:6" x14ac:dyDescent="0.2">
      <c r="A843" s="2" t="str">
        <f>"54492653     "</f>
        <v xml:space="preserve">54492653     </v>
      </c>
      <c r="B843" s="1" t="s">
        <v>840</v>
      </c>
      <c r="C843" s="9" t="s">
        <v>3376</v>
      </c>
      <c r="D843" s="6">
        <v>251.08</v>
      </c>
      <c r="F843">
        <v>100</v>
      </c>
    </row>
    <row r="844" spans="1:6" x14ac:dyDescent="0.2">
      <c r="A844" s="2" t="str">
        <f>"9002349038776"</f>
        <v>9002349038776</v>
      </c>
      <c r="B844" s="1" t="s">
        <v>841</v>
      </c>
      <c r="C844" s="9" t="s">
        <v>3396</v>
      </c>
      <c r="D844" s="6">
        <v>109.99</v>
      </c>
      <c r="F844">
        <v>100</v>
      </c>
    </row>
    <row r="845" spans="1:6" x14ac:dyDescent="0.2">
      <c r="A845" s="2" t="str">
        <f>"5060517884802"</f>
        <v>5060517884802</v>
      </c>
      <c r="B845" s="1" t="s">
        <v>842</v>
      </c>
      <c r="C845" s="9" t="s">
        <v>3376</v>
      </c>
      <c r="D845" s="6">
        <v>294.61</v>
      </c>
      <c r="F845">
        <v>100</v>
      </c>
    </row>
    <row r="846" spans="1:6" x14ac:dyDescent="0.2">
      <c r="A846" s="2" t="str">
        <f>"5060517884833"</f>
        <v>5060517884833</v>
      </c>
      <c r="B846" s="1" t="s">
        <v>843</v>
      </c>
      <c r="C846" s="9" t="s">
        <v>3376</v>
      </c>
      <c r="D846" s="6">
        <v>285.77</v>
      </c>
      <c r="F846">
        <v>100</v>
      </c>
    </row>
    <row r="847" spans="1:6" x14ac:dyDescent="0.2">
      <c r="A847" s="2" t="str">
        <f>"5060517884864"</f>
        <v>5060517884864</v>
      </c>
      <c r="B847" s="1" t="s">
        <v>844</v>
      </c>
      <c r="C847" s="9" t="s">
        <v>3376</v>
      </c>
      <c r="D847" s="6">
        <v>307.31</v>
      </c>
      <c r="F847">
        <v>100</v>
      </c>
    </row>
    <row r="848" spans="1:6" x14ac:dyDescent="0.2">
      <c r="A848" s="2" t="str">
        <f>"90162800     "</f>
        <v xml:space="preserve">90162800     </v>
      </c>
      <c r="B848" s="1" t="s">
        <v>845</v>
      </c>
      <c r="C848" s="9" t="s">
        <v>3374</v>
      </c>
      <c r="D848" s="6">
        <v>354.65</v>
      </c>
      <c r="F848">
        <v>100</v>
      </c>
    </row>
    <row r="849" spans="1:6" x14ac:dyDescent="0.2">
      <c r="A849" s="2" t="str">
        <f>"5997642114200"</f>
        <v>5997642114200</v>
      </c>
      <c r="B849" s="1" t="s">
        <v>846</v>
      </c>
      <c r="C849" s="9" t="s">
        <v>3397</v>
      </c>
      <c r="D849" s="6">
        <v>108.97</v>
      </c>
      <c r="F849">
        <v>100</v>
      </c>
    </row>
    <row r="850" spans="1:6" x14ac:dyDescent="0.2">
      <c r="A850" s="2" t="str">
        <f>"5060466512153"</f>
        <v>5060466512153</v>
      </c>
      <c r="B850" s="1" t="s">
        <v>847</v>
      </c>
      <c r="C850" s="9" t="s">
        <v>3376</v>
      </c>
      <c r="D850" s="6">
        <v>205.9</v>
      </c>
      <c r="F850">
        <v>100</v>
      </c>
    </row>
    <row r="851" spans="1:6" x14ac:dyDescent="0.2">
      <c r="A851" s="2" t="str">
        <f>"5060466512245"</f>
        <v>5060466512245</v>
      </c>
      <c r="B851" s="1" t="s">
        <v>848</v>
      </c>
      <c r="C851" s="9" t="s">
        <v>3382</v>
      </c>
      <c r="D851" s="6">
        <v>194.89</v>
      </c>
      <c r="F851">
        <v>100</v>
      </c>
    </row>
    <row r="852" spans="1:6" x14ac:dyDescent="0.2">
      <c r="A852" s="2" t="str">
        <f>"5998811760488"</f>
        <v>5998811760488</v>
      </c>
      <c r="B852" s="1" t="s">
        <v>849</v>
      </c>
      <c r="C852" s="9" t="s">
        <v>3374</v>
      </c>
      <c r="D852" s="6">
        <v>160.05000000000001</v>
      </c>
      <c r="F852">
        <v>100</v>
      </c>
    </row>
    <row r="853" spans="1:6" x14ac:dyDescent="0.2">
      <c r="A853" s="2" t="str">
        <f>"5060335634818"</f>
        <v>5060335634818</v>
      </c>
      <c r="B853" s="1" t="s">
        <v>850</v>
      </c>
      <c r="C853" s="9" t="s">
        <v>3382</v>
      </c>
      <c r="D853" s="6">
        <v>267.83999999999997</v>
      </c>
      <c r="F853">
        <v>100</v>
      </c>
    </row>
    <row r="854" spans="1:6" x14ac:dyDescent="0.2">
      <c r="A854" s="2" t="str">
        <f>"8710679133924"</f>
        <v>8710679133924</v>
      </c>
      <c r="B854" s="1" t="s">
        <v>851</v>
      </c>
      <c r="C854" s="9" t="s">
        <v>3398</v>
      </c>
      <c r="D854" s="6">
        <v>605.30999999999995</v>
      </c>
      <c r="F854">
        <v>100</v>
      </c>
    </row>
    <row r="855" spans="1:6" x14ac:dyDescent="0.2">
      <c r="A855" s="2" t="str">
        <f>"8714100646618"</f>
        <v>8714100646618</v>
      </c>
      <c r="B855" s="1" t="s">
        <v>852</v>
      </c>
      <c r="C855" s="9" t="s">
        <v>3399</v>
      </c>
      <c r="D855" s="6">
        <v>199.39</v>
      </c>
      <c r="F855">
        <v>100</v>
      </c>
    </row>
    <row r="856" spans="1:6" x14ac:dyDescent="0.2">
      <c r="A856" s="2" t="str">
        <f>"8714100646298"</f>
        <v>8714100646298</v>
      </c>
      <c r="B856" s="1" t="s">
        <v>853</v>
      </c>
      <c r="C856" s="9" t="s">
        <v>3399</v>
      </c>
      <c r="D856" s="6">
        <v>158.75</v>
      </c>
      <c r="F856">
        <v>100</v>
      </c>
    </row>
    <row r="857" spans="1:6" x14ac:dyDescent="0.2">
      <c r="A857" s="2" t="str">
        <f>"5995663909119"</f>
        <v>5995663909119</v>
      </c>
      <c r="B857" s="1" t="s">
        <v>854</v>
      </c>
      <c r="C857" s="9" t="s">
        <v>3400</v>
      </c>
      <c r="D857" s="6">
        <v>218.38</v>
      </c>
      <c r="F857">
        <v>100</v>
      </c>
    </row>
    <row r="858" spans="1:6" x14ac:dyDescent="0.2">
      <c r="A858" s="2" t="str">
        <f>"5998202961616"</f>
        <v>5998202961616</v>
      </c>
      <c r="B858" s="1" t="s">
        <v>855</v>
      </c>
      <c r="C858" s="9" t="s">
        <v>3400</v>
      </c>
      <c r="D858" s="6">
        <v>130.29</v>
      </c>
      <c r="F858">
        <v>100</v>
      </c>
    </row>
    <row r="859" spans="1:6" x14ac:dyDescent="0.2">
      <c r="A859" s="2" t="str">
        <f>"5995885811054"</f>
        <v>5995885811054</v>
      </c>
      <c r="B859" s="1" t="s">
        <v>856</v>
      </c>
      <c r="C859" s="9" t="s">
        <v>3400</v>
      </c>
      <c r="D859" s="6">
        <v>109.05</v>
      </c>
      <c r="F859">
        <v>100</v>
      </c>
    </row>
    <row r="860" spans="1:6" x14ac:dyDescent="0.2">
      <c r="A860" s="2" t="str">
        <f>"5998001656164"</f>
        <v>5998001656164</v>
      </c>
      <c r="B860" s="1" t="s">
        <v>857</v>
      </c>
      <c r="C860" s="9" t="s">
        <v>3400</v>
      </c>
      <c r="D860" s="6">
        <v>177.86</v>
      </c>
      <c r="F860">
        <v>100</v>
      </c>
    </row>
    <row r="861" spans="1:6" x14ac:dyDescent="0.2">
      <c r="A861" s="2" t="str">
        <f>"8588002193248"</f>
        <v>8588002193248</v>
      </c>
      <c r="B861" s="1" t="s">
        <v>858</v>
      </c>
      <c r="C861" s="9" t="s">
        <v>3400</v>
      </c>
      <c r="D861" s="6">
        <v>172.26</v>
      </c>
      <c r="F861">
        <v>100</v>
      </c>
    </row>
    <row r="862" spans="1:6" x14ac:dyDescent="0.2">
      <c r="A862" s="2" t="str">
        <f>"8588002193316"</f>
        <v>8588002193316</v>
      </c>
      <c r="B862" s="1" t="s">
        <v>859</v>
      </c>
      <c r="C862" s="9" t="s">
        <v>3400</v>
      </c>
      <c r="D862" s="6">
        <v>171.58</v>
      </c>
      <c r="F862">
        <v>100</v>
      </c>
    </row>
    <row r="863" spans="1:6" x14ac:dyDescent="0.2">
      <c r="A863" s="2" t="str">
        <f>"5995885820001"</f>
        <v>5995885820001</v>
      </c>
      <c r="B863" s="1" t="s">
        <v>860</v>
      </c>
      <c r="C863" s="9" t="s">
        <v>3401</v>
      </c>
      <c r="D863" s="6">
        <v>113.03</v>
      </c>
      <c r="F863">
        <v>100</v>
      </c>
    </row>
    <row r="864" spans="1:6" x14ac:dyDescent="0.2">
      <c r="A864" s="2" t="str">
        <f>"8586019505887"</f>
        <v>8586019505887</v>
      </c>
      <c r="B864" s="1" t="s">
        <v>861</v>
      </c>
      <c r="C864" s="9" t="s">
        <v>3400</v>
      </c>
      <c r="D864" s="6">
        <v>187.85</v>
      </c>
      <c r="F864">
        <v>100</v>
      </c>
    </row>
    <row r="865" spans="1:6" x14ac:dyDescent="0.2">
      <c r="A865" s="2" t="str">
        <f>"5998997498458"</f>
        <v>5998997498458</v>
      </c>
      <c r="B865" s="1" t="s">
        <v>862</v>
      </c>
      <c r="C865" s="9" t="s">
        <v>3400</v>
      </c>
      <c r="D865" s="6">
        <v>135.47</v>
      </c>
      <c r="F865">
        <v>100</v>
      </c>
    </row>
    <row r="866" spans="1:6" x14ac:dyDescent="0.2">
      <c r="A866" s="2" t="str">
        <f>"5998202961623"</f>
        <v>5998202961623</v>
      </c>
      <c r="B866" s="1" t="s">
        <v>863</v>
      </c>
      <c r="C866" s="9" t="s">
        <v>3400</v>
      </c>
      <c r="D866" s="6">
        <v>129.13</v>
      </c>
      <c r="F866">
        <v>100</v>
      </c>
    </row>
    <row r="867" spans="1:6" x14ac:dyDescent="0.2">
      <c r="A867" s="2" t="str">
        <f>"5995662645018"</f>
        <v>5995662645018</v>
      </c>
      <c r="B867" s="1" t="s">
        <v>864</v>
      </c>
      <c r="C867" s="9" t="s">
        <v>3400</v>
      </c>
      <c r="D867" s="6">
        <v>318.52999999999997</v>
      </c>
      <c r="F867">
        <v>100</v>
      </c>
    </row>
    <row r="868" spans="1:6" x14ac:dyDescent="0.2">
      <c r="A868" s="2" t="str">
        <f>"8594008885766"</f>
        <v>8594008885766</v>
      </c>
      <c r="B868" s="1" t="s">
        <v>865</v>
      </c>
      <c r="C868" s="9" t="s">
        <v>3400</v>
      </c>
      <c r="D868" s="6">
        <v>537.01</v>
      </c>
      <c r="F868">
        <v>100</v>
      </c>
    </row>
    <row r="869" spans="1:6" x14ac:dyDescent="0.2">
      <c r="A869" s="2" t="str">
        <f>"5995663914021"</f>
        <v>5995663914021</v>
      </c>
      <c r="B869" s="1" t="s">
        <v>866</v>
      </c>
      <c r="C869" s="9" t="s">
        <v>3400</v>
      </c>
      <c r="D869" s="6">
        <v>260.79000000000002</v>
      </c>
      <c r="F869">
        <v>100</v>
      </c>
    </row>
    <row r="870" spans="1:6" x14ac:dyDescent="0.2">
      <c r="A870" s="2" t="str">
        <f>"8588002193323"</f>
        <v>8588002193323</v>
      </c>
      <c r="B870" s="1" t="s">
        <v>867</v>
      </c>
      <c r="C870" s="9" t="s">
        <v>3400</v>
      </c>
      <c r="D870" s="6">
        <v>173.33</v>
      </c>
      <c r="F870">
        <v>100</v>
      </c>
    </row>
    <row r="871" spans="1:6" x14ac:dyDescent="0.2">
      <c r="A871" s="2" t="str">
        <f>"5995663968352"</f>
        <v>5995663968352</v>
      </c>
      <c r="B871" s="1" t="s">
        <v>868</v>
      </c>
      <c r="C871" s="9" t="s">
        <v>3400</v>
      </c>
      <c r="D871" s="6">
        <v>178.99</v>
      </c>
      <c r="F871">
        <v>100</v>
      </c>
    </row>
    <row r="872" spans="1:6" x14ac:dyDescent="0.2">
      <c r="A872" s="2" t="str">
        <f>"5995885811047"</f>
        <v>5995885811047</v>
      </c>
      <c r="B872" s="1" t="s">
        <v>869</v>
      </c>
      <c r="C872" s="9" t="s">
        <v>3400</v>
      </c>
      <c r="D872" s="6">
        <v>110.96</v>
      </c>
      <c r="F872">
        <v>100</v>
      </c>
    </row>
    <row r="873" spans="1:6" x14ac:dyDescent="0.2">
      <c r="A873" s="2" t="str">
        <f>"5995885819999"</f>
        <v>5995885819999</v>
      </c>
      <c r="B873" s="1" t="s">
        <v>870</v>
      </c>
      <c r="C873" s="9" t="s">
        <v>3400</v>
      </c>
      <c r="D873" s="6">
        <v>126.51</v>
      </c>
      <c r="F873">
        <v>100</v>
      </c>
    </row>
    <row r="874" spans="1:6" x14ac:dyDescent="0.2">
      <c r="A874" s="2" t="str">
        <f>"5995885819975"</f>
        <v>5995885819975</v>
      </c>
      <c r="B874" s="1" t="s">
        <v>871</v>
      </c>
      <c r="C874" s="9" t="s">
        <v>3400</v>
      </c>
      <c r="D874" s="6">
        <v>99.31</v>
      </c>
      <c r="F874">
        <v>100</v>
      </c>
    </row>
    <row r="875" spans="1:6" x14ac:dyDescent="0.2">
      <c r="A875" s="2" t="str">
        <f>"8588001953904"</f>
        <v>8588001953904</v>
      </c>
      <c r="B875" s="1" t="s">
        <v>872</v>
      </c>
      <c r="C875" s="9" t="s">
        <v>3400</v>
      </c>
      <c r="D875" s="6">
        <v>198.81</v>
      </c>
      <c r="F875">
        <v>100</v>
      </c>
    </row>
    <row r="876" spans="1:6" x14ac:dyDescent="0.2">
      <c r="A876" s="2" t="str">
        <f>"5995662644646"</f>
        <v>5995662644646</v>
      </c>
      <c r="B876" s="1" t="s">
        <v>873</v>
      </c>
      <c r="C876" s="9" t="s">
        <v>3400</v>
      </c>
      <c r="D876" s="6">
        <v>166.6</v>
      </c>
      <c r="F876">
        <v>100</v>
      </c>
    </row>
    <row r="877" spans="1:6" x14ac:dyDescent="0.2">
      <c r="A877" s="2" t="str">
        <f>"5995663909096"</f>
        <v>5995663909096</v>
      </c>
      <c r="B877" s="1" t="s">
        <v>874</v>
      </c>
      <c r="C877" s="9" t="s">
        <v>3400</v>
      </c>
      <c r="D877" s="6">
        <v>524.35</v>
      </c>
      <c r="F877">
        <v>100</v>
      </c>
    </row>
    <row r="878" spans="1:6" x14ac:dyDescent="0.2">
      <c r="A878" s="2" t="str">
        <f>"5995663968475"</f>
        <v>5995663968475</v>
      </c>
      <c r="B878" s="1" t="s">
        <v>875</v>
      </c>
      <c r="C878" s="9" t="s">
        <v>3400</v>
      </c>
      <c r="D878" s="6">
        <v>176.71</v>
      </c>
      <c r="F878">
        <v>100</v>
      </c>
    </row>
    <row r="879" spans="1:6" x14ac:dyDescent="0.2">
      <c r="A879" s="2" t="str">
        <f>"5995885820018"</f>
        <v>5995885820018</v>
      </c>
      <c r="B879" s="1" t="s">
        <v>876</v>
      </c>
      <c r="C879" s="9" t="s">
        <v>3400</v>
      </c>
      <c r="D879" s="6">
        <v>123.85</v>
      </c>
      <c r="F879">
        <v>100</v>
      </c>
    </row>
    <row r="880" spans="1:6" x14ac:dyDescent="0.2">
      <c r="A880" s="2" t="str">
        <f>"8588001953577"</f>
        <v>8588001953577</v>
      </c>
      <c r="B880" s="1" t="s">
        <v>877</v>
      </c>
      <c r="C880" s="9" t="s">
        <v>3400</v>
      </c>
      <c r="D880" s="6">
        <v>199.21</v>
      </c>
      <c r="F880">
        <v>100</v>
      </c>
    </row>
    <row r="881" spans="1:6" x14ac:dyDescent="0.2">
      <c r="A881" s="2" t="str">
        <f>"8586011171677"</f>
        <v>8586011171677</v>
      </c>
      <c r="B881" s="1" t="s">
        <v>878</v>
      </c>
      <c r="C881" s="9" t="s">
        <v>3400</v>
      </c>
      <c r="D881" s="6">
        <v>205.27</v>
      </c>
      <c r="F881">
        <v>100</v>
      </c>
    </row>
    <row r="882" spans="1:6" x14ac:dyDescent="0.2">
      <c r="A882" s="2" t="str">
        <f>"8588002193569"</f>
        <v>8588002193569</v>
      </c>
      <c r="B882" s="1" t="s">
        <v>879</v>
      </c>
      <c r="C882" s="9" t="s">
        <v>3400</v>
      </c>
      <c r="D882" s="6">
        <v>173.34</v>
      </c>
      <c r="F882">
        <v>100</v>
      </c>
    </row>
    <row r="883" spans="1:6" x14ac:dyDescent="0.2">
      <c r="A883" s="2" t="str">
        <f>"8588002193552"</f>
        <v>8588002193552</v>
      </c>
      <c r="B883" s="1" t="s">
        <v>880</v>
      </c>
      <c r="C883" s="9" t="s">
        <v>3400</v>
      </c>
      <c r="D883" s="6">
        <v>174.77</v>
      </c>
      <c r="F883">
        <v>100</v>
      </c>
    </row>
    <row r="884" spans="1:6" x14ac:dyDescent="0.2">
      <c r="A884" s="2" t="str">
        <f>"2800484000000"</f>
        <v>2800484000000</v>
      </c>
      <c r="B884" s="1" t="s">
        <v>881</v>
      </c>
      <c r="C884" s="9" t="s">
        <v>3400</v>
      </c>
      <c r="D884" s="6">
        <v>683.01</v>
      </c>
      <c r="F884">
        <v>100</v>
      </c>
    </row>
    <row r="885" spans="1:6" x14ac:dyDescent="0.2">
      <c r="A885" s="2" t="str">
        <f>"5995663968727"</f>
        <v>5995663968727</v>
      </c>
      <c r="B885" s="1" t="s">
        <v>882</v>
      </c>
      <c r="C885" s="9" t="s">
        <v>3401</v>
      </c>
      <c r="D885" s="6">
        <v>132.91</v>
      </c>
      <c r="F885">
        <v>100</v>
      </c>
    </row>
    <row r="886" spans="1:6" x14ac:dyDescent="0.2">
      <c r="A886" s="2" t="str">
        <f>"5998003125583"</f>
        <v>5998003125583</v>
      </c>
      <c r="B886" s="1" t="s">
        <v>883</v>
      </c>
      <c r="C886" s="9" t="s">
        <v>3401</v>
      </c>
      <c r="D886" s="6">
        <v>129.65</v>
      </c>
      <c r="F886">
        <v>100</v>
      </c>
    </row>
    <row r="887" spans="1:6" x14ac:dyDescent="0.2">
      <c r="A887" s="2" t="str">
        <f>"5998003153876"</f>
        <v>5998003153876</v>
      </c>
      <c r="B887" s="1" t="s">
        <v>884</v>
      </c>
      <c r="C887" s="9" t="s">
        <v>3401</v>
      </c>
      <c r="D887" s="6">
        <v>268.73</v>
      </c>
      <c r="F887">
        <v>100</v>
      </c>
    </row>
    <row r="888" spans="1:6" x14ac:dyDescent="0.2">
      <c r="A888" s="2" t="str">
        <f>"5999883399194"</f>
        <v>5999883399194</v>
      </c>
      <c r="B888" s="1" t="s">
        <v>885</v>
      </c>
      <c r="C888" s="9" t="s">
        <v>3400</v>
      </c>
      <c r="D888" s="6">
        <v>356.99</v>
      </c>
      <c r="F888">
        <v>100</v>
      </c>
    </row>
    <row r="889" spans="1:6" x14ac:dyDescent="0.2">
      <c r="A889" s="2" t="str">
        <f>"8586019505825"</f>
        <v>8586019505825</v>
      </c>
      <c r="B889" s="1" t="s">
        <v>886</v>
      </c>
      <c r="C889" s="9" t="s">
        <v>3400</v>
      </c>
      <c r="D889" s="6">
        <v>208.71</v>
      </c>
      <c r="F889">
        <v>100</v>
      </c>
    </row>
    <row r="890" spans="1:6" x14ac:dyDescent="0.2">
      <c r="A890" s="2" t="str">
        <f>"5998997440891"</f>
        <v>5998997440891</v>
      </c>
      <c r="B890" s="1" t="s">
        <v>887</v>
      </c>
      <c r="C890" s="9" t="s">
        <v>3400</v>
      </c>
      <c r="D890" s="6">
        <v>137.65</v>
      </c>
      <c r="F890">
        <v>100</v>
      </c>
    </row>
    <row r="891" spans="1:6" x14ac:dyDescent="0.2">
      <c r="A891" s="2" t="str">
        <f>"5998202961609"</f>
        <v>5998202961609</v>
      </c>
      <c r="B891" s="1" t="s">
        <v>888</v>
      </c>
      <c r="C891" s="9" t="s">
        <v>3400</v>
      </c>
      <c r="D891" s="6">
        <v>128.32</v>
      </c>
      <c r="F891">
        <v>100</v>
      </c>
    </row>
    <row r="892" spans="1:6" x14ac:dyDescent="0.2">
      <c r="A892" s="2" t="str">
        <f>"8588003037664"</f>
        <v>8588003037664</v>
      </c>
      <c r="B892" s="1" t="s">
        <v>889</v>
      </c>
      <c r="C892" s="9" t="s">
        <v>3400</v>
      </c>
      <c r="D892" s="6">
        <v>193.65</v>
      </c>
      <c r="F892">
        <v>100</v>
      </c>
    </row>
    <row r="893" spans="1:6" x14ac:dyDescent="0.2">
      <c r="A893" s="2" t="str">
        <f>"2800767000000"</f>
        <v>2800767000000</v>
      </c>
      <c r="B893" s="1" t="s">
        <v>890</v>
      </c>
      <c r="C893" s="9" t="s">
        <v>3402</v>
      </c>
      <c r="D893" s="6">
        <v>2024.13</v>
      </c>
      <c r="F893">
        <v>100</v>
      </c>
    </row>
    <row r="894" spans="1:6" x14ac:dyDescent="0.2">
      <c r="A894" s="2" t="str">
        <f>"2800474000000"</f>
        <v>2800474000000</v>
      </c>
      <c r="B894" s="1" t="s">
        <v>891</v>
      </c>
      <c r="C894" s="9" t="s">
        <v>3403</v>
      </c>
      <c r="D894" s="6">
        <v>2127.36</v>
      </c>
      <c r="F894">
        <v>100</v>
      </c>
    </row>
    <row r="895" spans="1:6" x14ac:dyDescent="0.2">
      <c r="A895" s="2" t="str">
        <f>"5999528343063"</f>
        <v>5999528343063</v>
      </c>
      <c r="B895" s="1" t="s">
        <v>892</v>
      </c>
      <c r="C895" s="9" t="s">
        <v>3401</v>
      </c>
      <c r="D895" s="6">
        <v>273.41000000000003</v>
      </c>
      <c r="F895">
        <v>100</v>
      </c>
    </row>
    <row r="896" spans="1:6" x14ac:dyDescent="0.2">
      <c r="A896" s="2" t="str">
        <f>"5998003126474"</f>
        <v>5998003126474</v>
      </c>
      <c r="B896" s="1" t="s">
        <v>893</v>
      </c>
      <c r="C896" s="9" t="s">
        <v>3401</v>
      </c>
      <c r="D896" s="6">
        <v>226.67</v>
      </c>
      <c r="F896">
        <v>100</v>
      </c>
    </row>
    <row r="897" spans="1:6" x14ac:dyDescent="0.2">
      <c r="A897" s="2" t="str">
        <f>"5998296570541"</f>
        <v>5998296570541</v>
      </c>
      <c r="B897" s="1" t="s">
        <v>894</v>
      </c>
      <c r="C897" s="9" t="s">
        <v>3400</v>
      </c>
      <c r="D897" s="6">
        <v>487.56</v>
      </c>
      <c r="F897">
        <v>100</v>
      </c>
    </row>
    <row r="898" spans="1:6" x14ac:dyDescent="0.2">
      <c r="A898" s="2" t="str">
        <f>"8586003443355"</f>
        <v>8586003443355</v>
      </c>
      <c r="B898" s="1" t="s">
        <v>895</v>
      </c>
      <c r="C898" s="9" t="s">
        <v>3400</v>
      </c>
      <c r="D898" s="6">
        <v>207.41</v>
      </c>
      <c r="F898">
        <v>100</v>
      </c>
    </row>
    <row r="899" spans="1:6" x14ac:dyDescent="0.2">
      <c r="A899" s="2" t="str">
        <f>"8586003443379"</f>
        <v>8586003443379</v>
      </c>
      <c r="B899" s="1" t="s">
        <v>896</v>
      </c>
      <c r="C899" s="9" t="s">
        <v>3400</v>
      </c>
      <c r="D899" s="6">
        <v>215.21</v>
      </c>
      <c r="F899">
        <v>100</v>
      </c>
    </row>
    <row r="900" spans="1:6" x14ac:dyDescent="0.2">
      <c r="A900" s="2" t="str">
        <f>"5995662645193"</f>
        <v>5995662645193</v>
      </c>
      <c r="B900" s="1" t="s">
        <v>897</v>
      </c>
      <c r="C900" s="9" t="s">
        <v>3389</v>
      </c>
      <c r="D900" s="6">
        <v>0</v>
      </c>
      <c r="F900">
        <v>100</v>
      </c>
    </row>
    <row r="901" spans="1:6" x14ac:dyDescent="0.2">
      <c r="A901" s="2" t="str">
        <f>"5995663942888"</f>
        <v>5995663942888</v>
      </c>
      <c r="B901" s="1" t="s">
        <v>898</v>
      </c>
      <c r="C901" s="9" t="s">
        <v>3400</v>
      </c>
      <c r="D901" s="6">
        <v>305.51</v>
      </c>
      <c r="F901">
        <v>100</v>
      </c>
    </row>
    <row r="902" spans="1:6" x14ac:dyDescent="0.2">
      <c r="A902" s="2" t="str">
        <f>"8588002193781"</f>
        <v>8588002193781</v>
      </c>
      <c r="B902" s="1" t="s">
        <v>899</v>
      </c>
      <c r="C902" s="9" t="s">
        <v>3400</v>
      </c>
      <c r="D902" s="6">
        <v>253.67</v>
      </c>
      <c r="F902">
        <v>100</v>
      </c>
    </row>
    <row r="903" spans="1:6" x14ac:dyDescent="0.2">
      <c r="A903" s="2" t="str">
        <f>"2800430000000"</f>
        <v>2800430000000</v>
      </c>
      <c r="B903" s="1" t="s">
        <v>900</v>
      </c>
      <c r="C903" s="9" t="s">
        <v>3403</v>
      </c>
      <c r="D903" s="6">
        <v>2103.64</v>
      </c>
      <c r="F903">
        <v>100</v>
      </c>
    </row>
    <row r="904" spans="1:6" x14ac:dyDescent="0.2">
      <c r="A904" s="2" t="str">
        <f>"2800946000000"</f>
        <v>2800946000000</v>
      </c>
      <c r="B904" s="1" t="s">
        <v>901</v>
      </c>
      <c r="C904" s="9" t="s">
        <v>3403</v>
      </c>
      <c r="D904" s="6">
        <v>874.96</v>
      </c>
      <c r="F904">
        <v>100</v>
      </c>
    </row>
    <row r="905" spans="1:6" x14ac:dyDescent="0.2">
      <c r="A905" s="2" t="str">
        <f>"5995663969434"</f>
        <v>5995663969434</v>
      </c>
      <c r="B905" s="1" t="s">
        <v>902</v>
      </c>
      <c r="C905" s="9" t="s">
        <v>3400</v>
      </c>
      <c r="D905" s="6">
        <v>262.31</v>
      </c>
      <c r="F905">
        <v>100</v>
      </c>
    </row>
    <row r="906" spans="1:6" x14ac:dyDescent="0.2">
      <c r="A906" s="2" t="str">
        <f>"5999528343056"</f>
        <v>5999528343056</v>
      </c>
      <c r="B906" s="1" t="s">
        <v>903</v>
      </c>
      <c r="C906" s="9" t="s">
        <v>3401</v>
      </c>
      <c r="D906" s="6">
        <v>495.69</v>
      </c>
      <c r="F906">
        <v>100</v>
      </c>
    </row>
    <row r="907" spans="1:6" x14ac:dyDescent="0.2">
      <c r="A907" s="2" t="str">
        <f>"8586019505863"</f>
        <v>8586019505863</v>
      </c>
      <c r="B907" s="1" t="s">
        <v>904</v>
      </c>
      <c r="C907" s="9" t="s">
        <v>3400</v>
      </c>
      <c r="D907" s="6">
        <v>209.55</v>
      </c>
      <c r="F907">
        <v>100</v>
      </c>
    </row>
    <row r="908" spans="1:6" x14ac:dyDescent="0.2">
      <c r="A908" s="2" t="str">
        <f>"8586003443478"</f>
        <v>8586003443478</v>
      </c>
      <c r="B908" s="1" t="s">
        <v>905</v>
      </c>
      <c r="C908" s="9" t="s">
        <v>3400</v>
      </c>
      <c r="D908" s="6">
        <v>242.15</v>
      </c>
      <c r="F908">
        <v>100</v>
      </c>
    </row>
    <row r="909" spans="1:6" x14ac:dyDescent="0.2">
      <c r="A909" s="2" t="str">
        <f>"5998002084850"</f>
        <v>5998002084850</v>
      </c>
      <c r="B909" s="1" t="s">
        <v>906</v>
      </c>
      <c r="C909" s="9" t="s">
        <v>3401</v>
      </c>
      <c r="D909" s="6">
        <v>349.25</v>
      </c>
      <c r="F909">
        <v>100</v>
      </c>
    </row>
    <row r="910" spans="1:6" x14ac:dyDescent="0.2">
      <c r="A910" s="2" t="str">
        <f>"5998002016592"</f>
        <v>5998002016592</v>
      </c>
      <c r="B910" s="1" t="s">
        <v>907</v>
      </c>
      <c r="C910" s="9" t="s">
        <v>3400</v>
      </c>
      <c r="D910" s="6">
        <v>258.05</v>
      </c>
      <c r="F910">
        <v>100</v>
      </c>
    </row>
    <row r="911" spans="1:6" x14ac:dyDescent="0.2">
      <c r="A911" s="2" t="str">
        <f>"5995663969496"</f>
        <v>5995663969496</v>
      </c>
      <c r="B911" s="1" t="s">
        <v>908</v>
      </c>
      <c r="C911" s="9" t="s">
        <v>3400</v>
      </c>
      <c r="D911" s="6">
        <v>686.55</v>
      </c>
      <c r="F911">
        <v>100</v>
      </c>
    </row>
    <row r="912" spans="1:6" x14ac:dyDescent="0.2">
      <c r="A912" s="2" t="str">
        <f>"5995663940143"</f>
        <v>5995663940143</v>
      </c>
      <c r="B912" s="1" t="s">
        <v>909</v>
      </c>
      <c r="C912" s="9" t="s">
        <v>3400</v>
      </c>
      <c r="D912" s="6">
        <v>304.87</v>
      </c>
      <c r="F912">
        <v>100</v>
      </c>
    </row>
    <row r="913" spans="1:6" x14ac:dyDescent="0.2">
      <c r="A913" s="2" t="str">
        <f>"8588001953560"</f>
        <v>8588001953560</v>
      </c>
      <c r="B913" s="1" t="s">
        <v>910</v>
      </c>
      <c r="C913" s="9" t="s">
        <v>3400</v>
      </c>
      <c r="D913" s="6">
        <v>148.6</v>
      </c>
      <c r="F913">
        <v>100</v>
      </c>
    </row>
    <row r="914" spans="1:6" x14ac:dyDescent="0.2">
      <c r="A914" s="2" t="str">
        <f>"2800113000000"</f>
        <v>2800113000000</v>
      </c>
      <c r="B914" s="1" t="s">
        <v>911</v>
      </c>
      <c r="C914" s="9" t="s">
        <v>3401</v>
      </c>
      <c r="D914" s="6">
        <v>993.7</v>
      </c>
      <c r="F914">
        <v>100</v>
      </c>
    </row>
    <row r="915" spans="1:6" x14ac:dyDescent="0.2">
      <c r="A915" s="2" t="str">
        <f>"2800695000000"</f>
        <v>2800695000000</v>
      </c>
      <c r="B915" s="1" t="s">
        <v>912</v>
      </c>
      <c r="C915" s="9" t="s">
        <v>3403</v>
      </c>
      <c r="D915" s="6">
        <v>1143.8499999999999</v>
      </c>
      <c r="F915">
        <v>100</v>
      </c>
    </row>
    <row r="916" spans="1:6" x14ac:dyDescent="0.2">
      <c r="A916" s="2" t="str">
        <f>"5998003149855"</f>
        <v>5998003149855</v>
      </c>
      <c r="B916" s="1" t="s">
        <v>913</v>
      </c>
      <c r="C916" s="9" t="s">
        <v>3400</v>
      </c>
      <c r="D916" s="6">
        <v>318.87</v>
      </c>
      <c r="F916">
        <v>100</v>
      </c>
    </row>
    <row r="917" spans="1:6" x14ac:dyDescent="0.2">
      <c r="A917" s="2" t="str">
        <f>"5998002016073"</f>
        <v>5998002016073</v>
      </c>
      <c r="B917" s="1" t="s">
        <v>914</v>
      </c>
      <c r="C917" s="9" t="s">
        <v>3400</v>
      </c>
      <c r="D917" s="6">
        <v>217.66</v>
      </c>
      <c r="F917">
        <v>100</v>
      </c>
    </row>
    <row r="918" spans="1:6" x14ac:dyDescent="0.2">
      <c r="A918" s="2" t="str">
        <f>"2800058000000"</f>
        <v>2800058000000</v>
      </c>
      <c r="B918" s="1" t="s">
        <v>915</v>
      </c>
      <c r="C918" s="9" t="s">
        <v>3400</v>
      </c>
      <c r="D918" s="6">
        <v>1083.6199999999999</v>
      </c>
      <c r="F918">
        <v>100</v>
      </c>
    </row>
    <row r="919" spans="1:6" x14ac:dyDescent="0.2">
      <c r="A919" s="2" t="str">
        <f>"2800407000000"</f>
        <v>2800407000000</v>
      </c>
      <c r="B919" s="1" t="s">
        <v>916</v>
      </c>
      <c r="C919" s="9" t="s">
        <v>3400</v>
      </c>
      <c r="D919" s="6">
        <v>1809.93</v>
      </c>
      <c r="F919">
        <v>100</v>
      </c>
    </row>
    <row r="920" spans="1:6" x14ac:dyDescent="0.2">
      <c r="A920" s="2" t="str">
        <f>"2800702000000"</f>
        <v>2800702000000</v>
      </c>
      <c r="B920" s="1" t="s">
        <v>917</v>
      </c>
      <c r="C920" s="9" t="s">
        <v>3403</v>
      </c>
      <c r="D920" s="6">
        <v>1611.22</v>
      </c>
      <c r="F920">
        <v>100</v>
      </c>
    </row>
    <row r="921" spans="1:6" x14ac:dyDescent="0.2">
      <c r="A921" s="2" t="str">
        <f>"2800575000000"</f>
        <v>2800575000000</v>
      </c>
      <c r="B921" s="1" t="s">
        <v>918</v>
      </c>
      <c r="C921" s="9" t="s">
        <v>3402</v>
      </c>
      <c r="D921" s="6">
        <v>1518.35</v>
      </c>
      <c r="F921">
        <v>100</v>
      </c>
    </row>
    <row r="922" spans="1:6" x14ac:dyDescent="0.2">
      <c r="A922" s="2" t="str">
        <f>"8586019504484"</f>
        <v>8586019504484</v>
      </c>
      <c r="B922" s="1" t="s">
        <v>919</v>
      </c>
      <c r="C922" s="9" t="s">
        <v>3400</v>
      </c>
      <c r="D922" s="6">
        <v>176.67</v>
      </c>
      <c r="F922">
        <v>100</v>
      </c>
    </row>
    <row r="923" spans="1:6" x14ac:dyDescent="0.2">
      <c r="A923" s="2" t="str">
        <f>"8594176770734"</f>
        <v>8594176770734</v>
      </c>
      <c r="B923" s="1" t="s">
        <v>920</v>
      </c>
      <c r="C923" s="9" t="s">
        <v>3402</v>
      </c>
      <c r="D923" s="6">
        <v>223.84</v>
      </c>
      <c r="F923">
        <v>100</v>
      </c>
    </row>
    <row r="924" spans="1:6" x14ac:dyDescent="0.2">
      <c r="A924" s="2" t="str">
        <f>"5998002084621"</f>
        <v>5998002084621</v>
      </c>
      <c r="B924" s="1" t="s">
        <v>921</v>
      </c>
      <c r="C924" s="9" t="s">
        <v>3400</v>
      </c>
      <c r="D924" s="6">
        <v>320.93</v>
      </c>
      <c r="F924">
        <v>100</v>
      </c>
    </row>
    <row r="925" spans="1:6" x14ac:dyDescent="0.2">
      <c r="A925" s="2" t="str">
        <f>"5998002016080"</f>
        <v>5998002016080</v>
      </c>
      <c r="B925" s="1" t="s">
        <v>922</v>
      </c>
      <c r="C925" s="9" t="s">
        <v>3400</v>
      </c>
      <c r="D925" s="6">
        <v>217.78</v>
      </c>
      <c r="F925">
        <v>100</v>
      </c>
    </row>
    <row r="926" spans="1:6" x14ac:dyDescent="0.2">
      <c r="A926" s="2" t="str">
        <f>"8594013391665"</f>
        <v>8594013391665</v>
      </c>
      <c r="B926" s="1" t="s">
        <v>923</v>
      </c>
      <c r="C926" s="9" t="s">
        <v>3401</v>
      </c>
      <c r="D926" s="6">
        <v>221.99</v>
      </c>
      <c r="F926">
        <v>100</v>
      </c>
    </row>
    <row r="927" spans="1:6" x14ac:dyDescent="0.2">
      <c r="A927" s="2" t="str">
        <f>"8594013392273"</f>
        <v>8594013392273</v>
      </c>
      <c r="B927" s="1" t="s">
        <v>924</v>
      </c>
      <c r="C927" s="9" t="s">
        <v>3401</v>
      </c>
      <c r="D927" s="6">
        <v>222.25</v>
      </c>
      <c r="F927">
        <v>100</v>
      </c>
    </row>
    <row r="928" spans="1:6" x14ac:dyDescent="0.2">
      <c r="A928" s="2" t="str">
        <f>"5995662494326"</f>
        <v>5995662494326</v>
      </c>
      <c r="B928" s="1" t="s">
        <v>925</v>
      </c>
      <c r="C928" s="9" t="s">
        <v>3400</v>
      </c>
      <c r="D928" s="6">
        <v>239.52</v>
      </c>
      <c r="F928">
        <v>100</v>
      </c>
    </row>
    <row r="929" spans="1:6" x14ac:dyDescent="0.2">
      <c r="A929" s="2" t="str">
        <f>"5998003124104"</f>
        <v>5998003124104</v>
      </c>
      <c r="B929" s="1" t="s">
        <v>926</v>
      </c>
      <c r="C929" s="9" t="s">
        <v>3404</v>
      </c>
      <c r="D929" s="6">
        <v>517.34</v>
      </c>
      <c r="F929">
        <v>100</v>
      </c>
    </row>
    <row r="930" spans="1:6" x14ac:dyDescent="0.2">
      <c r="A930" s="2" t="str">
        <f>"5995663950890"</f>
        <v>5995663950890</v>
      </c>
      <c r="B930" s="1" t="s">
        <v>927</v>
      </c>
      <c r="C930" s="9" t="s">
        <v>3400</v>
      </c>
      <c r="D930" s="6">
        <v>302.62</v>
      </c>
      <c r="F930">
        <v>100</v>
      </c>
    </row>
    <row r="931" spans="1:6" x14ac:dyDescent="0.2">
      <c r="A931" s="2" t="str">
        <f>"5995663969397"</f>
        <v>5995663969397</v>
      </c>
      <c r="B931" s="1" t="s">
        <v>928</v>
      </c>
      <c r="C931" s="9" t="s">
        <v>3400</v>
      </c>
      <c r="D931" s="6">
        <v>262.48</v>
      </c>
      <c r="F931">
        <v>100</v>
      </c>
    </row>
    <row r="932" spans="1:6" x14ac:dyDescent="0.2">
      <c r="A932" s="2" t="str">
        <f>"5995663969113"</f>
        <v>5995663969113</v>
      </c>
      <c r="B932" s="1" t="s">
        <v>929</v>
      </c>
      <c r="C932" s="9" t="s">
        <v>3400</v>
      </c>
      <c r="D932" s="6">
        <v>256.70999999999998</v>
      </c>
      <c r="F932">
        <v>100</v>
      </c>
    </row>
    <row r="933" spans="1:6" x14ac:dyDescent="0.2">
      <c r="A933" s="2" t="str">
        <f>"2800469000000"</f>
        <v>2800469000000</v>
      </c>
      <c r="B933" s="1" t="s">
        <v>930</v>
      </c>
      <c r="C933" s="9" t="s">
        <v>3401</v>
      </c>
      <c r="D933" s="6">
        <v>1100.32</v>
      </c>
      <c r="F933">
        <v>100</v>
      </c>
    </row>
    <row r="934" spans="1:6" x14ac:dyDescent="0.2">
      <c r="A934" s="2" t="str">
        <f>"2800520000000"</f>
        <v>2800520000000</v>
      </c>
      <c r="B934" s="1" t="s">
        <v>931</v>
      </c>
      <c r="C934" s="9" t="s">
        <v>3401</v>
      </c>
      <c r="D934" s="6">
        <v>533.08000000000004</v>
      </c>
      <c r="F934">
        <v>100</v>
      </c>
    </row>
    <row r="935" spans="1:6" x14ac:dyDescent="0.2">
      <c r="A935" s="2" t="str">
        <f>"5998003126450"</f>
        <v>5998003126450</v>
      </c>
      <c r="B935" s="1" t="s">
        <v>932</v>
      </c>
      <c r="C935" s="9" t="s">
        <v>3401</v>
      </c>
      <c r="D935" s="6">
        <v>223.88</v>
      </c>
      <c r="F935">
        <v>100</v>
      </c>
    </row>
    <row r="936" spans="1:6" x14ac:dyDescent="0.2">
      <c r="A936" s="2" t="str">
        <f>"5995663968376"</f>
        <v>5995663968376</v>
      </c>
      <c r="B936" s="1" t="s">
        <v>933</v>
      </c>
      <c r="C936" s="9" t="s">
        <v>3400</v>
      </c>
      <c r="D936" s="6">
        <v>178.24</v>
      </c>
      <c r="F936">
        <v>100</v>
      </c>
    </row>
    <row r="937" spans="1:6" x14ac:dyDescent="0.2">
      <c r="A937" s="2" t="str">
        <f>"5998997411716"</f>
        <v>5998997411716</v>
      </c>
      <c r="B937" s="1" t="s">
        <v>934</v>
      </c>
      <c r="C937" s="9" t="s">
        <v>3400</v>
      </c>
      <c r="D937" s="6">
        <v>593.54999999999995</v>
      </c>
      <c r="F937">
        <v>100</v>
      </c>
    </row>
    <row r="938" spans="1:6" x14ac:dyDescent="0.2">
      <c r="A938" s="2" t="str">
        <f>"8586019505801"</f>
        <v>8586019505801</v>
      </c>
      <c r="B938" s="1" t="s">
        <v>935</v>
      </c>
      <c r="C938" s="9" t="s">
        <v>3400</v>
      </c>
      <c r="D938" s="6">
        <v>209.55</v>
      </c>
      <c r="F938">
        <v>100</v>
      </c>
    </row>
    <row r="939" spans="1:6" x14ac:dyDescent="0.2">
      <c r="A939" s="2" t="str">
        <f>"8586019504446"</f>
        <v>8586019504446</v>
      </c>
      <c r="B939" s="1" t="s">
        <v>936</v>
      </c>
      <c r="C939" s="9" t="s">
        <v>3400</v>
      </c>
      <c r="D939" s="6">
        <v>177.51</v>
      </c>
      <c r="F939">
        <v>100</v>
      </c>
    </row>
    <row r="940" spans="1:6" x14ac:dyDescent="0.2">
      <c r="A940" s="2" t="str">
        <f>"5998003112729"</f>
        <v>5998003112729</v>
      </c>
      <c r="B940" s="1" t="s">
        <v>937</v>
      </c>
      <c r="C940" s="9" t="s">
        <v>3400</v>
      </c>
      <c r="D940" s="6">
        <v>168.94</v>
      </c>
      <c r="F940">
        <v>100</v>
      </c>
    </row>
    <row r="941" spans="1:6" x14ac:dyDescent="0.2">
      <c r="A941" s="2" t="str">
        <f>"5998997440877"</f>
        <v>5998997440877</v>
      </c>
      <c r="B941" s="1" t="s">
        <v>938</v>
      </c>
      <c r="C941" s="9" t="s">
        <v>3400</v>
      </c>
      <c r="D941" s="6">
        <v>137.87</v>
      </c>
      <c r="F941">
        <v>100</v>
      </c>
    </row>
    <row r="942" spans="1:6" x14ac:dyDescent="0.2">
      <c r="A942" s="2" t="str">
        <f>"5998002016370"</f>
        <v>5998002016370</v>
      </c>
      <c r="B942" s="1" t="s">
        <v>939</v>
      </c>
      <c r="C942" s="9" t="s">
        <v>3400</v>
      </c>
      <c r="D942" s="6">
        <v>222.31</v>
      </c>
      <c r="F942">
        <v>100</v>
      </c>
    </row>
    <row r="943" spans="1:6" x14ac:dyDescent="0.2">
      <c r="A943" s="2" t="str">
        <f>"5998002084614"</f>
        <v>5998002084614</v>
      </c>
      <c r="B943" s="1" t="s">
        <v>940</v>
      </c>
      <c r="C943" s="9" t="s">
        <v>3400</v>
      </c>
      <c r="D943" s="6">
        <v>335.74</v>
      </c>
      <c r="F943">
        <v>100</v>
      </c>
    </row>
    <row r="944" spans="1:6" x14ac:dyDescent="0.2">
      <c r="A944" s="2" t="str">
        <f>"5998002016097"</f>
        <v>5998002016097</v>
      </c>
      <c r="B944" s="1" t="s">
        <v>941</v>
      </c>
      <c r="C944" s="9" t="s">
        <v>3400</v>
      </c>
      <c r="D944" s="6">
        <v>228.87</v>
      </c>
      <c r="F944">
        <v>100</v>
      </c>
    </row>
    <row r="945" spans="1:6" x14ac:dyDescent="0.2">
      <c r="A945" s="2" t="str">
        <f>"5995662640372"</f>
        <v>5995662640372</v>
      </c>
      <c r="B945" s="1" t="s">
        <v>942</v>
      </c>
      <c r="C945" s="9" t="s">
        <v>3400</v>
      </c>
      <c r="D945" s="6">
        <v>355.75</v>
      </c>
      <c r="F945">
        <v>100</v>
      </c>
    </row>
    <row r="946" spans="1:6" x14ac:dyDescent="0.2">
      <c r="A946" s="2" t="str">
        <f>"5999884485100"</f>
        <v>5999884485100</v>
      </c>
      <c r="B946" s="1" t="s">
        <v>943</v>
      </c>
      <c r="C946" s="9" t="s">
        <v>3401</v>
      </c>
      <c r="D946" s="6">
        <v>208.62</v>
      </c>
      <c r="F946">
        <v>100</v>
      </c>
    </row>
    <row r="947" spans="1:6" x14ac:dyDescent="0.2">
      <c r="A947" s="2" t="str">
        <f>"5999884485018"</f>
        <v>5999884485018</v>
      </c>
      <c r="B947" s="1" t="s">
        <v>944</v>
      </c>
      <c r="C947" s="9" t="s">
        <v>3400</v>
      </c>
      <c r="D947" s="6">
        <v>666.62</v>
      </c>
      <c r="F947">
        <v>100</v>
      </c>
    </row>
    <row r="948" spans="1:6" x14ac:dyDescent="0.2">
      <c r="A948" s="2" t="str">
        <f>"5998003124289"</f>
        <v>5998003124289</v>
      </c>
      <c r="B948" s="1" t="s">
        <v>945</v>
      </c>
      <c r="C948" s="9" t="s">
        <v>3404</v>
      </c>
      <c r="D948" s="6">
        <v>316.51</v>
      </c>
      <c r="F948">
        <v>100</v>
      </c>
    </row>
    <row r="949" spans="1:6" x14ac:dyDescent="0.2">
      <c r="A949" s="2" t="str">
        <f>"5998003116628"</f>
        <v>5998003116628</v>
      </c>
      <c r="B949" s="1" t="s">
        <v>946</v>
      </c>
      <c r="C949" s="9" t="s">
        <v>3404</v>
      </c>
      <c r="D949" s="6">
        <v>373.02</v>
      </c>
      <c r="F949">
        <v>100</v>
      </c>
    </row>
    <row r="950" spans="1:6" x14ac:dyDescent="0.2">
      <c r="A950" s="2" t="str">
        <f>"5995663940341"</f>
        <v>5995663940341</v>
      </c>
      <c r="B950" s="1" t="s">
        <v>947</v>
      </c>
      <c r="C950" s="9" t="s">
        <v>3400</v>
      </c>
      <c r="D950" s="6">
        <v>302.62</v>
      </c>
      <c r="F950">
        <v>100</v>
      </c>
    </row>
    <row r="951" spans="1:6" x14ac:dyDescent="0.2">
      <c r="A951" s="2" t="str">
        <f>"5996300910734"</f>
        <v>5996300910734</v>
      </c>
      <c r="B951" s="1" t="s">
        <v>948</v>
      </c>
      <c r="C951" s="9" t="s">
        <v>3400</v>
      </c>
      <c r="D951" s="6">
        <v>268.12</v>
      </c>
      <c r="F951">
        <v>100</v>
      </c>
    </row>
    <row r="952" spans="1:6" x14ac:dyDescent="0.2">
      <c r="A952" s="2" t="str">
        <f>"2800699000000"</f>
        <v>2800699000000</v>
      </c>
      <c r="B952" s="1" t="s">
        <v>949</v>
      </c>
      <c r="C952" s="9" t="s">
        <v>3403</v>
      </c>
      <c r="D952" s="6">
        <v>2239.66</v>
      </c>
      <c r="F952">
        <v>100</v>
      </c>
    </row>
    <row r="953" spans="1:6" x14ac:dyDescent="0.2">
      <c r="A953" s="2" t="str">
        <f>"2800997000000"</f>
        <v>2800997000000</v>
      </c>
      <c r="B953" s="1" t="s">
        <v>950</v>
      </c>
      <c r="C953" s="9" t="s">
        <v>3404</v>
      </c>
      <c r="D953" s="6">
        <v>1332.91</v>
      </c>
      <c r="F953">
        <v>100</v>
      </c>
    </row>
    <row r="954" spans="1:6" x14ac:dyDescent="0.2">
      <c r="A954" s="2" t="str">
        <f>"5999553440102"</f>
        <v>5999553440102</v>
      </c>
      <c r="B954" s="1" t="s">
        <v>951</v>
      </c>
      <c r="C954" s="9" t="s">
        <v>3405</v>
      </c>
      <c r="D954" s="6">
        <v>429.03</v>
      </c>
      <c r="F954">
        <v>100</v>
      </c>
    </row>
    <row r="955" spans="1:6" x14ac:dyDescent="0.2">
      <c r="A955" s="2" t="str">
        <f>"8586019505849"</f>
        <v>8586019505849</v>
      </c>
      <c r="B955" s="1" t="s">
        <v>952</v>
      </c>
      <c r="C955" s="9" t="s">
        <v>3400</v>
      </c>
      <c r="D955" s="6">
        <v>209.55</v>
      </c>
      <c r="F955">
        <v>100</v>
      </c>
    </row>
    <row r="956" spans="1:6" x14ac:dyDescent="0.2">
      <c r="A956" s="2" t="str">
        <f>"8594041519260"</f>
        <v>8594041519260</v>
      </c>
      <c r="B956" s="1" t="s">
        <v>953</v>
      </c>
      <c r="C956" s="9" t="s">
        <v>3400</v>
      </c>
      <c r="D956" s="6">
        <v>217.5</v>
      </c>
      <c r="F956">
        <v>100</v>
      </c>
    </row>
    <row r="957" spans="1:6" x14ac:dyDescent="0.2">
      <c r="A957" s="2" t="str">
        <f>"5998002084911"</f>
        <v>5998002084911</v>
      </c>
      <c r="B957" s="1" t="s">
        <v>954</v>
      </c>
      <c r="C957" s="9" t="s">
        <v>3400</v>
      </c>
      <c r="D957" s="6">
        <v>361.33</v>
      </c>
      <c r="F957">
        <v>100</v>
      </c>
    </row>
    <row r="958" spans="1:6" x14ac:dyDescent="0.2">
      <c r="A958" s="2" t="str">
        <f>"5998002036392"</f>
        <v>5998002036392</v>
      </c>
      <c r="B958" s="1" t="s">
        <v>955</v>
      </c>
      <c r="C958" s="9" t="s">
        <v>3400</v>
      </c>
      <c r="D958" s="6">
        <v>221.79</v>
      </c>
      <c r="F958">
        <v>100</v>
      </c>
    </row>
    <row r="959" spans="1:6" x14ac:dyDescent="0.2">
      <c r="A959" s="2" t="str">
        <f>"5999884485605"</f>
        <v>5999884485605</v>
      </c>
      <c r="B959" s="1" t="s">
        <v>956</v>
      </c>
      <c r="C959" s="9" t="s">
        <v>3400</v>
      </c>
      <c r="D959" s="6">
        <v>346.87</v>
      </c>
      <c r="F959">
        <v>100</v>
      </c>
    </row>
    <row r="960" spans="1:6" x14ac:dyDescent="0.2">
      <c r="A960" s="2" t="str">
        <f>"5998003160836"</f>
        <v>5998003160836</v>
      </c>
      <c r="B960" s="1" t="s">
        <v>957</v>
      </c>
      <c r="C960" s="9" t="s">
        <v>3400</v>
      </c>
      <c r="D960" s="6">
        <v>595.63</v>
      </c>
      <c r="F960">
        <v>100</v>
      </c>
    </row>
    <row r="961" spans="1:6" x14ac:dyDescent="0.2">
      <c r="A961" s="2" t="str">
        <f>"5999565180119"</f>
        <v>5999565180119</v>
      </c>
      <c r="B961" s="1" t="s">
        <v>958</v>
      </c>
      <c r="C961" s="9" t="s">
        <v>3400</v>
      </c>
      <c r="D961" s="6">
        <v>392.56</v>
      </c>
      <c r="F961">
        <v>100</v>
      </c>
    </row>
    <row r="962" spans="1:6" x14ac:dyDescent="0.2">
      <c r="A962" s="2" t="str">
        <f>"8588001953546"</f>
        <v>8588001953546</v>
      </c>
      <c r="B962" s="1" t="s">
        <v>959</v>
      </c>
      <c r="C962" s="9" t="s">
        <v>3400</v>
      </c>
      <c r="D962" s="6">
        <v>159.33000000000001</v>
      </c>
      <c r="F962">
        <v>100</v>
      </c>
    </row>
    <row r="963" spans="1:6" x14ac:dyDescent="0.2">
      <c r="A963" s="2" t="str">
        <f>"2800911000000"</f>
        <v>2800911000000</v>
      </c>
      <c r="B963" s="1" t="s">
        <v>960</v>
      </c>
      <c r="C963" s="9" t="s">
        <v>3403</v>
      </c>
      <c r="D963" s="6">
        <v>1937.27</v>
      </c>
      <c r="F963">
        <v>100</v>
      </c>
    </row>
    <row r="964" spans="1:6" x14ac:dyDescent="0.2">
      <c r="A964" s="2" t="str">
        <f>"2800713000000"</f>
        <v>2800713000000</v>
      </c>
      <c r="B964" s="1" t="s">
        <v>961</v>
      </c>
      <c r="C964" s="9" t="s">
        <v>3400</v>
      </c>
      <c r="D964" s="6">
        <v>887.35</v>
      </c>
      <c r="F964">
        <v>100</v>
      </c>
    </row>
    <row r="965" spans="1:6" x14ac:dyDescent="0.2">
      <c r="A965" s="2" t="str">
        <f>"2800720000000"</f>
        <v>2800720000000</v>
      </c>
      <c r="B965" s="1" t="s">
        <v>962</v>
      </c>
      <c r="C965" s="9" t="s">
        <v>3404</v>
      </c>
      <c r="D965" s="6">
        <v>1546.37</v>
      </c>
      <c r="F965">
        <v>100</v>
      </c>
    </row>
    <row r="966" spans="1:6" x14ac:dyDescent="0.2">
      <c r="A966" s="2" t="str">
        <f>"2800516000000"</f>
        <v>2800516000000</v>
      </c>
      <c r="B966" s="1" t="s">
        <v>963</v>
      </c>
      <c r="C966" s="9" t="s">
        <v>3400</v>
      </c>
      <c r="D966" s="6">
        <v>2282.1999999999998</v>
      </c>
      <c r="F966">
        <v>100</v>
      </c>
    </row>
    <row r="967" spans="1:6" x14ac:dyDescent="0.2">
      <c r="A967" s="2" t="str">
        <f>"2800800000000"</f>
        <v>2800800000000</v>
      </c>
      <c r="B967" s="1" t="s">
        <v>964</v>
      </c>
      <c r="C967" s="9" t="s">
        <v>3403</v>
      </c>
      <c r="D967" s="6">
        <v>1849.41</v>
      </c>
      <c r="F967">
        <v>100</v>
      </c>
    </row>
    <row r="968" spans="1:6" x14ac:dyDescent="0.2">
      <c r="A968" s="2" t="str">
        <f>"5998003125590"</f>
        <v>5998003125590</v>
      </c>
      <c r="B968" s="1" t="s">
        <v>965</v>
      </c>
      <c r="C968" s="9" t="s">
        <v>3401</v>
      </c>
      <c r="D968" s="6">
        <v>277.20999999999998</v>
      </c>
      <c r="F968">
        <v>100</v>
      </c>
    </row>
    <row r="969" spans="1:6" x14ac:dyDescent="0.2">
      <c r="A969" s="2" t="str">
        <f>"5998687511818"</f>
        <v>5998687511818</v>
      </c>
      <c r="B969" s="1" t="s">
        <v>966</v>
      </c>
      <c r="C969" s="9" t="s">
        <v>3400</v>
      </c>
      <c r="D969" s="6">
        <v>238.35</v>
      </c>
      <c r="F969">
        <v>100</v>
      </c>
    </row>
    <row r="970" spans="1:6" x14ac:dyDescent="0.2">
      <c r="A970" s="2" t="str">
        <f>"5999557793648"</f>
        <v>5999557793648</v>
      </c>
      <c r="B970" s="1" t="s">
        <v>967</v>
      </c>
      <c r="C970" s="9" t="s">
        <v>3400</v>
      </c>
      <c r="D970" s="6">
        <v>499.71</v>
      </c>
      <c r="F970">
        <v>100</v>
      </c>
    </row>
    <row r="971" spans="1:6" x14ac:dyDescent="0.2">
      <c r="A971" s="2" t="str">
        <f>"8594041519352"</f>
        <v>8594041519352</v>
      </c>
      <c r="B971" s="1" t="s">
        <v>968</v>
      </c>
      <c r="C971" s="9" t="s">
        <v>3400</v>
      </c>
      <c r="D971" s="6">
        <v>217.03</v>
      </c>
      <c r="F971">
        <v>100</v>
      </c>
    </row>
    <row r="972" spans="1:6" x14ac:dyDescent="0.2">
      <c r="A972" s="2" t="str">
        <f>"8594041519338"</f>
        <v>8594041519338</v>
      </c>
      <c r="B972" s="1" t="s">
        <v>969</v>
      </c>
      <c r="C972" s="9" t="s">
        <v>3400</v>
      </c>
      <c r="D972" s="6">
        <v>221.22</v>
      </c>
      <c r="F972">
        <v>100</v>
      </c>
    </row>
    <row r="973" spans="1:6" x14ac:dyDescent="0.2">
      <c r="A973" s="2" t="str">
        <f>"8594176770710"</f>
        <v>8594176770710</v>
      </c>
      <c r="B973" s="1" t="s">
        <v>970</v>
      </c>
      <c r="C973" s="9" t="s">
        <v>3402</v>
      </c>
      <c r="D973" s="6">
        <v>219.2</v>
      </c>
      <c r="F973">
        <v>100</v>
      </c>
    </row>
    <row r="974" spans="1:6" x14ac:dyDescent="0.2">
      <c r="A974" s="2" t="str">
        <f>"5998002020131"</f>
        <v>5998002020131</v>
      </c>
      <c r="B974" s="1" t="s">
        <v>971</v>
      </c>
      <c r="C974" s="9" t="s">
        <v>3400</v>
      </c>
      <c r="D974" s="6">
        <v>346.39</v>
      </c>
      <c r="F974">
        <v>100</v>
      </c>
    </row>
    <row r="975" spans="1:6" x14ac:dyDescent="0.2">
      <c r="A975" s="2" t="str">
        <f>"5998002016066"</f>
        <v>5998002016066</v>
      </c>
      <c r="B975" s="1" t="s">
        <v>972</v>
      </c>
      <c r="C975" s="9" t="s">
        <v>3400</v>
      </c>
      <c r="D975" s="6">
        <v>214.42</v>
      </c>
      <c r="F975">
        <v>100</v>
      </c>
    </row>
    <row r="976" spans="1:6" x14ac:dyDescent="0.2">
      <c r="A976" s="2" t="str">
        <f>"5995662328553"</f>
        <v>5995662328553</v>
      </c>
      <c r="B976" s="1" t="s">
        <v>973</v>
      </c>
      <c r="C976" s="9" t="s">
        <v>3400</v>
      </c>
      <c r="D976" s="6">
        <v>247.26</v>
      </c>
      <c r="F976">
        <v>100</v>
      </c>
    </row>
    <row r="977" spans="1:6" x14ac:dyDescent="0.2">
      <c r="A977" s="2" t="str">
        <f>"5995662640365"</f>
        <v>5995662640365</v>
      </c>
      <c r="B977" s="1" t="s">
        <v>974</v>
      </c>
      <c r="C977" s="9" t="s">
        <v>3400</v>
      </c>
      <c r="D977" s="6">
        <v>193.01</v>
      </c>
      <c r="F977">
        <v>100</v>
      </c>
    </row>
    <row r="978" spans="1:6" x14ac:dyDescent="0.2">
      <c r="A978" s="2" t="str">
        <f>"5995663968598"</f>
        <v>5995663968598</v>
      </c>
      <c r="B978" s="1" t="s">
        <v>975</v>
      </c>
      <c r="C978" s="9" t="s">
        <v>3400</v>
      </c>
      <c r="D978" s="6">
        <v>195.18</v>
      </c>
      <c r="F978">
        <v>100</v>
      </c>
    </row>
    <row r="979" spans="1:6" x14ac:dyDescent="0.2">
      <c r="A979" s="2" t="str">
        <f>"2800467000000"</f>
        <v>2800467000000</v>
      </c>
      <c r="B979" s="1" t="s">
        <v>976</v>
      </c>
      <c r="C979" s="9" t="s">
        <v>3401</v>
      </c>
      <c r="D979" s="6">
        <v>1389.23</v>
      </c>
      <c r="F979">
        <v>100</v>
      </c>
    </row>
    <row r="980" spans="1:6" x14ac:dyDescent="0.2">
      <c r="A980" s="2" t="str">
        <f>"2800434000000"</f>
        <v>2800434000000</v>
      </c>
      <c r="B980" s="1" t="s">
        <v>977</v>
      </c>
      <c r="C980" s="9" t="s">
        <v>3403</v>
      </c>
      <c r="D980" s="6">
        <v>2015.75</v>
      </c>
      <c r="F980">
        <v>100</v>
      </c>
    </row>
    <row r="981" spans="1:6" x14ac:dyDescent="0.2">
      <c r="A981" s="2" t="str">
        <f>"2800495000000"</f>
        <v>2800495000000</v>
      </c>
      <c r="B981" s="1" t="s">
        <v>978</v>
      </c>
      <c r="C981" s="9" t="s">
        <v>3403</v>
      </c>
      <c r="D981" s="6">
        <v>2927.88</v>
      </c>
      <c r="F981">
        <v>100</v>
      </c>
    </row>
    <row r="982" spans="1:6" x14ac:dyDescent="0.2">
      <c r="A982" s="2" t="str">
        <f>"2800538000000"</f>
        <v>2800538000000</v>
      </c>
      <c r="B982" s="1" t="s">
        <v>979</v>
      </c>
      <c r="C982" s="9" t="s">
        <v>3405</v>
      </c>
      <c r="D982" s="6">
        <v>1307.52</v>
      </c>
      <c r="F982">
        <v>100</v>
      </c>
    </row>
    <row r="983" spans="1:6" x14ac:dyDescent="0.2">
      <c r="A983" s="2" t="str">
        <f>"2800801000000"</f>
        <v>2800801000000</v>
      </c>
      <c r="B983" s="1" t="s">
        <v>980</v>
      </c>
      <c r="C983" s="9" t="s">
        <v>3403</v>
      </c>
      <c r="D983" s="6">
        <v>1487.93</v>
      </c>
      <c r="F983">
        <v>100</v>
      </c>
    </row>
    <row r="984" spans="1:6" x14ac:dyDescent="0.2">
      <c r="A984" s="2" t="str">
        <f>"2800990000000"</f>
        <v>2800990000000</v>
      </c>
      <c r="B984" s="1" t="s">
        <v>981</v>
      </c>
      <c r="C984" s="9" t="s">
        <v>3406</v>
      </c>
      <c r="D984" s="6">
        <v>1903.73</v>
      </c>
      <c r="F984">
        <v>100</v>
      </c>
    </row>
    <row r="985" spans="1:6" x14ac:dyDescent="0.2">
      <c r="A985" s="2" t="str">
        <f>"2800409000000"</f>
        <v>2800409000000</v>
      </c>
      <c r="B985" s="1" t="s">
        <v>982</v>
      </c>
      <c r="C985" s="9" t="s">
        <v>3404</v>
      </c>
      <c r="D985" s="6">
        <v>2096.71</v>
      </c>
      <c r="F985">
        <v>100</v>
      </c>
    </row>
    <row r="986" spans="1:6" x14ac:dyDescent="0.2">
      <c r="A986" s="2" t="str">
        <f>"2800666000000"</f>
        <v>2800666000000</v>
      </c>
      <c r="B986" s="1" t="s">
        <v>983</v>
      </c>
      <c r="C986" s="9" t="s">
        <v>3404</v>
      </c>
      <c r="D986" s="6">
        <v>1526.78</v>
      </c>
      <c r="F986">
        <v>100</v>
      </c>
    </row>
    <row r="987" spans="1:6" x14ac:dyDescent="0.2">
      <c r="A987" s="2" t="str">
        <f>"2820001000000"</f>
        <v>2820001000000</v>
      </c>
      <c r="B987" s="1" t="s">
        <v>984</v>
      </c>
      <c r="C987" s="9" t="s">
        <v>3400</v>
      </c>
      <c r="D987" s="6">
        <v>1836.35</v>
      </c>
      <c r="F987">
        <v>100</v>
      </c>
    </row>
    <row r="988" spans="1:6" x14ac:dyDescent="0.2">
      <c r="A988" s="2" t="str">
        <f>"2800281000000"</f>
        <v>2800281000000</v>
      </c>
      <c r="B988" s="1" t="s">
        <v>985</v>
      </c>
      <c r="C988" s="9" t="s">
        <v>3400</v>
      </c>
      <c r="D988" s="6">
        <v>379.74</v>
      </c>
      <c r="F988">
        <v>100</v>
      </c>
    </row>
    <row r="989" spans="1:6" x14ac:dyDescent="0.2">
      <c r="A989" s="2" t="str">
        <f>"2800456000000"</f>
        <v>2800456000000</v>
      </c>
      <c r="B989" s="1" t="s">
        <v>986</v>
      </c>
      <c r="C989" s="9" t="s">
        <v>3404</v>
      </c>
      <c r="D989" s="6">
        <v>1875.56</v>
      </c>
      <c r="F989">
        <v>100</v>
      </c>
    </row>
    <row r="990" spans="1:6" x14ac:dyDescent="0.2">
      <c r="A990" s="2" t="str">
        <f>"2800515000000"</f>
        <v>2800515000000</v>
      </c>
      <c r="B990" s="1" t="s">
        <v>987</v>
      </c>
      <c r="C990" s="9" t="s">
        <v>3404</v>
      </c>
      <c r="D990" s="6">
        <v>1776.9</v>
      </c>
      <c r="F990">
        <v>100</v>
      </c>
    </row>
    <row r="991" spans="1:6" x14ac:dyDescent="0.2">
      <c r="A991" s="2" t="str">
        <f>"2800667000000"</f>
        <v>2800667000000</v>
      </c>
      <c r="B991" s="1" t="s">
        <v>988</v>
      </c>
      <c r="C991" s="9" t="s">
        <v>3404</v>
      </c>
      <c r="D991" s="6">
        <v>1525.17</v>
      </c>
      <c r="F991">
        <v>100</v>
      </c>
    </row>
    <row r="992" spans="1:6" x14ac:dyDescent="0.2">
      <c r="A992" s="2" t="str">
        <f>"2800542000000"</f>
        <v>2800542000000</v>
      </c>
      <c r="B992" s="1" t="s">
        <v>989</v>
      </c>
      <c r="C992" s="9" t="s">
        <v>3400</v>
      </c>
      <c r="D992" s="6">
        <v>1402.24</v>
      </c>
      <c r="F992">
        <v>100</v>
      </c>
    </row>
    <row r="993" spans="1:6" x14ac:dyDescent="0.2">
      <c r="A993" s="2" t="str">
        <f>"2800135000000"</f>
        <v>2800135000000</v>
      </c>
      <c r="B993" s="1" t="s">
        <v>990</v>
      </c>
      <c r="C993" s="9" t="s">
        <v>3401</v>
      </c>
      <c r="D993" s="6">
        <v>1282.24</v>
      </c>
      <c r="F993">
        <v>100</v>
      </c>
    </row>
    <row r="994" spans="1:6" x14ac:dyDescent="0.2">
      <c r="A994" s="2" t="str">
        <f>"2800471000000"</f>
        <v>2800471000000</v>
      </c>
      <c r="B994" s="1" t="s">
        <v>991</v>
      </c>
      <c r="C994" s="9" t="s">
        <v>3400</v>
      </c>
      <c r="D994" s="6">
        <v>1213.74</v>
      </c>
      <c r="F994">
        <v>100</v>
      </c>
    </row>
    <row r="995" spans="1:6" x14ac:dyDescent="0.2">
      <c r="A995" s="2" t="str">
        <f>"2800052000000"</f>
        <v>2800052000000</v>
      </c>
      <c r="B995" s="1" t="s">
        <v>992</v>
      </c>
      <c r="C995" s="9" t="s">
        <v>3400</v>
      </c>
      <c r="D995" s="6">
        <v>747.47</v>
      </c>
      <c r="F995">
        <v>100</v>
      </c>
    </row>
    <row r="996" spans="1:6" x14ac:dyDescent="0.2">
      <c r="A996" s="2" t="str">
        <f>"8594176770697"</f>
        <v>8594176770697</v>
      </c>
      <c r="B996" s="1" t="s">
        <v>993</v>
      </c>
      <c r="C996" s="9" t="s">
        <v>3402</v>
      </c>
      <c r="D996" s="6">
        <v>224.31</v>
      </c>
      <c r="F996">
        <v>100</v>
      </c>
    </row>
    <row r="997" spans="1:6" x14ac:dyDescent="0.2">
      <c r="A997" s="2" t="str">
        <f>"8594013392266"</f>
        <v>8594013392266</v>
      </c>
      <c r="B997" s="1" t="s">
        <v>994</v>
      </c>
      <c r="C997" s="9" t="s">
        <v>3401</v>
      </c>
      <c r="D997" s="6">
        <v>267.19</v>
      </c>
      <c r="F997">
        <v>100</v>
      </c>
    </row>
    <row r="998" spans="1:6" x14ac:dyDescent="0.2">
      <c r="A998" s="2" t="str">
        <f>"5998202962477"</f>
        <v>5998202962477</v>
      </c>
      <c r="B998" s="1" t="s">
        <v>995</v>
      </c>
      <c r="C998" s="9" t="s">
        <v>3400</v>
      </c>
      <c r="D998" s="6">
        <v>130.21</v>
      </c>
      <c r="F998">
        <v>100</v>
      </c>
    </row>
    <row r="999" spans="1:6" x14ac:dyDescent="0.2">
      <c r="A999" s="2" t="str">
        <f>"5998003124043"</f>
        <v>5998003124043</v>
      </c>
      <c r="B999" s="1" t="s">
        <v>996</v>
      </c>
      <c r="C999" s="9" t="s">
        <v>3404</v>
      </c>
      <c r="D999" s="6">
        <v>518.84</v>
      </c>
      <c r="F999">
        <v>100</v>
      </c>
    </row>
    <row r="1000" spans="1:6" x14ac:dyDescent="0.2">
      <c r="A1000" s="2" t="str">
        <f>"5998003160225"</f>
        <v>5998003160225</v>
      </c>
      <c r="B1000" s="1" t="s">
        <v>997</v>
      </c>
      <c r="C1000" s="9" t="s">
        <v>3404</v>
      </c>
      <c r="D1000" s="6">
        <v>271.45</v>
      </c>
      <c r="F1000">
        <v>100</v>
      </c>
    </row>
    <row r="1001" spans="1:6" x14ac:dyDescent="0.2">
      <c r="A1001" s="2" t="str">
        <f>"5996300910673"</f>
        <v>5996300910673</v>
      </c>
      <c r="B1001" s="1" t="s">
        <v>998</v>
      </c>
      <c r="C1001" s="9" t="s">
        <v>3400</v>
      </c>
      <c r="D1001" s="6">
        <v>232.53</v>
      </c>
      <c r="F1001">
        <v>100</v>
      </c>
    </row>
    <row r="1002" spans="1:6" x14ac:dyDescent="0.2">
      <c r="A1002" s="2" t="str">
        <f>"5996300910710"</f>
        <v>5996300910710</v>
      </c>
      <c r="B1002" s="1" t="s">
        <v>999</v>
      </c>
      <c r="C1002" s="9" t="s">
        <v>3400</v>
      </c>
      <c r="D1002" s="6">
        <v>227.67</v>
      </c>
      <c r="F1002">
        <v>100</v>
      </c>
    </row>
    <row r="1003" spans="1:6" x14ac:dyDescent="0.2">
      <c r="A1003" s="2" t="str">
        <f>"2800003000000"</f>
        <v>2800003000000</v>
      </c>
      <c r="B1003" s="1" t="s">
        <v>1000</v>
      </c>
      <c r="C1003" s="9" t="s">
        <v>3401</v>
      </c>
      <c r="D1003" s="6">
        <v>971.55</v>
      </c>
      <c r="F1003">
        <v>100</v>
      </c>
    </row>
    <row r="1004" spans="1:6" x14ac:dyDescent="0.2">
      <c r="A1004" s="2" t="str">
        <f>"2800514000000"</f>
        <v>2800514000000</v>
      </c>
      <c r="B1004" s="1" t="s">
        <v>1001</v>
      </c>
      <c r="C1004" s="9" t="s">
        <v>3401</v>
      </c>
      <c r="D1004" s="6">
        <v>1593.08</v>
      </c>
      <c r="F1004">
        <v>100</v>
      </c>
    </row>
    <row r="1005" spans="1:6" x14ac:dyDescent="0.2">
      <c r="A1005" s="2" t="str">
        <f>"2800487000000"</f>
        <v>2800487000000</v>
      </c>
      <c r="B1005" s="1" t="s">
        <v>1002</v>
      </c>
      <c r="C1005" s="9" t="s">
        <v>3400</v>
      </c>
      <c r="D1005" s="6">
        <v>1440.64</v>
      </c>
      <c r="F1005">
        <v>100</v>
      </c>
    </row>
    <row r="1006" spans="1:6" x14ac:dyDescent="0.2">
      <c r="A1006" s="2" t="str">
        <f>"2800802000000"</f>
        <v>2800802000000</v>
      </c>
      <c r="B1006" s="1" t="s">
        <v>1003</v>
      </c>
      <c r="C1006" s="9" t="s">
        <v>3401</v>
      </c>
      <c r="D1006" s="6">
        <v>716.49</v>
      </c>
      <c r="F1006">
        <v>100</v>
      </c>
    </row>
    <row r="1007" spans="1:6" x14ac:dyDescent="0.2">
      <c r="A1007" s="2" t="str">
        <f>"2800531000000"</f>
        <v>2800531000000</v>
      </c>
      <c r="B1007" s="1" t="s">
        <v>1004</v>
      </c>
      <c r="C1007" s="9" t="s">
        <v>3405</v>
      </c>
      <c r="D1007" s="6">
        <v>1298.83</v>
      </c>
      <c r="F1007">
        <v>100</v>
      </c>
    </row>
    <row r="1008" spans="1:6" x14ac:dyDescent="0.2">
      <c r="A1008" s="2" t="str">
        <f>"2800532000000"</f>
        <v>2800532000000</v>
      </c>
      <c r="B1008" s="1" t="s">
        <v>1005</v>
      </c>
      <c r="C1008" s="9" t="s">
        <v>3405</v>
      </c>
      <c r="D1008" s="6">
        <v>1253.25</v>
      </c>
      <c r="F1008">
        <v>100</v>
      </c>
    </row>
    <row r="1009" spans="1:6" x14ac:dyDescent="0.2">
      <c r="A1009" s="2" t="str">
        <f>"2800672000000"</f>
        <v>2800672000000</v>
      </c>
      <c r="B1009" s="1" t="s">
        <v>1006</v>
      </c>
      <c r="C1009" s="9" t="s">
        <v>3400</v>
      </c>
      <c r="D1009" s="6">
        <v>1566.27</v>
      </c>
      <c r="F1009">
        <v>100</v>
      </c>
    </row>
    <row r="1010" spans="1:6" x14ac:dyDescent="0.2">
      <c r="A1010" s="2" t="str">
        <f>"2800088000000"</f>
        <v>2800088000000</v>
      </c>
      <c r="B1010" s="1" t="s">
        <v>1007</v>
      </c>
      <c r="C1010" s="9" t="s">
        <v>3400</v>
      </c>
      <c r="D1010" s="6">
        <v>1044.31</v>
      </c>
      <c r="F1010">
        <v>100</v>
      </c>
    </row>
    <row r="1011" spans="1:6" x14ac:dyDescent="0.2">
      <c r="A1011" s="2" t="str">
        <f>"2800222000000"</f>
        <v>2800222000000</v>
      </c>
      <c r="B1011" s="1" t="s">
        <v>1008</v>
      </c>
      <c r="C1011" s="9" t="s">
        <v>3401</v>
      </c>
      <c r="D1011" s="6">
        <v>983.73</v>
      </c>
      <c r="F1011">
        <v>100</v>
      </c>
    </row>
    <row r="1012" spans="1:6" x14ac:dyDescent="0.2">
      <c r="A1012" s="2" t="str">
        <f>"2800583000000"</f>
        <v>2800583000000</v>
      </c>
      <c r="B1012" s="1" t="s">
        <v>1009</v>
      </c>
      <c r="C1012" s="9" t="s">
        <v>3400</v>
      </c>
      <c r="D1012" s="6">
        <v>751.9</v>
      </c>
      <c r="F1012">
        <v>100</v>
      </c>
    </row>
    <row r="1013" spans="1:6" x14ac:dyDescent="0.2">
      <c r="A1013" s="2" t="str">
        <f>"2800529000000"</f>
        <v>2800529000000</v>
      </c>
      <c r="B1013" s="1" t="s">
        <v>1010</v>
      </c>
      <c r="C1013" s="9" t="s">
        <v>3400</v>
      </c>
      <c r="D1013" s="6">
        <v>1166.8900000000001</v>
      </c>
      <c r="F1013">
        <v>100</v>
      </c>
    </row>
    <row r="1014" spans="1:6" x14ac:dyDescent="0.2">
      <c r="A1014" s="2" t="str">
        <f>"2800708000000"</f>
        <v>2800708000000</v>
      </c>
      <c r="B1014" s="1" t="s">
        <v>1011</v>
      </c>
      <c r="C1014" s="9" t="s">
        <v>3401</v>
      </c>
      <c r="D1014" s="6">
        <v>868.69</v>
      </c>
      <c r="F1014">
        <v>100</v>
      </c>
    </row>
    <row r="1015" spans="1:6" x14ac:dyDescent="0.2">
      <c r="A1015" s="2" t="str">
        <f>"2800422000000"</f>
        <v>2800422000000</v>
      </c>
      <c r="B1015" s="1" t="s">
        <v>1012</v>
      </c>
      <c r="C1015" s="9" t="s">
        <v>3400</v>
      </c>
      <c r="D1015" s="6">
        <v>1421.19</v>
      </c>
      <c r="F1015">
        <v>100</v>
      </c>
    </row>
    <row r="1016" spans="1:6" x14ac:dyDescent="0.2">
      <c r="A1016" s="2" t="str">
        <f>"2800418000000"</f>
        <v>2800418000000</v>
      </c>
      <c r="B1016" s="1" t="s">
        <v>1013</v>
      </c>
      <c r="C1016" s="9" t="s">
        <v>3400</v>
      </c>
      <c r="D1016" s="6">
        <v>957.58</v>
      </c>
      <c r="F1016">
        <v>100</v>
      </c>
    </row>
    <row r="1017" spans="1:6" x14ac:dyDescent="0.2">
      <c r="A1017" s="2" t="str">
        <f>"2800466000000"</f>
        <v>2800466000000</v>
      </c>
      <c r="B1017" s="1" t="s">
        <v>1014</v>
      </c>
      <c r="C1017" s="9" t="s">
        <v>3401</v>
      </c>
      <c r="D1017" s="6">
        <v>730.26</v>
      </c>
      <c r="F1017">
        <v>100</v>
      </c>
    </row>
    <row r="1018" spans="1:6" x14ac:dyDescent="0.2">
      <c r="A1018" s="2" t="str">
        <f>"2800114000000"</f>
        <v>2800114000000</v>
      </c>
      <c r="B1018" s="1" t="s">
        <v>1015</v>
      </c>
      <c r="C1018" s="9" t="s">
        <v>3400</v>
      </c>
      <c r="D1018" s="6">
        <v>1373.1</v>
      </c>
      <c r="F1018">
        <v>100</v>
      </c>
    </row>
    <row r="1019" spans="1:6" x14ac:dyDescent="0.2">
      <c r="A1019" s="2" t="str">
        <f>"2800111000000"</f>
        <v>2800111000000</v>
      </c>
      <c r="B1019" s="1" t="s">
        <v>1016</v>
      </c>
      <c r="C1019" s="9" t="s">
        <v>3400</v>
      </c>
      <c r="D1019" s="6">
        <v>1352.92</v>
      </c>
      <c r="F1019">
        <v>100</v>
      </c>
    </row>
    <row r="1020" spans="1:6" x14ac:dyDescent="0.2">
      <c r="A1020" s="2" t="str">
        <f>"2800709000000"</f>
        <v>2800709000000</v>
      </c>
      <c r="B1020" s="1" t="s">
        <v>1017</v>
      </c>
      <c r="C1020" s="9" t="s">
        <v>3403</v>
      </c>
      <c r="D1020" s="6">
        <v>1736.07</v>
      </c>
      <c r="F1020">
        <v>100</v>
      </c>
    </row>
    <row r="1021" spans="1:6" x14ac:dyDescent="0.2">
      <c r="A1021" s="2" t="str">
        <f>"2800528000000"</f>
        <v>2800528000000</v>
      </c>
      <c r="B1021" s="1" t="s">
        <v>1018</v>
      </c>
      <c r="C1021" s="9" t="s">
        <v>3400</v>
      </c>
      <c r="D1021" s="6">
        <v>1156.21</v>
      </c>
      <c r="F1021">
        <v>100</v>
      </c>
    </row>
    <row r="1022" spans="1:6" x14ac:dyDescent="0.2">
      <c r="A1022" s="2" t="str">
        <f>"2800586000000"</f>
        <v>2800586000000</v>
      </c>
      <c r="B1022" s="1" t="s">
        <v>1019</v>
      </c>
      <c r="C1022" s="9" t="s">
        <v>3400</v>
      </c>
      <c r="D1022" s="6">
        <v>3079.65</v>
      </c>
      <c r="F1022">
        <v>100</v>
      </c>
    </row>
    <row r="1023" spans="1:6" x14ac:dyDescent="0.2">
      <c r="A1023" s="2" t="str">
        <f>"2800087000000"</f>
        <v>2800087000000</v>
      </c>
      <c r="B1023" s="1" t="s">
        <v>1020</v>
      </c>
      <c r="C1023" s="9" t="s">
        <v>3400</v>
      </c>
      <c r="D1023" s="6">
        <v>2163.4899999999998</v>
      </c>
      <c r="F1023">
        <v>100</v>
      </c>
    </row>
    <row r="1024" spans="1:6" x14ac:dyDescent="0.2">
      <c r="A1024" s="2" t="str">
        <f>"2800341000000"</f>
        <v>2800341000000</v>
      </c>
      <c r="B1024" s="1" t="s">
        <v>1021</v>
      </c>
      <c r="C1024" s="9" t="s">
        <v>3400</v>
      </c>
      <c r="D1024" s="6">
        <v>1441.32</v>
      </c>
      <c r="F1024">
        <v>100</v>
      </c>
    </row>
    <row r="1025" spans="1:6" x14ac:dyDescent="0.2">
      <c r="A1025" s="2" t="str">
        <f>"2800071000000"</f>
        <v>2800071000000</v>
      </c>
      <c r="B1025" s="1" t="s">
        <v>1022</v>
      </c>
      <c r="C1025" s="9" t="s">
        <v>3400</v>
      </c>
      <c r="D1025" s="6">
        <v>1013.54</v>
      </c>
      <c r="F1025">
        <v>100</v>
      </c>
    </row>
    <row r="1026" spans="1:6" x14ac:dyDescent="0.2">
      <c r="A1026" s="2" t="str">
        <f>"2800991000000"</f>
        <v>2800991000000</v>
      </c>
      <c r="B1026" s="1" t="s">
        <v>1023</v>
      </c>
      <c r="C1026" s="9" t="s">
        <v>3400</v>
      </c>
      <c r="D1026" s="6">
        <v>1152.6099999999999</v>
      </c>
      <c r="F1026">
        <v>100</v>
      </c>
    </row>
    <row r="1027" spans="1:6" x14ac:dyDescent="0.2">
      <c r="A1027" s="2" t="str">
        <f>"2800621000000"</f>
        <v>2800621000000</v>
      </c>
      <c r="B1027" s="1" t="s">
        <v>1024</v>
      </c>
      <c r="C1027" s="9" t="s">
        <v>3404</v>
      </c>
      <c r="D1027" s="6">
        <v>1507.22</v>
      </c>
      <c r="F1027">
        <v>100</v>
      </c>
    </row>
    <row r="1028" spans="1:6" x14ac:dyDescent="0.2">
      <c r="A1028" s="2" t="str">
        <f>"2800917000000"</f>
        <v>2800917000000</v>
      </c>
      <c r="B1028" s="1" t="s">
        <v>1025</v>
      </c>
      <c r="C1028" s="9" t="s">
        <v>3402</v>
      </c>
      <c r="D1028" s="6">
        <v>5290.75</v>
      </c>
      <c r="F1028">
        <v>100</v>
      </c>
    </row>
    <row r="1029" spans="1:6" x14ac:dyDescent="0.2">
      <c r="A1029" s="2" t="str">
        <f>"2800719000000"</f>
        <v>2800719000000</v>
      </c>
      <c r="B1029" s="1" t="s">
        <v>1026</v>
      </c>
      <c r="C1029" s="9" t="s">
        <v>3400</v>
      </c>
      <c r="D1029" s="6">
        <v>1385.72</v>
      </c>
      <c r="F1029">
        <v>100</v>
      </c>
    </row>
    <row r="1030" spans="1:6" x14ac:dyDescent="0.2">
      <c r="A1030" s="2" t="str">
        <f>"2800851000000"</f>
        <v>2800851000000</v>
      </c>
      <c r="B1030" s="1" t="s">
        <v>1027</v>
      </c>
      <c r="C1030" s="9" t="s">
        <v>3401</v>
      </c>
      <c r="D1030" s="6">
        <v>1710.36</v>
      </c>
      <c r="F1030">
        <v>100</v>
      </c>
    </row>
    <row r="1031" spans="1:6" x14ac:dyDescent="0.2">
      <c r="A1031" s="2" t="str">
        <f>"2800451000000"</f>
        <v>2800451000000</v>
      </c>
      <c r="B1031" s="1" t="s">
        <v>1028</v>
      </c>
      <c r="C1031" s="9" t="s">
        <v>3400</v>
      </c>
      <c r="D1031" s="6">
        <v>2277.4</v>
      </c>
      <c r="F1031">
        <v>100</v>
      </c>
    </row>
    <row r="1032" spans="1:6" x14ac:dyDescent="0.2">
      <c r="A1032" s="2" t="str">
        <f>"2800408000000"</f>
        <v>2800408000000</v>
      </c>
      <c r="B1032" s="1" t="s">
        <v>1029</v>
      </c>
      <c r="C1032" s="9" t="s">
        <v>3404</v>
      </c>
      <c r="D1032" s="6">
        <v>1632.82</v>
      </c>
      <c r="F1032">
        <v>100</v>
      </c>
    </row>
    <row r="1033" spans="1:6" x14ac:dyDescent="0.2">
      <c r="A1033" s="2" t="str">
        <f>"2800086000000"</f>
        <v>2800086000000</v>
      </c>
      <c r="B1033" s="1" t="s">
        <v>1030</v>
      </c>
      <c r="C1033" s="9" t="s">
        <v>3400</v>
      </c>
      <c r="D1033" s="6">
        <v>2112.3200000000002</v>
      </c>
      <c r="F1033">
        <v>100</v>
      </c>
    </row>
    <row r="1034" spans="1:6" x14ac:dyDescent="0.2">
      <c r="A1034" s="2" t="str">
        <f>"2800963000000"</f>
        <v>2800963000000</v>
      </c>
      <c r="B1034" s="1" t="s">
        <v>1031</v>
      </c>
      <c r="C1034" s="9" t="s">
        <v>3400</v>
      </c>
      <c r="D1034" s="6">
        <v>548.54999999999995</v>
      </c>
      <c r="F1034">
        <v>100</v>
      </c>
    </row>
    <row r="1035" spans="1:6" x14ac:dyDescent="0.2">
      <c r="A1035" s="2" t="str">
        <f>"2800853000000"</f>
        <v>2800853000000</v>
      </c>
      <c r="B1035" s="1" t="s">
        <v>1032</v>
      </c>
      <c r="C1035" s="9" t="s">
        <v>3403</v>
      </c>
      <c r="D1035" s="6">
        <v>1746.05</v>
      </c>
      <c r="F1035">
        <v>100</v>
      </c>
    </row>
    <row r="1036" spans="1:6" x14ac:dyDescent="0.2">
      <c r="A1036" s="2" t="str">
        <f>"2800074000000"</f>
        <v>2800074000000</v>
      </c>
      <c r="B1036" s="1" t="s">
        <v>1033</v>
      </c>
      <c r="C1036" s="9" t="s">
        <v>3400</v>
      </c>
      <c r="D1036" s="6">
        <v>1483.63</v>
      </c>
      <c r="F1036">
        <v>100</v>
      </c>
    </row>
    <row r="1037" spans="1:6" x14ac:dyDescent="0.2">
      <c r="A1037" s="2" t="str">
        <f>"2800631000000"</f>
        <v>2800631000000</v>
      </c>
      <c r="B1037" s="1" t="s">
        <v>1034</v>
      </c>
      <c r="C1037" s="9" t="s">
        <v>3401</v>
      </c>
      <c r="D1037" s="6">
        <v>1039.56</v>
      </c>
      <c r="F1037">
        <v>100</v>
      </c>
    </row>
    <row r="1038" spans="1:6" x14ac:dyDescent="0.2">
      <c r="A1038" s="2" t="str">
        <f>"2800887000000"</f>
        <v>2800887000000</v>
      </c>
      <c r="B1038" s="1" t="s">
        <v>1035</v>
      </c>
      <c r="C1038" s="9" t="s">
        <v>3400</v>
      </c>
      <c r="D1038" s="6">
        <v>1842.28</v>
      </c>
      <c r="F1038">
        <v>100</v>
      </c>
    </row>
    <row r="1039" spans="1:6" x14ac:dyDescent="0.2">
      <c r="A1039" s="2" t="str">
        <f>"2800994000000"</f>
        <v>2800994000000</v>
      </c>
      <c r="B1039" s="1" t="s">
        <v>1036</v>
      </c>
      <c r="C1039" s="9" t="s">
        <v>3403</v>
      </c>
      <c r="D1039" s="6">
        <v>2539.15</v>
      </c>
      <c r="F1039">
        <v>100</v>
      </c>
    </row>
    <row r="1040" spans="1:6" x14ac:dyDescent="0.2">
      <c r="A1040" s="2" t="str">
        <f>"5997255704133"</f>
        <v>5997255704133</v>
      </c>
      <c r="B1040" s="1" t="s">
        <v>1037</v>
      </c>
      <c r="C1040" s="9" t="s">
        <v>3376</v>
      </c>
      <c r="D1040" s="6">
        <v>10.86</v>
      </c>
      <c r="F1040">
        <v>100</v>
      </c>
    </row>
    <row r="1041" spans="1:6" x14ac:dyDescent="0.2">
      <c r="A1041" s="2" t="str">
        <f>"5997359136243"</f>
        <v>5997359136243</v>
      </c>
      <c r="B1041" s="1" t="s">
        <v>1038</v>
      </c>
      <c r="C1041" s="9" t="s">
        <v>3376</v>
      </c>
      <c r="D1041" s="6">
        <v>68.59</v>
      </c>
      <c r="F1041">
        <v>100</v>
      </c>
    </row>
    <row r="1042" spans="1:6" x14ac:dyDescent="0.2">
      <c r="A1042" s="2" t="str">
        <f>"5997359134850"</f>
        <v>5997359134850</v>
      </c>
      <c r="B1042" s="1" t="s">
        <v>1039</v>
      </c>
      <c r="C1042" s="9" t="s">
        <v>3374</v>
      </c>
      <c r="D1042" s="6">
        <v>34.47</v>
      </c>
      <c r="F1042">
        <v>100</v>
      </c>
    </row>
    <row r="1043" spans="1:6" x14ac:dyDescent="0.2">
      <c r="A1043" s="2" t="str">
        <f>"3850104008054"</f>
        <v>3850104008054</v>
      </c>
      <c r="B1043" s="1" t="s">
        <v>1040</v>
      </c>
      <c r="C1043" s="9" t="s">
        <v>3374</v>
      </c>
      <c r="D1043" s="6">
        <v>164.81</v>
      </c>
      <c r="F1043">
        <v>100</v>
      </c>
    </row>
    <row r="1044" spans="1:6" x14ac:dyDescent="0.2">
      <c r="A1044" s="2" t="str">
        <f>"5997381349697"</f>
        <v>5997381349697</v>
      </c>
      <c r="B1044" s="1" t="s">
        <v>1041</v>
      </c>
      <c r="C1044" s="9" t="s">
        <v>3374</v>
      </c>
      <c r="D1044" s="6">
        <v>133.38999999999999</v>
      </c>
      <c r="F1044">
        <v>100</v>
      </c>
    </row>
    <row r="1045" spans="1:6" x14ac:dyDescent="0.2">
      <c r="A1045" s="2" t="str">
        <f>"5997359138599"</f>
        <v>5997359138599</v>
      </c>
      <c r="B1045" s="1" t="s">
        <v>1042</v>
      </c>
      <c r="C1045" s="9" t="s">
        <v>3376</v>
      </c>
      <c r="D1045" s="6">
        <v>67.88</v>
      </c>
      <c r="F1045">
        <v>100</v>
      </c>
    </row>
    <row r="1046" spans="1:6" x14ac:dyDescent="0.2">
      <c r="A1046" s="2" t="str">
        <f>"5999543465535"</f>
        <v>5999543465535</v>
      </c>
      <c r="B1046" s="1" t="s">
        <v>1043</v>
      </c>
      <c r="C1046" s="9" t="s">
        <v>3376</v>
      </c>
      <c r="D1046" s="6">
        <v>38.32</v>
      </c>
      <c r="F1046">
        <v>100</v>
      </c>
    </row>
    <row r="1047" spans="1:6" x14ac:dyDescent="0.2">
      <c r="A1047" s="2" t="str">
        <f>"5997381336499"</f>
        <v>5997381336499</v>
      </c>
      <c r="B1047" s="1" t="s">
        <v>1044</v>
      </c>
      <c r="C1047" s="9" t="s">
        <v>3374</v>
      </c>
      <c r="D1047" s="6">
        <v>173.54</v>
      </c>
      <c r="F1047">
        <v>100</v>
      </c>
    </row>
    <row r="1048" spans="1:6" x14ac:dyDescent="0.2">
      <c r="A1048" s="2" t="str">
        <f>"8712566157907"</f>
        <v>8712566157907</v>
      </c>
      <c r="B1048" s="1" t="s">
        <v>1045</v>
      </c>
      <c r="C1048" s="9" t="s">
        <v>3374</v>
      </c>
      <c r="D1048" s="6">
        <v>241.32</v>
      </c>
      <c r="F1048">
        <v>100</v>
      </c>
    </row>
    <row r="1049" spans="1:6" x14ac:dyDescent="0.2">
      <c r="A1049" s="2" t="str">
        <f>"8712566204694"</f>
        <v>8712566204694</v>
      </c>
      <c r="B1049" s="1" t="s">
        <v>1046</v>
      </c>
      <c r="C1049" s="9" t="s">
        <v>3374</v>
      </c>
      <c r="D1049" s="6">
        <v>285.51</v>
      </c>
      <c r="F1049">
        <v>100</v>
      </c>
    </row>
    <row r="1050" spans="1:6" x14ac:dyDescent="0.2">
      <c r="A1050" s="2" t="str">
        <f>"5997257387709"</f>
        <v>5997257387709</v>
      </c>
      <c r="B1050" s="1" t="s">
        <v>1047</v>
      </c>
      <c r="C1050" s="9" t="s">
        <v>3374</v>
      </c>
      <c r="D1050" s="6">
        <v>241.47</v>
      </c>
      <c r="F1050">
        <v>100</v>
      </c>
    </row>
    <row r="1051" spans="1:6" x14ac:dyDescent="0.2">
      <c r="A1051" s="2" t="str">
        <f>"5996358010561"</f>
        <v>5996358010561</v>
      </c>
      <c r="B1051" s="1" t="s">
        <v>1048</v>
      </c>
      <c r="C1051" s="9" t="s">
        <v>3374</v>
      </c>
      <c r="D1051" s="6">
        <v>416.47</v>
      </c>
      <c r="F1051">
        <v>100</v>
      </c>
    </row>
    <row r="1052" spans="1:6" x14ac:dyDescent="0.2">
      <c r="A1052" s="2" t="str">
        <f>"5997381349383"</f>
        <v>5997381349383</v>
      </c>
      <c r="B1052" s="1" t="s">
        <v>1049</v>
      </c>
      <c r="C1052" s="9" t="s">
        <v>3374</v>
      </c>
      <c r="D1052" s="6">
        <v>132.80000000000001</v>
      </c>
      <c r="F1052">
        <v>100</v>
      </c>
    </row>
    <row r="1053" spans="1:6" x14ac:dyDescent="0.2">
      <c r="A1053" s="2" t="str">
        <f>"5995863050093"</f>
        <v>5995863050093</v>
      </c>
      <c r="B1053" s="1" t="s">
        <v>1050</v>
      </c>
      <c r="C1053" s="9" t="s">
        <v>3374</v>
      </c>
      <c r="D1053" s="6">
        <v>54.33</v>
      </c>
      <c r="F1053">
        <v>100</v>
      </c>
    </row>
    <row r="1054" spans="1:6" x14ac:dyDescent="0.2">
      <c r="A1054" s="2" t="str">
        <f>"5901135031295"</f>
        <v>5901135031295</v>
      </c>
      <c r="B1054" s="1" t="s">
        <v>1051</v>
      </c>
      <c r="C1054" s="9" t="s">
        <v>3375</v>
      </c>
      <c r="D1054" s="6">
        <v>131.87</v>
      </c>
      <c r="F1054">
        <v>100</v>
      </c>
    </row>
    <row r="1055" spans="1:6" x14ac:dyDescent="0.2">
      <c r="A1055" s="2" t="str">
        <f>"5997257351120"</f>
        <v>5997257351120</v>
      </c>
      <c r="B1055" s="1" t="s">
        <v>1052</v>
      </c>
      <c r="C1055" s="9" t="s">
        <v>3374</v>
      </c>
      <c r="D1055" s="6">
        <v>412.25</v>
      </c>
      <c r="F1055">
        <v>100</v>
      </c>
    </row>
    <row r="1056" spans="1:6" x14ac:dyDescent="0.2">
      <c r="A1056" s="2" t="str">
        <f>"5997359139077"</f>
        <v>5997359139077</v>
      </c>
      <c r="B1056" s="1" t="s">
        <v>1053</v>
      </c>
      <c r="C1056" s="9" t="s">
        <v>3375</v>
      </c>
      <c r="D1056" s="6">
        <v>85.45</v>
      </c>
      <c r="F1056">
        <v>100</v>
      </c>
    </row>
    <row r="1057" spans="1:6" x14ac:dyDescent="0.2">
      <c r="A1057" s="2" t="str">
        <f>"5995863013388"</f>
        <v>5995863013388</v>
      </c>
      <c r="B1057" s="1" t="s">
        <v>1054</v>
      </c>
      <c r="C1057" s="9" t="s">
        <v>3375</v>
      </c>
      <c r="D1057" s="6">
        <v>98.91</v>
      </c>
      <c r="F1057">
        <v>100</v>
      </c>
    </row>
    <row r="1058" spans="1:6" x14ac:dyDescent="0.2">
      <c r="A1058" s="2" t="str">
        <f>"5995863013371"</f>
        <v>5995863013371</v>
      </c>
      <c r="B1058" s="1" t="s">
        <v>1055</v>
      </c>
      <c r="C1058" s="9" t="s">
        <v>3375</v>
      </c>
      <c r="D1058" s="6">
        <v>72</v>
      </c>
      <c r="F1058">
        <v>100</v>
      </c>
    </row>
    <row r="1059" spans="1:6" x14ac:dyDescent="0.2">
      <c r="A1059" s="2" t="str">
        <f>"3850104008597"</f>
        <v>3850104008597</v>
      </c>
      <c r="B1059" s="1" t="s">
        <v>1056</v>
      </c>
      <c r="C1059" s="9" t="s">
        <v>3374</v>
      </c>
      <c r="D1059" s="6">
        <v>429.25</v>
      </c>
      <c r="F1059">
        <v>100</v>
      </c>
    </row>
    <row r="1060" spans="1:6" x14ac:dyDescent="0.2">
      <c r="A1060" s="2" t="str">
        <f>"5999882123080"</f>
        <v>5999882123080</v>
      </c>
      <c r="B1060" s="1" t="s">
        <v>1057</v>
      </c>
      <c r="C1060" s="9" t="s">
        <v>3374</v>
      </c>
      <c r="D1060" s="6">
        <v>237.64</v>
      </c>
      <c r="F1060">
        <v>100</v>
      </c>
    </row>
    <row r="1061" spans="1:6" x14ac:dyDescent="0.2">
      <c r="A1061" s="2" t="str">
        <f>"5995863430086"</f>
        <v>5995863430086</v>
      </c>
      <c r="B1061" s="1" t="s">
        <v>1058</v>
      </c>
      <c r="C1061" s="9" t="s">
        <v>3375</v>
      </c>
      <c r="D1061" s="6">
        <v>64.33</v>
      </c>
      <c r="F1061">
        <v>100</v>
      </c>
    </row>
    <row r="1062" spans="1:6" x14ac:dyDescent="0.2">
      <c r="A1062" s="2" t="str">
        <f>"5995863030392"</f>
        <v>5995863030392</v>
      </c>
      <c r="B1062" s="1" t="s">
        <v>1059</v>
      </c>
      <c r="C1062" s="9" t="s">
        <v>3374</v>
      </c>
      <c r="D1062" s="6">
        <v>115.39</v>
      </c>
      <c r="F1062">
        <v>100</v>
      </c>
    </row>
    <row r="1063" spans="1:6" x14ac:dyDescent="0.2">
      <c r="A1063" s="2" t="str">
        <f>"5999883409084"</f>
        <v>5999883409084</v>
      </c>
      <c r="B1063" s="1" t="s">
        <v>1060</v>
      </c>
      <c r="C1063" s="9" t="s">
        <v>3375</v>
      </c>
      <c r="D1063" s="6">
        <v>122.01</v>
      </c>
      <c r="F1063">
        <v>100</v>
      </c>
    </row>
    <row r="1064" spans="1:6" x14ac:dyDescent="0.2">
      <c r="A1064" s="2" t="str">
        <f>"8712100789694"</f>
        <v>8712100789694</v>
      </c>
      <c r="B1064" s="1" t="s">
        <v>1061</v>
      </c>
      <c r="C1064" s="9" t="s">
        <v>3374</v>
      </c>
      <c r="D1064" s="6">
        <v>202.73</v>
      </c>
      <c r="F1064">
        <v>100</v>
      </c>
    </row>
    <row r="1065" spans="1:6" x14ac:dyDescent="0.2">
      <c r="A1065" s="2" t="str">
        <f>"8712566157228"</f>
        <v>8712566157228</v>
      </c>
      <c r="B1065" s="1" t="s">
        <v>1062</v>
      </c>
      <c r="C1065" s="9" t="s">
        <v>3374</v>
      </c>
      <c r="D1065" s="6">
        <v>240.87</v>
      </c>
      <c r="F1065">
        <v>100</v>
      </c>
    </row>
    <row r="1066" spans="1:6" x14ac:dyDescent="0.2">
      <c r="A1066" s="2" t="str">
        <f>"5999882123028"</f>
        <v>5999882123028</v>
      </c>
      <c r="B1066" s="1" t="s">
        <v>1063</v>
      </c>
      <c r="C1066" s="9" t="s">
        <v>3374</v>
      </c>
      <c r="D1066" s="6">
        <v>271.52999999999997</v>
      </c>
      <c r="F1066">
        <v>100</v>
      </c>
    </row>
    <row r="1067" spans="1:6" x14ac:dyDescent="0.2">
      <c r="A1067" s="2" t="str">
        <f>"5997359136298"</f>
        <v>5997359136298</v>
      </c>
      <c r="B1067" s="1" t="s">
        <v>1064</v>
      </c>
      <c r="C1067" s="9" t="s">
        <v>3376</v>
      </c>
      <c r="D1067" s="6">
        <v>33.409999999999997</v>
      </c>
      <c r="F1067">
        <v>100</v>
      </c>
    </row>
    <row r="1068" spans="1:6" x14ac:dyDescent="0.2">
      <c r="A1068" s="2" t="str">
        <f>"5997359136274"</f>
        <v>5997359136274</v>
      </c>
      <c r="B1068" s="1" t="s">
        <v>1065</v>
      </c>
      <c r="C1068" s="9" t="s">
        <v>3376</v>
      </c>
      <c r="D1068" s="6">
        <v>33.700000000000003</v>
      </c>
      <c r="F1068">
        <v>100</v>
      </c>
    </row>
    <row r="1069" spans="1:6" x14ac:dyDescent="0.2">
      <c r="A1069" s="2" t="str">
        <f>"5997359137592"</f>
        <v>5997359137592</v>
      </c>
      <c r="B1069" s="1" t="s">
        <v>1066</v>
      </c>
      <c r="C1069" s="9" t="s">
        <v>3376</v>
      </c>
      <c r="D1069" s="6">
        <v>114.03</v>
      </c>
      <c r="F1069">
        <v>100</v>
      </c>
    </row>
    <row r="1070" spans="1:6" x14ac:dyDescent="0.2">
      <c r="A1070" s="2" t="str">
        <f>"5995863031030"</f>
        <v>5995863031030</v>
      </c>
      <c r="B1070" s="1" t="s">
        <v>1067</v>
      </c>
      <c r="C1070" s="9" t="s">
        <v>3375</v>
      </c>
      <c r="D1070" s="6">
        <v>72</v>
      </c>
      <c r="F1070">
        <v>100</v>
      </c>
    </row>
    <row r="1071" spans="1:6" x14ac:dyDescent="0.2">
      <c r="A1071" s="2" t="str">
        <f>"5995863031962"</f>
        <v>5995863031962</v>
      </c>
      <c r="B1071" s="1" t="s">
        <v>1068</v>
      </c>
      <c r="C1071" s="9" t="s">
        <v>3375</v>
      </c>
      <c r="D1071" s="6">
        <v>85.45</v>
      </c>
      <c r="F1071">
        <v>100</v>
      </c>
    </row>
    <row r="1072" spans="1:6" x14ac:dyDescent="0.2">
      <c r="A1072" s="2" t="str">
        <f>"8712566205479"</f>
        <v>8712566205479</v>
      </c>
      <c r="B1072" s="1" t="s">
        <v>1069</v>
      </c>
      <c r="C1072" s="9" t="s">
        <v>3374</v>
      </c>
      <c r="D1072" s="6">
        <v>286.10000000000002</v>
      </c>
      <c r="F1072">
        <v>100</v>
      </c>
    </row>
    <row r="1073" spans="1:6" x14ac:dyDescent="0.2">
      <c r="A1073" s="2" t="str">
        <f>"8712566157983"</f>
        <v>8712566157983</v>
      </c>
      <c r="B1073" s="1" t="s">
        <v>1070</v>
      </c>
      <c r="C1073" s="9" t="s">
        <v>3374</v>
      </c>
      <c r="D1073" s="6">
        <v>241.3</v>
      </c>
      <c r="F1073">
        <v>100</v>
      </c>
    </row>
    <row r="1074" spans="1:6" x14ac:dyDescent="0.2">
      <c r="A1074" s="2" t="str">
        <f>"8712566205400"</f>
        <v>8712566205400</v>
      </c>
      <c r="B1074" s="1" t="s">
        <v>1071</v>
      </c>
      <c r="C1074" s="9" t="s">
        <v>3374</v>
      </c>
      <c r="D1074" s="6">
        <v>286.14</v>
      </c>
      <c r="F1074">
        <v>100</v>
      </c>
    </row>
    <row r="1075" spans="1:6" x14ac:dyDescent="0.2">
      <c r="A1075" s="2" t="str">
        <f>"5997359134645"</f>
        <v>5997359134645</v>
      </c>
      <c r="B1075" s="1" t="s">
        <v>1072</v>
      </c>
      <c r="C1075" s="9" t="s">
        <v>3374</v>
      </c>
      <c r="D1075" s="6">
        <v>82.6</v>
      </c>
      <c r="F1075">
        <v>100</v>
      </c>
    </row>
    <row r="1076" spans="1:6" x14ac:dyDescent="0.2">
      <c r="A1076" s="2" t="str">
        <f>"5995863013036"</f>
        <v>5995863013036</v>
      </c>
      <c r="B1076" s="1" t="s">
        <v>1073</v>
      </c>
      <c r="C1076" s="9" t="s">
        <v>3375</v>
      </c>
      <c r="D1076" s="6">
        <v>52.48</v>
      </c>
      <c r="F1076">
        <v>100</v>
      </c>
    </row>
    <row r="1077" spans="1:6" x14ac:dyDescent="0.2">
      <c r="A1077" s="2" t="str">
        <f>"5997359136267"</f>
        <v>5997359136267</v>
      </c>
      <c r="B1077" s="1" t="s">
        <v>1074</v>
      </c>
      <c r="C1077" s="9" t="s">
        <v>3376</v>
      </c>
      <c r="D1077" s="6">
        <v>33.6</v>
      </c>
      <c r="F1077">
        <v>100</v>
      </c>
    </row>
    <row r="1078" spans="1:6" x14ac:dyDescent="0.2">
      <c r="A1078" s="2" t="str">
        <f>"5997347541837"</f>
        <v>5997347541837</v>
      </c>
      <c r="B1078" s="1" t="s">
        <v>1075</v>
      </c>
      <c r="C1078" s="9" t="s">
        <v>3376</v>
      </c>
      <c r="D1078" s="6">
        <v>109.65</v>
      </c>
      <c r="F1078">
        <v>100</v>
      </c>
    </row>
    <row r="1079" spans="1:6" x14ac:dyDescent="0.2">
      <c r="A1079" s="2" t="str">
        <f>"5997359136557"</f>
        <v>5997359136557</v>
      </c>
      <c r="B1079" s="1" t="s">
        <v>1076</v>
      </c>
      <c r="C1079" s="9" t="s">
        <v>3374</v>
      </c>
      <c r="D1079" s="6">
        <v>121.26</v>
      </c>
      <c r="F1079">
        <v>100</v>
      </c>
    </row>
    <row r="1080" spans="1:6" x14ac:dyDescent="0.2">
      <c r="A1080" s="2" t="str">
        <f>"5995863031023"</f>
        <v>5995863031023</v>
      </c>
      <c r="B1080" s="1" t="s">
        <v>1077</v>
      </c>
      <c r="C1080" s="9" t="s">
        <v>3375</v>
      </c>
      <c r="D1080" s="6">
        <v>75.83</v>
      </c>
      <c r="F1080">
        <v>100</v>
      </c>
    </row>
    <row r="1081" spans="1:6" x14ac:dyDescent="0.2">
      <c r="A1081" s="2" t="str">
        <f>"5995863051038"</f>
        <v>5995863051038</v>
      </c>
      <c r="B1081" s="1" t="s">
        <v>1078</v>
      </c>
      <c r="C1081" s="9" t="s">
        <v>3375</v>
      </c>
      <c r="D1081" s="6">
        <v>129.44</v>
      </c>
      <c r="F1081">
        <v>100</v>
      </c>
    </row>
    <row r="1082" spans="1:6" x14ac:dyDescent="0.2">
      <c r="A1082" s="2" t="str">
        <f>"5995863030736"</f>
        <v>5995863030736</v>
      </c>
      <c r="B1082" s="1" t="s">
        <v>1079</v>
      </c>
      <c r="C1082" s="9" t="s">
        <v>3375</v>
      </c>
      <c r="D1082" s="6">
        <v>81.599999999999994</v>
      </c>
      <c r="F1082">
        <v>100</v>
      </c>
    </row>
    <row r="1083" spans="1:6" x14ac:dyDescent="0.2">
      <c r="A1083" s="2" t="str">
        <f>"5995863031955"</f>
        <v>5995863031955</v>
      </c>
      <c r="B1083" s="1" t="s">
        <v>1080</v>
      </c>
      <c r="C1083" s="9" t="s">
        <v>3375</v>
      </c>
      <c r="D1083" s="6">
        <v>97.91</v>
      </c>
      <c r="F1083">
        <v>100</v>
      </c>
    </row>
    <row r="1084" spans="1:6" x14ac:dyDescent="0.2">
      <c r="A1084" s="2" t="str">
        <f>"5999883409114"</f>
        <v>5999883409114</v>
      </c>
      <c r="B1084" s="1" t="s">
        <v>1081</v>
      </c>
      <c r="C1084" s="9" t="s">
        <v>3375</v>
      </c>
      <c r="D1084" s="6">
        <v>120.99</v>
      </c>
      <c r="F1084">
        <v>100</v>
      </c>
    </row>
    <row r="1085" spans="1:6" x14ac:dyDescent="0.2">
      <c r="A1085" s="2" t="str">
        <f>"5997359134676"</f>
        <v>5997359134676</v>
      </c>
      <c r="B1085" s="1" t="s">
        <v>1082</v>
      </c>
      <c r="C1085" s="9" t="s">
        <v>3374</v>
      </c>
      <c r="D1085" s="6">
        <v>85.64</v>
      </c>
      <c r="F1085">
        <v>100</v>
      </c>
    </row>
    <row r="1086" spans="1:6" x14ac:dyDescent="0.2">
      <c r="A1086" s="2" t="str">
        <f>"5997359134881"</f>
        <v>5997359134881</v>
      </c>
      <c r="B1086" s="1" t="s">
        <v>1083</v>
      </c>
      <c r="C1086" s="9" t="s">
        <v>3374</v>
      </c>
      <c r="D1086" s="6">
        <v>126.01</v>
      </c>
      <c r="F1086">
        <v>100</v>
      </c>
    </row>
    <row r="1087" spans="1:6" x14ac:dyDescent="0.2">
      <c r="A1087" s="2" t="str">
        <f>"5997359138551"</f>
        <v>5997359138551</v>
      </c>
      <c r="B1087" s="1" t="s">
        <v>1084</v>
      </c>
      <c r="C1087" s="9" t="s">
        <v>3374</v>
      </c>
      <c r="D1087" s="6">
        <v>86.24</v>
      </c>
      <c r="F1087">
        <v>100</v>
      </c>
    </row>
    <row r="1088" spans="1:6" x14ac:dyDescent="0.2">
      <c r="A1088" s="2" t="str">
        <f>"5997359135178"</f>
        <v>5997359135178</v>
      </c>
      <c r="B1088" s="1" t="s">
        <v>1085</v>
      </c>
      <c r="C1088" s="9" t="s">
        <v>3374</v>
      </c>
      <c r="D1088" s="6">
        <v>126.8</v>
      </c>
      <c r="F1088">
        <v>100</v>
      </c>
    </row>
    <row r="1089" spans="1:6" x14ac:dyDescent="0.2">
      <c r="A1089" s="2" t="str">
        <f>"5997359135116"</f>
        <v>5997359135116</v>
      </c>
      <c r="B1089" s="1" t="s">
        <v>1086</v>
      </c>
      <c r="C1089" s="9" t="s">
        <v>3375</v>
      </c>
      <c r="D1089" s="6">
        <v>95.49</v>
      </c>
      <c r="F1089">
        <v>100</v>
      </c>
    </row>
    <row r="1090" spans="1:6" x14ac:dyDescent="0.2">
      <c r="A1090" s="2" t="str">
        <f>"5995863013227"</f>
        <v>5995863013227</v>
      </c>
      <c r="B1090" s="1" t="s">
        <v>1087</v>
      </c>
      <c r="C1090" s="9" t="s">
        <v>3375</v>
      </c>
      <c r="D1090" s="6">
        <v>71.77</v>
      </c>
      <c r="F1090">
        <v>100</v>
      </c>
    </row>
    <row r="1091" spans="1:6" x14ac:dyDescent="0.2">
      <c r="A1091" s="2" t="str">
        <f>"5995863013043"</f>
        <v>5995863013043</v>
      </c>
      <c r="B1091" s="1" t="s">
        <v>1088</v>
      </c>
      <c r="C1091" s="9" t="s">
        <v>3375</v>
      </c>
      <c r="D1091" s="6">
        <v>52.73</v>
      </c>
      <c r="F1091">
        <v>100</v>
      </c>
    </row>
    <row r="1092" spans="1:6" x14ac:dyDescent="0.2">
      <c r="A1092" s="2" t="str">
        <f>"5997370720902"</f>
        <v>5997370720902</v>
      </c>
      <c r="B1092" s="1" t="s">
        <v>1089</v>
      </c>
      <c r="C1092" s="9" t="s">
        <v>3375</v>
      </c>
      <c r="D1092" s="6">
        <v>117.12</v>
      </c>
      <c r="F1092">
        <v>100</v>
      </c>
    </row>
    <row r="1093" spans="1:6" x14ac:dyDescent="0.2">
      <c r="A1093" s="2" t="str">
        <f>"3850104008825"</f>
        <v>3850104008825</v>
      </c>
      <c r="B1093" s="1" t="s">
        <v>1090</v>
      </c>
      <c r="C1093" s="9" t="s">
        <v>3375</v>
      </c>
      <c r="D1093" s="6">
        <v>244.87</v>
      </c>
      <c r="F1093">
        <v>100</v>
      </c>
    </row>
    <row r="1094" spans="1:6" x14ac:dyDescent="0.2">
      <c r="A1094" s="2" t="str">
        <f>"5997359136250"</f>
        <v>5997359136250</v>
      </c>
      <c r="B1094" s="1" t="s">
        <v>1091</v>
      </c>
      <c r="C1094" s="9" t="s">
        <v>3376</v>
      </c>
      <c r="D1094" s="6">
        <v>33.659999999999997</v>
      </c>
      <c r="F1094">
        <v>100</v>
      </c>
    </row>
    <row r="1095" spans="1:6" x14ac:dyDescent="0.2">
      <c r="A1095" s="2" t="str">
        <f>"5997359136304"</f>
        <v>5997359136304</v>
      </c>
      <c r="B1095" s="1" t="s">
        <v>1092</v>
      </c>
      <c r="C1095" s="9" t="s">
        <v>3376</v>
      </c>
      <c r="D1095" s="6">
        <v>30.43</v>
      </c>
      <c r="F1095">
        <v>100</v>
      </c>
    </row>
    <row r="1096" spans="1:6" x14ac:dyDescent="0.2">
      <c r="A1096" s="2" t="str">
        <f>"5997359136458"</f>
        <v>5997359136458</v>
      </c>
      <c r="B1096" s="1" t="s">
        <v>1093</v>
      </c>
      <c r="C1096" s="9" t="s">
        <v>3376</v>
      </c>
      <c r="D1096" s="6">
        <v>115.98</v>
      </c>
      <c r="F1096">
        <v>100</v>
      </c>
    </row>
    <row r="1097" spans="1:6" x14ac:dyDescent="0.2">
      <c r="A1097" s="2" t="str">
        <f>"5999563071471"</f>
        <v>5999563071471</v>
      </c>
      <c r="B1097" s="1" t="s">
        <v>1094</v>
      </c>
      <c r="C1097" s="9" t="s">
        <v>3376</v>
      </c>
      <c r="D1097" s="6">
        <v>162.1</v>
      </c>
      <c r="F1097">
        <v>100</v>
      </c>
    </row>
    <row r="1098" spans="1:6" x14ac:dyDescent="0.2">
      <c r="A1098" s="2" t="str">
        <f>"5999524032688"</f>
        <v>5999524032688</v>
      </c>
      <c r="B1098" s="1" t="s">
        <v>1095</v>
      </c>
      <c r="C1098" s="9" t="s">
        <v>3376</v>
      </c>
      <c r="D1098" s="6">
        <v>118.8</v>
      </c>
      <c r="F1098">
        <v>100</v>
      </c>
    </row>
    <row r="1099" spans="1:6" x14ac:dyDescent="0.2">
      <c r="A1099" s="2" t="str">
        <f>"5997359136434"</f>
        <v>5997359136434</v>
      </c>
      <c r="B1099" s="1" t="s">
        <v>1096</v>
      </c>
      <c r="C1099" s="9" t="s">
        <v>3376</v>
      </c>
      <c r="D1099" s="6">
        <v>115.92</v>
      </c>
      <c r="F1099">
        <v>100</v>
      </c>
    </row>
    <row r="1100" spans="1:6" x14ac:dyDescent="0.2">
      <c r="A1100" s="2" t="str">
        <f>"5999524032695"</f>
        <v>5999524032695</v>
      </c>
      <c r="B1100" s="1" t="s">
        <v>1097</v>
      </c>
      <c r="C1100" s="9" t="s">
        <v>3376</v>
      </c>
      <c r="D1100" s="6">
        <v>117.42</v>
      </c>
      <c r="F1100">
        <v>100</v>
      </c>
    </row>
    <row r="1101" spans="1:6" x14ac:dyDescent="0.2">
      <c r="A1101" s="2" t="str">
        <f>"5995863031849"</f>
        <v>5995863031849</v>
      </c>
      <c r="B1101" s="1" t="s">
        <v>1098</v>
      </c>
      <c r="C1101" s="9" t="s">
        <v>3375</v>
      </c>
      <c r="D1101" s="6">
        <v>65.34</v>
      </c>
      <c r="F1101">
        <v>100</v>
      </c>
    </row>
    <row r="1102" spans="1:6" x14ac:dyDescent="0.2">
      <c r="A1102" s="2" t="str">
        <f>"5995863031443"</f>
        <v>5995863031443</v>
      </c>
      <c r="B1102" s="1" t="s">
        <v>1099</v>
      </c>
      <c r="C1102" s="9" t="s">
        <v>3375</v>
      </c>
      <c r="D1102" s="6">
        <v>200.64</v>
      </c>
      <c r="F1102">
        <v>100</v>
      </c>
    </row>
    <row r="1103" spans="1:6" x14ac:dyDescent="0.2">
      <c r="A1103" s="2" t="str">
        <f>"5999883409107"</f>
        <v>5999883409107</v>
      </c>
      <c r="B1103" s="1" t="s">
        <v>1100</v>
      </c>
      <c r="C1103" s="9" t="s">
        <v>3375</v>
      </c>
      <c r="D1103" s="6">
        <v>122.81</v>
      </c>
      <c r="F1103">
        <v>100</v>
      </c>
    </row>
    <row r="1104" spans="1:6" x14ac:dyDescent="0.2">
      <c r="A1104" s="2" t="str">
        <f>"5999883409275"</f>
        <v>5999883409275</v>
      </c>
      <c r="B1104" s="1" t="s">
        <v>1101</v>
      </c>
      <c r="C1104" s="9" t="s">
        <v>3375</v>
      </c>
      <c r="D1104" s="6">
        <v>120.99</v>
      </c>
      <c r="F1104">
        <v>100</v>
      </c>
    </row>
    <row r="1105" spans="1:6" x14ac:dyDescent="0.2">
      <c r="A1105" s="2" t="str">
        <f>"5999883409077"</f>
        <v>5999883409077</v>
      </c>
      <c r="B1105" s="1" t="s">
        <v>1102</v>
      </c>
      <c r="C1105" s="9" t="s">
        <v>3375</v>
      </c>
      <c r="D1105" s="6">
        <v>110.4</v>
      </c>
      <c r="F1105">
        <v>100</v>
      </c>
    </row>
    <row r="1106" spans="1:6" x14ac:dyDescent="0.2">
      <c r="A1106" s="2" t="str">
        <f>"5901135031271"</f>
        <v>5901135031271</v>
      </c>
      <c r="B1106" s="1" t="s">
        <v>1103</v>
      </c>
      <c r="C1106" s="9" t="s">
        <v>3375</v>
      </c>
      <c r="D1106" s="6">
        <v>133.38</v>
      </c>
      <c r="F1106">
        <v>100</v>
      </c>
    </row>
    <row r="1107" spans="1:6" x14ac:dyDescent="0.2">
      <c r="A1107" s="2" t="str">
        <f>"5998304611525"</f>
        <v>5998304611525</v>
      </c>
      <c r="B1107" s="1" t="s">
        <v>1104</v>
      </c>
      <c r="C1107" s="9" t="s">
        <v>3376</v>
      </c>
      <c r="D1107" s="6">
        <v>0</v>
      </c>
      <c r="F1107">
        <v>100</v>
      </c>
    </row>
    <row r="1108" spans="1:6" x14ac:dyDescent="0.2">
      <c r="A1108" s="2" t="str">
        <f>"8712566235216"</f>
        <v>8712566235216</v>
      </c>
      <c r="B1108" s="1" t="s">
        <v>1105</v>
      </c>
      <c r="C1108" s="9" t="s">
        <v>3374</v>
      </c>
      <c r="D1108" s="6">
        <v>286.11</v>
      </c>
      <c r="F1108">
        <v>100</v>
      </c>
    </row>
    <row r="1109" spans="1:6" x14ac:dyDescent="0.2">
      <c r="A1109" s="2" t="str">
        <f>"5995863015054"</f>
        <v>5995863015054</v>
      </c>
      <c r="B1109" s="1" t="s">
        <v>1106</v>
      </c>
      <c r="C1109" s="9" t="s">
        <v>3375</v>
      </c>
      <c r="D1109" s="6">
        <v>206.4</v>
      </c>
      <c r="F1109">
        <v>100</v>
      </c>
    </row>
    <row r="1110" spans="1:6" x14ac:dyDescent="0.2">
      <c r="A1110" s="2" t="str">
        <f>"5996358014293"</f>
        <v>5996358014293</v>
      </c>
      <c r="B1110" s="1" t="s">
        <v>1107</v>
      </c>
      <c r="C1110" s="9" t="s">
        <v>3374</v>
      </c>
      <c r="D1110" s="6">
        <v>212.6</v>
      </c>
      <c r="F1110">
        <v>100</v>
      </c>
    </row>
    <row r="1111" spans="1:6" x14ac:dyDescent="0.2">
      <c r="A1111" s="2" t="str">
        <f>"8712423038158"</f>
        <v>8712423038158</v>
      </c>
      <c r="B1111" s="1" t="s">
        <v>1108</v>
      </c>
      <c r="C1111" s="9" t="s">
        <v>3374</v>
      </c>
      <c r="D1111" s="6">
        <v>183.14</v>
      </c>
      <c r="F1111">
        <v>100</v>
      </c>
    </row>
    <row r="1112" spans="1:6" x14ac:dyDescent="0.2">
      <c r="A1112" s="2" t="str">
        <f>"5995863011513"</f>
        <v>5995863011513</v>
      </c>
      <c r="B1112" s="1" t="s">
        <v>1109</v>
      </c>
      <c r="C1112" s="9" t="s">
        <v>3375</v>
      </c>
      <c r="D1112" s="6">
        <v>181.44</v>
      </c>
      <c r="F1112">
        <v>100</v>
      </c>
    </row>
    <row r="1113" spans="1:6" x14ac:dyDescent="0.2">
      <c r="A1113" s="2" t="str">
        <f>"5995863015382"</f>
        <v>5995863015382</v>
      </c>
      <c r="B1113" s="1" t="s">
        <v>1110</v>
      </c>
      <c r="C1113" s="9" t="s">
        <v>3375</v>
      </c>
      <c r="D1113" s="6">
        <v>207.37</v>
      </c>
      <c r="F1113">
        <v>100</v>
      </c>
    </row>
    <row r="1114" spans="1:6" x14ac:dyDescent="0.2">
      <c r="A1114" s="2" t="str">
        <f>"5997359131682"</f>
        <v>5997359131682</v>
      </c>
      <c r="B1114" s="1" t="s">
        <v>1111</v>
      </c>
      <c r="C1114" s="9" t="s">
        <v>3375</v>
      </c>
      <c r="D1114" s="6">
        <v>52.79</v>
      </c>
      <c r="F1114">
        <v>100</v>
      </c>
    </row>
    <row r="1115" spans="1:6" x14ac:dyDescent="0.2">
      <c r="A1115" s="2" t="str">
        <f>"5997359135192"</f>
        <v>5997359135192</v>
      </c>
      <c r="B1115" s="1" t="s">
        <v>1112</v>
      </c>
      <c r="C1115" s="9" t="s">
        <v>3375</v>
      </c>
      <c r="D1115" s="6">
        <v>123</v>
      </c>
      <c r="F1115">
        <v>100</v>
      </c>
    </row>
    <row r="1116" spans="1:6" x14ac:dyDescent="0.2">
      <c r="A1116" s="2" t="str">
        <f>"5997359133433"</f>
        <v>5997359133433</v>
      </c>
      <c r="B1116" s="1" t="s">
        <v>1113</v>
      </c>
      <c r="C1116" s="9" t="s">
        <v>3375</v>
      </c>
      <c r="D1116" s="6">
        <v>81.17</v>
      </c>
      <c r="F1116">
        <v>100</v>
      </c>
    </row>
    <row r="1117" spans="1:6" x14ac:dyDescent="0.2">
      <c r="A1117" s="2" t="str">
        <f>"5997359139893"</f>
        <v>5997359139893</v>
      </c>
      <c r="B1117" s="1" t="s">
        <v>1114</v>
      </c>
      <c r="C1117" s="9" t="s">
        <v>3375</v>
      </c>
      <c r="D1117" s="6">
        <v>158.4</v>
      </c>
      <c r="F1117">
        <v>100</v>
      </c>
    </row>
    <row r="1118" spans="1:6" x14ac:dyDescent="0.2">
      <c r="A1118" s="2" t="str">
        <f>"5997359136083"</f>
        <v>5997359136083</v>
      </c>
      <c r="B1118" s="1" t="s">
        <v>1115</v>
      </c>
      <c r="C1118" s="9" t="s">
        <v>3375</v>
      </c>
      <c r="D1118" s="6">
        <v>121.46</v>
      </c>
      <c r="F1118">
        <v>100</v>
      </c>
    </row>
    <row r="1119" spans="1:6" x14ac:dyDescent="0.2">
      <c r="A1119" s="2" t="str">
        <f>"5997359135055"</f>
        <v>5997359135055</v>
      </c>
      <c r="B1119" s="1" t="s">
        <v>1116</v>
      </c>
      <c r="C1119" s="9" t="s">
        <v>3374</v>
      </c>
      <c r="D1119" s="6">
        <v>125.08</v>
      </c>
      <c r="F1119">
        <v>100</v>
      </c>
    </row>
    <row r="1120" spans="1:6" x14ac:dyDescent="0.2">
      <c r="A1120" s="2" t="str">
        <f>"5997359134744"</f>
        <v>5997359134744</v>
      </c>
      <c r="B1120" s="1" t="s">
        <v>1117</v>
      </c>
      <c r="C1120" s="9" t="s">
        <v>3374</v>
      </c>
      <c r="D1120" s="6">
        <v>82.08</v>
      </c>
      <c r="F1120">
        <v>100</v>
      </c>
    </row>
    <row r="1121" spans="1:6" x14ac:dyDescent="0.2">
      <c r="A1121" s="2" t="str">
        <f>"8585002472670"</f>
        <v>8585002472670</v>
      </c>
      <c r="B1121" s="1" t="s">
        <v>1118</v>
      </c>
      <c r="C1121" s="9" t="s">
        <v>3374</v>
      </c>
      <c r="D1121" s="6">
        <v>207.95</v>
      </c>
      <c r="F1121">
        <v>100</v>
      </c>
    </row>
    <row r="1122" spans="1:6" x14ac:dyDescent="0.2">
      <c r="A1122" s="2" t="str">
        <f>"5995863013357"</f>
        <v>5995863013357</v>
      </c>
      <c r="B1122" s="1" t="s">
        <v>1119</v>
      </c>
      <c r="C1122" s="9" t="s">
        <v>3375</v>
      </c>
      <c r="D1122" s="6">
        <v>95.04</v>
      </c>
      <c r="F1122">
        <v>100</v>
      </c>
    </row>
    <row r="1123" spans="1:6" x14ac:dyDescent="0.2">
      <c r="A1123" s="2" t="str">
        <f>"5995863013128"</f>
        <v>5995863013128</v>
      </c>
      <c r="B1123" s="1" t="s">
        <v>1120</v>
      </c>
      <c r="C1123" s="9" t="s">
        <v>3375</v>
      </c>
      <c r="D1123" s="6">
        <v>62.4</v>
      </c>
      <c r="F1123">
        <v>100</v>
      </c>
    </row>
    <row r="1124" spans="1:6" x14ac:dyDescent="0.2">
      <c r="A1124" s="2" t="str">
        <f>"5995863013845"</f>
        <v>5995863013845</v>
      </c>
      <c r="B1124" s="1" t="s">
        <v>1121</v>
      </c>
      <c r="C1124" s="9" t="s">
        <v>3375</v>
      </c>
      <c r="D1124" s="6">
        <v>125.5</v>
      </c>
      <c r="F1124">
        <v>100</v>
      </c>
    </row>
    <row r="1125" spans="1:6" x14ac:dyDescent="0.2">
      <c r="A1125" s="2" t="str">
        <f>"3850104257933"</f>
        <v>3850104257933</v>
      </c>
      <c r="B1125" s="1" t="s">
        <v>1122</v>
      </c>
      <c r="C1125" s="9" t="s">
        <v>3374</v>
      </c>
      <c r="D1125" s="6">
        <v>217.45</v>
      </c>
      <c r="F1125">
        <v>100</v>
      </c>
    </row>
    <row r="1126" spans="1:6" x14ac:dyDescent="0.2">
      <c r="A1126" s="2" t="str">
        <f>"5997210711640"</f>
        <v>5997210711640</v>
      </c>
      <c r="B1126" s="1" t="s">
        <v>1123</v>
      </c>
      <c r="C1126" s="9" t="s">
        <v>3376</v>
      </c>
      <c r="D1126" s="6">
        <v>73.2</v>
      </c>
      <c r="F1126">
        <v>100</v>
      </c>
    </row>
    <row r="1127" spans="1:6" x14ac:dyDescent="0.2">
      <c r="A1127" s="2" t="str">
        <f>"5999564092840"</f>
        <v>5999564092840</v>
      </c>
      <c r="B1127" s="1" t="s">
        <v>1124</v>
      </c>
      <c r="C1127" s="9" t="s">
        <v>3376</v>
      </c>
      <c r="D1127" s="6">
        <v>192.7</v>
      </c>
      <c r="F1127">
        <v>100</v>
      </c>
    </row>
    <row r="1128" spans="1:6" x14ac:dyDescent="0.2">
      <c r="A1128" s="2" t="str">
        <f>"5997010304776"</f>
        <v>5997010304776</v>
      </c>
      <c r="B1128" s="1" t="s">
        <v>1125</v>
      </c>
      <c r="C1128" s="9" t="s">
        <v>3376</v>
      </c>
      <c r="D1128" s="6">
        <v>228.63</v>
      </c>
      <c r="F1128">
        <v>100</v>
      </c>
    </row>
    <row r="1129" spans="1:6" x14ac:dyDescent="0.2">
      <c r="A1129" s="2" t="str">
        <f>"5997359136281"</f>
        <v>5997359136281</v>
      </c>
      <c r="B1129" s="1" t="s">
        <v>1126</v>
      </c>
      <c r="C1129" s="9" t="s">
        <v>3376</v>
      </c>
      <c r="D1129" s="6">
        <v>33.479999999999997</v>
      </c>
      <c r="F1129">
        <v>100</v>
      </c>
    </row>
    <row r="1130" spans="1:6" x14ac:dyDescent="0.2">
      <c r="A1130" s="2" t="str">
        <f>"5996358010554"</f>
        <v>5996358010554</v>
      </c>
      <c r="B1130" s="1" t="s">
        <v>1127</v>
      </c>
      <c r="C1130" s="9" t="s">
        <v>3374</v>
      </c>
      <c r="D1130" s="6">
        <v>164.05</v>
      </c>
      <c r="F1130">
        <v>100</v>
      </c>
    </row>
    <row r="1131" spans="1:6" x14ac:dyDescent="0.2">
      <c r="A1131" s="2" t="str">
        <f>"5997381356473"</f>
        <v>5997381356473</v>
      </c>
      <c r="B1131" s="1" t="s">
        <v>1128</v>
      </c>
      <c r="C1131" s="9" t="s">
        <v>3376</v>
      </c>
      <c r="D1131" s="6">
        <v>159.85</v>
      </c>
      <c r="F1131">
        <v>100</v>
      </c>
    </row>
    <row r="1132" spans="1:6" x14ac:dyDescent="0.2">
      <c r="A1132" s="2" t="str">
        <f>"5907707058493"</f>
        <v>5907707058493</v>
      </c>
      <c r="B1132" s="1" t="s">
        <v>1129</v>
      </c>
      <c r="C1132" s="9" t="s">
        <v>3374</v>
      </c>
      <c r="D1132" s="6">
        <v>178.51</v>
      </c>
      <c r="F1132">
        <v>100</v>
      </c>
    </row>
    <row r="1133" spans="1:6" x14ac:dyDescent="0.2">
      <c r="A1133" s="2" t="str">
        <f>"5997381341806"</f>
        <v>5997381341806</v>
      </c>
      <c r="B1133" s="1" t="s">
        <v>1130</v>
      </c>
      <c r="C1133" s="9" t="s">
        <v>3376</v>
      </c>
      <c r="D1133" s="6">
        <v>168.06</v>
      </c>
      <c r="F1133">
        <v>100</v>
      </c>
    </row>
    <row r="1134" spans="1:6" x14ac:dyDescent="0.2">
      <c r="A1134" s="2" t="str">
        <f>"5997381360999"</f>
        <v>5997381360999</v>
      </c>
      <c r="B1134" s="1" t="s">
        <v>1131</v>
      </c>
      <c r="C1134" s="9" t="s">
        <v>3374</v>
      </c>
      <c r="D1134" s="6">
        <v>95.48</v>
      </c>
      <c r="F1134">
        <v>100</v>
      </c>
    </row>
    <row r="1135" spans="1:6" x14ac:dyDescent="0.2">
      <c r="A1135" s="2" t="str">
        <f>"5997381335492"</f>
        <v>5997381335492</v>
      </c>
      <c r="B1135" s="1" t="s">
        <v>1132</v>
      </c>
      <c r="C1135" s="9" t="s">
        <v>3374</v>
      </c>
      <c r="D1135" s="6">
        <v>246.13</v>
      </c>
      <c r="F1135">
        <v>100</v>
      </c>
    </row>
    <row r="1136" spans="1:6" x14ac:dyDescent="0.2">
      <c r="A1136" s="2" t="str">
        <f>"5997381359535"</f>
        <v>5997381359535</v>
      </c>
      <c r="B1136" s="1" t="s">
        <v>1133</v>
      </c>
      <c r="C1136" s="9" t="s">
        <v>3374</v>
      </c>
      <c r="D1136" s="6">
        <v>220.67</v>
      </c>
      <c r="F1136">
        <v>100</v>
      </c>
    </row>
    <row r="1137" spans="1:6" x14ac:dyDescent="0.2">
      <c r="A1137" s="2" t="str">
        <f>"5997370740702"</f>
        <v>5997370740702</v>
      </c>
      <c r="B1137" s="1" t="s">
        <v>1134</v>
      </c>
      <c r="C1137" s="9" t="s">
        <v>3375</v>
      </c>
      <c r="D1137" s="6">
        <v>216.52</v>
      </c>
      <c r="F1137">
        <v>100</v>
      </c>
    </row>
    <row r="1138" spans="1:6" x14ac:dyDescent="0.2">
      <c r="A1138" s="2" t="str">
        <f>"5995863030507"</f>
        <v>5995863030507</v>
      </c>
      <c r="B1138" s="1" t="s">
        <v>1135</v>
      </c>
      <c r="C1138" s="9" t="s">
        <v>3374</v>
      </c>
      <c r="D1138" s="6">
        <v>114.43</v>
      </c>
      <c r="F1138">
        <v>100</v>
      </c>
    </row>
    <row r="1139" spans="1:6" x14ac:dyDescent="0.2">
      <c r="A1139" s="2" t="str">
        <f>"5995863030866"</f>
        <v>5995863030866</v>
      </c>
      <c r="B1139" s="1" t="s">
        <v>1136</v>
      </c>
      <c r="C1139" s="9" t="s">
        <v>3375</v>
      </c>
      <c r="D1139" s="6">
        <v>126.32</v>
      </c>
      <c r="F1139">
        <v>100</v>
      </c>
    </row>
    <row r="1140" spans="1:6" x14ac:dyDescent="0.2">
      <c r="A1140" s="2" t="str">
        <f>"5999883409268"</f>
        <v>5999883409268</v>
      </c>
      <c r="B1140" s="1" t="s">
        <v>1137</v>
      </c>
      <c r="C1140" s="9" t="s">
        <v>3375</v>
      </c>
      <c r="D1140" s="6">
        <v>124.8</v>
      </c>
      <c r="F1140">
        <v>100</v>
      </c>
    </row>
    <row r="1141" spans="1:6" x14ac:dyDescent="0.2">
      <c r="A1141" s="2" t="str">
        <f>"5998304611914"</f>
        <v>5998304611914</v>
      </c>
      <c r="B1141" s="1" t="s">
        <v>1138</v>
      </c>
      <c r="C1141" s="9" t="s">
        <v>3376</v>
      </c>
      <c r="D1141" s="6">
        <v>196.16</v>
      </c>
      <c r="F1141">
        <v>100</v>
      </c>
    </row>
    <row r="1142" spans="1:6" x14ac:dyDescent="0.2">
      <c r="A1142" s="2" t="str">
        <f>"5995863015016"</f>
        <v>5995863015016</v>
      </c>
      <c r="B1142" s="1" t="s">
        <v>1139</v>
      </c>
      <c r="C1142" s="9" t="s">
        <v>3375</v>
      </c>
      <c r="D1142" s="6">
        <v>183.36</v>
      </c>
      <c r="F1142">
        <v>100</v>
      </c>
    </row>
    <row r="1143" spans="1:6" x14ac:dyDescent="0.2">
      <c r="A1143" s="2" t="str">
        <f>"5995863015221"</f>
        <v>5995863015221</v>
      </c>
      <c r="B1143" s="1" t="s">
        <v>1140</v>
      </c>
      <c r="C1143" s="9" t="s">
        <v>3375</v>
      </c>
      <c r="D1143" s="6">
        <v>183.36</v>
      </c>
      <c r="F1143">
        <v>100</v>
      </c>
    </row>
    <row r="1144" spans="1:6" x14ac:dyDescent="0.2">
      <c r="A1144" s="2" t="str">
        <f>"5995863015429"</f>
        <v>5995863015429</v>
      </c>
      <c r="B1144" s="1" t="s">
        <v>1141</v>
      </c>
      <c r="C1144" s="9" t="s">
        <v>3375</v>
      </c>
      <c r="D1144" s="6">
        <v>184</v>
      </c>
      <c r="F1144">
        <v>100</v>
      </c>
    </row>
    <row r="1145" spans="1:6" x14ac:dyDescent="0.2">
      <c r="A1145" s="2" t="str">
        <f>"5995863015887"</f>
        <v>5995863015887</v>
      </c>
      <c r="B1145" s="1" t="s">
        <v>1142</v>
      </c>
      <c r="C1145" s="9" t="s">
        <v>3375</v>
      </c>
      <c r="D1145" s="6">
        <v>200.54</v>
      </c>
      <c r="F1145">
        <v>100</v>
      </c>
    </row>
    <row r="1146" spans="1:6" x14ac:dyDescent="0.2">
      <c r="A1146" s="2" t="str">
        <f>"5995863011797"</f>
        <v>5995863011797</v>
      </c>
      <c r="B1146" s="1" t="s">
        <v>1143</v>
      </c>
      <c r="C1146" s="9" t="s">
        <v>3375</v>
      </c>
      <c r="D1146" s="6">
        <v>183.36</v>
      </c>
      <c r="F1146">
        <v>100</v>
      </c>
    </row>
    <row r="1147" spans="1:6" x14ac:dyDescent="0.2">
      <c r="A1147" s="2" t="str">
        <f>"5997359135215"</f>
        <v>5997359135215</v>
      </c>
      <c r="B1147" s="1" t="s">
        <v>1144</v>
      </c>
      <c r="C1147" s="9" t="s">
        <v>3374</v>
      </c>
      <c r="D1147" s="6">
        <v>125.12</v>
      </c>
      <c r="F1147">
        <v>100</v>
      </c>
    </row>
    <row r="1148" spans="1:6" x14ac:dyDescent="0.2">
      <c r="A1148" s="2" t="str">
        <f>"5997359137950"</f>
        <v>5997359137950</v>
      </c>
      <c r="B1148" s="1" t="s">
        <v>1145</v>
      </c>
      <c r="C1148" s="9" t="s">
        <v>3374</v>
      </c>
      <c r="D1148" s="6">
        <v>124.63</v>
      </c>
      <c r="F1148">
        <v>100</v>
      </c>
    </row>
    <row r="1149" spans="1:6" x14ac:dyDescent="0.2">
      <c r="A1149" s="2" t="str">
        <f>"5997359135222"</f>
        <v>5997359135222</v>
      </c>
      <c r="B1149" s="1" t="s">
        <v>1146</v>
      </c>
      <c r="C1149" s="9" t="s">
        <v>3374</v>
      </c>
      <c r="D1149" s="6">
        <v>125.12</v>
      </c>
      <c r="F1149">
        <v>100</v>
      </c>
    </row>
    <row r="1150" spans="1:6" x14ac:dyDescent="0.2">
      <c r="A1150" s="2" t="str">
        <f>"5997359134751"</f>
        <v>5997359134751</v>
      </c>
      <c r="B1150" s="1" t="s">
        <v>1147</v>
      </c>
      <c r="C1150" s="9" t="s">
        <v>3374</v>
      </c>
      <c r="D1150" s="6">
        <v>82.98</v>
      </c>
      <c r="F1150">
        <v>100</v>
      </c>
    </row>
    <row r="1151" spans="1:6" x14ac:dyDescent="0.2">
      <c r="A1151" s="2" t="str">
        <f>"5997359136069"</f>
        <v>5997359136069</v>
      </c>
      <c r="B1151" s="1" t="s">
        <v>1148</v>
      </c>
      <c r="C1151" s="9" t="s">
        <v>3375</v>
      </c>
      <c r="D1151" s="6">
        <v>148.81</v>
      </c>
      <c r="F1151">
        <v>100</v>
      </c>
    </row>
    <row r="1152" spans="1:6" x14ac:dyDescent="0.2">
      <c r="A1152" s="2" t="str">
        <f>"5997359134706"</f>
        <v>5997359134706</v>
      </c>
      <c r="B1152" s="1" t="s">
        <v>1149</v>
      </c>
      <c r="C1152" s="9" t="s">
        <v>3374</v>
      </c>
      <c r="D1152" s="6">
        <v>37.83</v>
      </c>
      <c r="F1152">
        <v>100</v>
      </c>
    </row>
    <row r="1153" spans="1:6" x14ac:dyDescent="0.2">
      <c r="A1153" s="2" t="str">
        <f>"5997359134683"</f>
        <v>5997359134683</v>
      </c>
      <c r="B1153" s="1" t="s">
        <v>1150</v>
      </c>
      <c r="C1153" s="9" t="s">
        <v>3374</v>
      </c>
      <c r="D1153" s="6">
        <v>50.43</v>
      </c>
      <c r="F1153">
        <v>100</v>
      </c>
    </row>
    <row r="1154" spans="1:6" x14ac:dyDescent="0.2">
      <c r="A1154" s="2" t="str">
        <f>"5997359137370"</f>
        <v>5997359137370</v>
      </c>
      <c r="B1154" s="1" t="s">
        <v>1151</v>
      </c>
      <c r="C1154" s="9" t="s">
        <v>3374</v>
      </c>
      <c r="D1154" s="6">
        <v>138.44</v>
      </c>
      <c r="F1154">
        <v>100</v>
      </c>
    </row>
    <row r="1155" spans="1:6" x14ac:dyDescent="0.2">
      <c r="A1155" s="2" t="str">
        <f>"5997359137981"</f>
        <v>5997359137981</v>
      </c>
      <c r="B1155" s="1" t="s">
        <v>1152</v>
      </c>
      <c r="C1155" s="9" t="s">
        <v>3374</v>
      </c>
      <c r="D1155" s="6">
        <v>122.12</v>
      </c>
      <c r="F1155">
        <v>100</v>
      </c>
    </row>
    <row r="1156" spans="1:6" x14ac:dyDescent="0.2">
      <c r="A1156" s="2" t="str">
        <f>"5997359136052"</f>
        <v>5997359136052</v>
      </c>
      <c r="B1156" s="1" t="s">
        <v>1153</v>
      </c>
      <c r="C1156" s="9" t="s">
        <v>3375</v>
      </c>
      <c r="D1156" s="6">
        <v>139.41</v>
      </c>
      <c r="F1156">
        <v>100</v>
      </c>
    </row>
    <row r="1157" spans="1:6" x14ac:dyDescent="0.2">
      <c r="A1157" s="2" t="str">
        <f>"5997359137400"</f>
        <v>5997359137400</v>
      </c>
      <c r="B1157" s="1" t="s">
        <v>1154</v>
      </c>
      <c r="C1157" s="9" t="s">
        <v>3375</v>
      </c>
      <c r="D1157" s="6">
        <v>187.91</v>
      </c>
      <c r="F1157">
        <v>100</v>
      </c>
    </row>
    <row r="1158" spans="1:6" x14ac:dyDescent="0.2">
      <c r="A1158" s="2" t="str">
        <f>"5995863013333"</f>
        <v>5995863013333</v>
      </c>
      <c r="B1158" s="1" t="s">
        <v>1155</v>
      </c>
      <c r="C1158" s="9" t="s">
        <v>3375</v>
      </c>
      <c r="D1158" s="6">
        <v>71.260000000000005</v>
      </c>
      <c r="F1158">
        <v>100</v>
      </c>
    </row>
    <row r="1159" spans="1:6" x14ac:dyDescent="0.2">
      <c r="A1159" s="2" t="str">
        <f>"5995863013050"</f>
        <v>5995863013050</v>
      </c>
      <c r="B1159" s="1" t="s">
        <v>1156</v>
      </c>
      <c r="C1159" s="9" t="s">
        <v>3375</v>
      </c>
      <c r="D1159" s="6">
        <v>62.08</v>
      </c>
      <c r="F1159">
        <v>100</v>
      </c>
    </row>
    <row r="1160" spans="1:6" x14ac:dyDescent="0.2">
      <c r="A1160" s="2" t="str">
        <f>"5995863013319"</f>
        <v>5995863013319</v>
      </c>
      <c r="B1160" s="1" t="s">
        <v>1157</v>
      </c>
      <c r="C1160" s="9" t="s">
        <v>3375</v>
      </c>
      <c r="D1160" s="6">
        <v>62.4</v>
      </c>
      <c r="F1160">
        <v>100</v>
      </c>
    </row>
    <row r="1161" spans="1:6" x14ac:dyDescent="0.2">
      <c r="A1161" s="2" t="str">
        <f>"5997370740900"</f>
        <v>5997370740900</v>
      </c>
      <c r="B1161" s="1" t="s">
        <v>1158</v>
      </c>
      <c r="C1161" s="9" t="s">
        <v>3375</v>
      </c>
      <c r="D1161" s="6">
        <v>111.37</v>
      </c>
      <c r="F1161">
        <v>100</v>
      </c>
    </row>
    <row r="1162" spans="1:6" x14ac:dyDescent="0.2">
      <c r="A1162" s="2" t="str">
        <f>"1207         "</f>
        <v xml:space="preserve">1207         </v>
      </c>
      <c r="B1162" s="1" t="s">
        <v>1159</v>
      </c>
      <c r="C1162" s="9" t="s">
        <v>3383</v>
      </c>
      <c r="D1162" s="6">
        <v>36.58</v>
      </c>
      <c r="F1162">
        <v>100</v>
      </c>
    </row>
    <row r="1163" spans="1:6" x14ac:dyDescent="0.2">
      <c r="A1163" s="2" t="str">
        <f>"1201         "</f>
        <v xml:space="preserve">1201         </v>
      </c>
      <c r="B1163" s="1" t="s">
        <v>1160</v>
      </c>
      <c r="C1163" s="9" t="s">
        <v>3376</v>
      </c>
      <c r="D1163" s="6">
        <v>25.77</v>
      </c>
      <c r="F1163">
        <v>100</v>
      </c>
    </row>
    <row r="1164" spans="1:6" x14ac:dyDescent="0.2">
      <c r="A1164" s="2" t="str">
        <f>"1231         "</f>
        <v xml:space="preserve">1231         </v>
      </c>
      <c r="B1164" s="1" t="s">
        <v>1161</v>
      </c>
      <c r="C1164" s="9" t="s">
        <v>3383</v>
      </c>
      <c r="D1164" s="6">
        <v>120.07</v>
      </c>
      <c r="F1164">
        <v>100</v>
      </c>
    </row>
    <row r="1165" spans="1:6" x14ac:dyDescent="0.2">
      <c r="A1165" s="2" t="str">
        <f>"1499         "</f>
        <v xml:space="preserve">1499         </v>
      </c>
      <c r="B1165" s="1" t="s">
        <v>1162</v>
      </c>
      <c r="C1165" s="9" t="s">
        <v>3383</v>
      </c>
      <c r="D1165" s="6">
        <v>98.87</v>
      </c>
      <c r="F1165">
        <v>100</v>
      </c>
    </row>
    <row r="1166" spans="1:6" x14ac:dyDescent="0.2">
      <c r="A1166" s="2" t="str">
        <f>"1282         "</f>
        <v xml:space="preserve">1282         </v>
      </c>
      <c r="B1166" s="1" t="s">
        <v>1163</v>
      </c>
      <c r="C1166" s="9" t="s">
        <v>3383</v>
      </c>
      <c r="D1166" s="6">
        <v>0</v>
      </c>
      <c r="F1166">
        <v>100</v>
      </c>
    </row>
    <row r="1167" spans="1:6" x14ac:dyDescent="0.2">
      <c r="A1167" s="2" t="str">
        <f>"1204         "</f>
        <v xml:space="preserve">1204         </v>
      </c>
      <c r="B1167" s="1" t="s">
        <v>1164</v>
      </c>
      <c r="C1167" s="9" t="s">
        <v>3383</v>
      </c>
      <c r="D1167" s="6">
        <v>41.96</v>
      </c>
      <c r="F1167">
        <v>100</v>
      </c>
    </row>
    <row r="1168" spans="1:6" x14ac:dyDescent="0.2">
      <c r="A1168" s="2" t="str">
        <f>"1203         "</f>
        <v xml:space="preserve">1203         </v>
      </c>
      <c r="B1168" s="1" t="s">
        <v>1165</v>
      </c>
      <c r="C1168" s="9" t="s">
        <v>3383</v>
      </c>
      <c r="D1168" s="6">
        <v>55.8</v>
      </c>
      <c r="F1168">
        <v>100</v>
      </c>
    </row>
    <row r="1169" spans="1:6" x14ac:dyDescent="0.2">
      <c r="A1169" s="2" t="str">
        <f>"2            "</f>
        <v xml:space="preserve">2            </v>
      </c>
      <c r="B1169" s="1" t="s">
        <v>1166</v>
      </c>
      <c r="C1169" s="9" t="s">
        <v>3405</v>
      </c>
      <c r="D1169" s="6">
        <v>292.10000000000002</v>
      </c>
      <c r="F1169">
        <v>100</v>
      </c>
    </row>
    <row r="1170" spans="1:6" x14ac:dyDescent="0.2">
      <c r="A1170" s="2" t="str">
        <f>"3            "</f>
        <v xml:space="preserve">3            </v>
      </c>
      <c r="B1170" s="1" t="s">
        <v>1167</v>
      </c>
      <c r="C1170" s="9"/>
      <c r="D1170" s="6">
        <v>0</v>
      </c>
      <c r="F1170">
        <v>100</v>
      </c>
    </row>
    <row r="1171" spans="1:6" x14ac:dyDescent="0.2">
      <c r="A1171" s="2" t="str">
        <f>"2800508000000"</f>
        <v>2800508000000</v>
      </c>
      <c r="B1171" s="1" t="s">
        <v>1168</v>
      </c>
      <c r="C1171" s="9" t="s">
        <v>3407</v>
      </c>
      <c r="D1171" s="6">
        <v>468.76</v>
      </c>
      <c r="F1171">
        <v>100</v>
      </c>
    </row>
    <row r="1172" spans="1:6" x14ac:dyDescent="0.2">
      <c r="A1172" s="2" t="str">
        <f>"2800525000000"</f>
        <v>2800525000000</v>
      </c>
      <c r="B1172" s="1" t="s">
        <v>1169</v>
      </c>
      <c r="C1172" s="9" t="s">
        <v>3407</v>
      </c>
      <c r="D1172" s="6">
        <v>128.96</v>
      </c>
      <c r="F1172">
        <v>100</v>
      </c>
    </row>
    <row r="1173" spans="1:6" x14ac:dyDescent="0.2">
      <c r="A1173" s="2" t="str">
        <f>"2800512000000"</f>
        <v>2800512000000</v>
      </c>
      <c r="B1173" s="1" t="s">
        <v>1170</v>
      </c>
      <c r="C1173" s="9" t="s">
        <v>3407</v>
      </c>
      <c r="D1173" s="6">
        <v>386.95</v>
      </c>
      <c r="F1173">
        <v>100</v>
      </c>
    </row>
    <row r="1174" spans="1:6" x14ac:dyDescent="0.2">
      <c r="A1174" s="2" t="str">
        <f>"2800509000000"</f>
        <v>2800509000000</v>
      </c>
      <c r="B1174" s="1" t="s">
        <v>1171</v>
      </c>
      <c r="C1174" s="9" t="s">
        <v>3407</v>
      </c>
      <c r="D1174" s="6">
        <v>1153.95</v>
      </c>
      <c r="F1174">
        <v>100</v>
      </c>
    </row>
    <row r="1175" spans="1:6" x14ac:dyDescent="0.2">
      <c r="A1175" s="2" t="str">
        <f>"2800642000000"</f>
        <v>2800642000000</v>
      </c>
      <c r="B1175" s="1" t="s">
        <v>1172</v>
      </c>
      <c r="C1175" s="9" t="s">
        <v>3407</v>
      </c>
      <c r="D1175" s="6">
        <v>838.87</v>
      </c>
      <c r="F1175">
        <v>100</v>
      </c>
    </row>
    <row r="1176" spans="1:6" x14ac:dyDescent="0.2">
      <c r="A1176" s="2" t="str">
        <f>"2800559000000"</f>
        <v>2800559000000</v>
      </c>
      <c r="B1176" s="1" t="s">
        <v>1173</v>
      </c>
      <c r="C1176" s="9" t="s">
        <v>3407</v>
      </c>
      <c r="D1176" s="6">
        <v>440.82</v>
      </c>
      <c r="F1176">
        <v>100</v>
      </c>
    </row>
    <row r="1177" spans="1:6" x14ac:dyDescent="0.2">
      <c r="A1177" s="2" t="str">
        <f>"2800755000000"</f>
        <v>2800755000000</v>
      </c>
      <c r="B1177" s="1" t="s">
        <v>1174</v>
      </c>
      <c r="C1177" s="9" t="s">
        <v>3389</v>
      </c>
      <c r="D1177" s="6">
        <v>126.99</v>
      </c>
      <c r="F1177">
        <v>100</v>
      </c>
    </row>
    <row r="1178" spans="1:6" x14ac:dyDescent="0.2">
      <c r="A1178" s="2" t="str">
        <f>"2800644000000"</f>
        <v>2800644000000</v>
      </c>
      <c r="B1178" s="1" t="s">
        <v>1175</v>
      </c>
      <c r="C1178" s="9" t="s">
        <v>3408</v>
      </c>
      <c r="D1178" s="6">
        <v>1331.64</v>
      </c>
      <c r="F1178">
        <v>100</v>
      </c>
    </row>
    <row r="1179" spans="1:6" x14ac:dyDescent="0.2">
      <c r="A1179" s="2" t="str">
        <f>"2800489000000"</f>
        <v>2800489000000</v>
      </c>
      <c r="B1179" s="1" t="s">
        <v>1176</v>
      </c>
      <c r="C1179" s="9" t="s">
        <v>3408</v>
      </c>
      <c r="D1179" s="6">
        <v>1183.6600000000001</v>
      </c>
      <c r="F1179">
        <v>100</v>
      </c>
    </row>
    <row r="1180" spans="1:6" x14ac:dyDescent="0.2">
      <c r="A1180" s="2" t="str">
        <f>"2800617000000"</f>
        <v>2800617000000</v>
      </c>
      <c r="B1180" s="1" t="s">
        <v>1177</v>
      </c>
      <c r="C1180" s="9" t="s">
        <v>3408</v>
      </c>
      <c r="D1180" s="6">
        <v>1258.6400000000001</v>
      </c>
      <c r="F1180">
        <v>100</v>
      </c>
    </row>
    <row r="1181" spans="1:6" x14ac:dyDescent="0.2">
      <c r="A1181" s="2" t="str">
        <f>"2800522000000"</f>
        <v>2800522000000</v>
      </c>
      <c r="B1181" s="1" t="s">
        <v>1178</v>
      </c>
      <c r="C1181" s="9" t="s">
        <v>3408</v>
      </c>
      <c r="D1181" s="6">
        <v>273</v>
      </c>
      <c r="F1181">
        <v>100</v>
      </c>
    </row>
    <row r="1182" spans="1:6" x14ac:dyDescent="0.2">
      <c r="A1182" s="2" t="str">
        <f>"2800493000000"</f>
        <v>2800493000000</v>
      </c>
      <c r="B1182" s="1" t="s">
        <v>1179</v>
      </c>
      <c r="C1182" s="9" t="s">
        <v>3408</v>
      </c>
      <c r="D1182" s="6">
        <v>1130.43</v>
      </c>
      <c r="F1182">
        <v>100</v>
      </c>
    </row>
    <row r="1183" spans="1:6" x14ac:dyDescent="0.2">
      <c r="A1183" s="2" t="str">
        <f>"2800488000000"</f>
        <v>2800488000000</v>
      </c>
      <c r="B1183" s="1" t="s">
        <v>1180</v>
      </c>
      <c r="C1183" s="9" t="s">
        <v>3408</v>
      </c>
      <c r="D1183" s="6">
        <v>0</v>
      </c>
      <c r="F1183">
        <v>100</v>
      </c>
    </row>
    <row r="1184" spans="1:6" x14ac:dyDescent="0.2">
      <c r="A1184" s="2" t="str">
        <f>"2800561000000"</f>
        <v>2800561000000</v>
      </c>
      <c r="B1184" s="1" t="s">
        <v>1181</v>
      </c>
      <c r="C1184" s="9" t="s">
        <v>3408</v>
      </c>
      <c r="D1184" s="6">
        <v>0</v>
      </c>
      <c r="F1184">
        <v>100</v>
      </c>
    </row>
    <row r="1185" spans="1:6" x14ac:dyDescent="0.2">
      <c r="A1185" s="2" t="str">
        <f>"2800560000000"</f>
        <v>2800560000000</v>
      </c>
      <c r="B1185" s="1" t="s">
        <v>1182</v>
      </c>
      <c r="C1185" s="9" t="s">
        <v>3408</v>
      </c>
      <c r="D1185" s="6">
        <v>1156.94</v>
      </c>
      <c r="F1185">
        <v>100</v>
      </c>
    </row>
    <row r="1186" spans="1:6" x14ac:dyDescent="0.2">
      <c r="A1186" s="2" t="str">
        <f>"2800019000000"</f>
        <v>2800019000000</v>
      </c>
      <c r="B1186" s="1" t="s">
        <v>1183</v>
      </c>
      <c r="C1186" s="9" t="s">
        <v>3409</v>
      </c>
      <c r="D1186" s="6">
        <v>800</v>
      </c>
      <c r="F1186">
        <v>100</v>
      </c>
    </row>
    <row r="1187" spans="1:6" x14ac:dyDescent="0.2">
      <c r="A1187" s="2" t="str">
        <f>"5997515114771"</f>
        <v>5997515114771</v>
      </c>
      <c r="B1187" s="1" t="s">
        <v>1184</v>
      </c>
      <c r="C1187" s="9" t="s">
        <v>3410</v>
      </c>
      <c r="D1187" s="6">
        <v>192.22</v>
      </c>
      <c r="F1187">
        <v>100</v>
      </c>
    </row>
    <row r="1188" spans="1:6" x14ac:dyDescent="0.2">
      <c r="A1188" s="2" t="str">
        <f>"5997515114801"</f>
        <v>5997515114801</v>
      </c>
      <c r="B1188" s="1" t="s">
        <v>1185</v>
      </c>
      <c r="C1188" s="9" t="s">
        <v>3410</v>
      </c>
      <c r="D1188" s="6">
        <v>204.52</v>
      </c>
      <c r="F1188">
        <v>100</v>
      </c>
    </row>
    <row r="1189" spans="1:6" x14ac:dyDescent="0.2">
      <c r="A1189" s="2" t="str">
        <f>"5999560520095"</f>
        <v>5999560520095</v>
      </c>
      <c r="B1189" s="1" t="s">
        <v>1186</v>
      </c>
      <c r="C1189" s="9" t="s">
        <v>3379</v>
      </c>
      <c r="D1189" s="6">
        <v>274.19</v>
      </c>
      <c r="F1189">
        <v>100</v>
      </c>
    </row>
    <row r="1190" spans="1:6" x14ac:dyDescent="0.2">
      <c r="A1190" s="2" t="str">
        <f>"7613038864464"</f>
        <v>7613038864464</v>
      </c>
      <c r="B1190" s="1" t="s">
        <v>1187</v>
      </c>
      <c r="C1190" s="9" t="s">
        <v>3376</v>
      </c>
      <c r="D1190" s="6">
        <v>948.39</v>
      </c>
      <c r="F1190">
        <v>100</v>
      </c>
    </row>
    <row r="1191" spans="1:6" x14ac:dyDescent="0.2">
      <c r="A1191" s="2" t="str">
        <f>"56           "</f>
        <v xml:space="preserve">56           </v>
      </c>
      <c r="B1191" s="1" t="s">
        <v>1188</v>
      </c>
      <c r="C1191" s="9" t="s">
        <v>3389</v>
      </c>
      <c r="D1191" s="6">
        <v>737.5</v>
      </c>
      <c r="F1191">
        <v>100</v>
      </c>
    </row>
    <row r="1192" spans="1:6" x14ac:dyDescent="0.2">
      <c r="A1192" s="2" t="str">
        <f>"59945390     "</f>
        <v xml:space="preserve">59945390     </v>
      </c>
      <c r="B1192" s="1" t="s">
        <v>1189</v>
      </c>
      <c r="C1192" s="9" t="s">
        <v>3389</v>
      </c>
      <c r="D1192" s="6">
        <v>0</v>
      </c>
      <c r="F1192">
        <v>100</v>
      </c>
    </row>
    <row r="1193" spans="1:6" x14ac:dyDescent="0.2">
      <c r="A1193" s="2" t="str">
        <f>"55           "</f>
        <v xml:space="preserve">55           </v>
      </c>
      <c r="B1193" s="1" t="s">
        <v>1190</v>
      </c>
      <c r="C1193" s="9" t="s">
        <v>3389</v>
      </c>
      <c r="D1193" s="6">
        <v>619.5</v>
      </c>
      <c r="F1193">
        <v>100</v>
      </c>
    </row>
    <row r="1194" spans="1:6" x14ac:dyDescent="0.2">
      <c r="A1194" s="2" t="str">
        <f>"7613036842198"</f>
        <v>7613036842198</v>
      </c>
      <c r="B1194" s="1" t="s">
        <v>1191</v>
      </c>
      <c r="C1194" s="9" t="s">
        <v>3389</v>
      </c>
      <c r="D1194" s="6">
        <v>0</v>
      </c>
      <c r="F1194">
        <v>100</v>
      </c>
    </row>
    <row r="1195" spans="1:6" x14ac:dyDescent="0.2">
      <c r="A1195" s="2" t="str">
        <f>"5997338187044"</f>
        <v>5997338187044</v>
      </c>
      <c r="B1195" s="1" t="s">
        <v>1192</v>
      </c>
      <c r="C1195" s="9" t="s">
        <v>3382</v>
      </c>
      <c r="D1195" s="6">
        <v>431.04</v>
      </c>
      <c r="F1195">
        <v>100</v>
      </c>
    </row>
    <row r="1196" spans="1:6" x14ac:dyDescent="0.2">
      <c r="A1196" s="2" t="str">
        <f>"5999860497097"</f>
        <v>5999860497097</v>
      </c>
      <c r="B1196" s="1" t="s">
        <v>1193</v>
      </c>
      <c r="C1196" s="9" t="s">
        <v>3395</v>
      </c>
      <c r="D1196" s="6">
        <v>220.07</v>
      </c>
      <c r="F1196">
        <v>100</v>
      </c>
    </row>
    <row r="1197" spans="1:6" x14ac:dyDescent="0.2">
      <c r="A1197" s="2" t="str">
        <f>"5999860497080"</f>
        <v>5999860497080</v>
      </c>
      <c r="B1197" s="1" t="s">
        <v>1194</v>
      </c>
      <c r="C1197" s="9" t="s">
        <v>3395</v>
      </c>
      <c r="D1197" s="6">
        <v>220.1</v>
      </c>
      <c r="F1197">
        <v>100</v>
      </c>
    </row>
    <row r="1198" spans="1:6" x14ac:dyDescent="0.2">
      <c r="A1198" s="2" t="str">
        <f>"5900649011113"</f>
        <v>5900649011113</v>
      </c>
      <c r="B1198" s="1" t="s">
        <v>1195</v>
      </c>
      <c r="C1198" s="9" t="s">
        <v>3382</v>
      </c>
      <c r="D1198" s="6">
        <v>642.24</v>
      </c>
      <c r="F1198">
        <v>100</v>
      </c>
    </row>
    <row r="1199" spans="1:6" x14ac:dyDescent="0.2">
      <c r="A1199" s="2" t="str">
        <f>"58           "</f>
        <v xml:space="preserve">58           </v>
      </c>
      <c r="B1199" s="1" t="s">
        <v>1196</v>
      </c>
      <c r="C1199" s="9" t="s">
        <v>3389</v>
      </c>
      <c r="D1199" s="6">
        <v>799</v>
      </c>
      <c r="F1199">
        <v>100</v>
      </c>
    </row>
    <row r="1200" spans="1:6" x14ac:dyDescent="0.2">
      <c r="A1200" s="2" t="str">
        <f>"5999524034194"</f>
        <v>5999524034194</v>
      </c>
      <c r="B1200" s="1" t="s">
        <v>1197</v>
      </c>
      <c r="C1200" s="9" t="s">
        <v>3376</v>
      </c>
      <c r="D1200" s="6">
        <v>259.02999999999997</v>
      </c>
      <c r="F1200">
        <v>100</v>
      </c>
    </row>
    <row r="1201" spans="1:6" x14ac:dyDescent="0.2">
      <c r="A1201" s="2" t="str">
        <f>"5900649058187"</f>
        <v>5900649058187</v>
      </c>
      <c r="B1201" s="1" t="s">
        <v>1198</v>
      </c>
      <c r="C1201" s="9" t="s">
        <v>3382</v>
      </c>
      <c r="D1201" s="6">
        <v>546.24</v>
      </c>
      <c r="F1201">
        <v>100</v>
      </c>
    </row>
    <row r="1202" spans="1:6" x14ac:dyDescent="0.2">
      <c r="A1202" s="2" t="str">
        <f>"5900910000433"</f>
        <v>5900910000433</v>
      </c>
      <c r="B1202" s="1" t="s">
        <v>1199</v>
      </c>
      <c r="C1202" s="9" t="s">
        <v>3382</v>
      </c>
      <c r="D1202" s="6">
        <v>206.4</v>
      </c>
      <c r="F1202">
        <v>100</v>
      </c>
    </row>
    <row r="1203" spans="1:6" x14ac:dyDescent="0.2">
      <c r="A1203" s="2" t="str">
        <f>"5997338141633"</f>
        <v>5997338141633</v>
      </c>
      <c r="B1203" s="1" t="s">
        <v>1200</v>
      </c>
      <c r="C1203" s="9" t="s">
        <v>3382</v>
      </c>
      <c r="D1203" s="6">
        <v>400.47</v>
      </c>
      <c r="F1203">
        <v>100</v>
      </c>
    </row>
    <row r="1204" spans="1:6" x14ac:dyDescent="0.2">
      <c r="A1204" s="2" t="str">
        <f>"5998710981052"</f>
        <v>5998710981052</v>
      </c>
      <c r="B1204" s="1" t="s">
        <v>1201</v>
      </c>
      <c r="C1204" s="9" t="s">
        <v>3382</v>
      </c>
      <c r="D1204" s="6">
        <v>767.04</v>
      </c>
      <c r="F1204">
        <v>100</v>
      </c>
    </row>
    <row r="1205" spans="1:6" x14ac:dyDescent="0.2">
      <c r="A1205" s="2" t="str">
        <f>"5900947021104"</f>
        <v>5900947021104</v>
      </c>
      <c r="B1205" s="1" t="s">
        <v>1202</v>
      </c>
      <c r="C1205" s="9" t="s">
        <v>3376</v>
      </c>
      <c r="D1205" s="6">
        <v>118.79</v>
      </c>
      <c r="F1205">
        <v>100</v>
      </c>
    </row>
    <row r="1206" spans="1:6" x14ac:dyDescent="0.2">
      <c r="A1206" s="2" t="str">
        <f>"5999524034187"</f>
        <v>5999524034187</v>
      </c>
      <c r="B1206" s="1" t="s">
        <v>1203</v>
      </c>
      <c r="C1206" s="9" t="s">
        <v>3376</v>
      </c>
      <c r="D1206" s="6">
        <v>178.6</v>
      </c>
      <c r="F1206">
        <v>100</v>
      </c>
    </row>
    <row r="1207" spans="1:6" x14ac:dyDescent="0.2">
      <c r="A1207" s="2" t="str">
        <f>"5997100014264"</f>
        <v>5997100014264</v>
      </c>
      <c r="B1207" s="1" t="s">
        <v>1204</v>
      </c>
      <c r="C1207" s="9" t="s">
        <v>3382</v>
      </c>
      <c r="D1207" s="6">
        <v>408</v>
      </c>
      <c r="F1207">
        <v>100</v>
      </c>
    </row>
    <row r="1208" spans="1:6" x14ac:dyDescent="0.2">
      <c r="A1208" s="2" t="str">
        <f>"5998710980697"</f>
        <v>5998710980697</v>
      </c>
      <c r="B1208" s="1" t="s">
        <v>1205</v>
      </c>
      <c r="C1208" s="9" t="s">
        <v>3382</v>
      </c>
      <c r="D1208" s="6">
        <v>1281.5999999999999</v>
      </c>
      <c r="F1208">
        <v>100</v>
      </c>
    </row>
    <row r="1209" spans="1:6" x14ac:dyDescent="0.2">
      <c r="A1209" s="2" t="str">
        <f>"5997349300128"</f>
        <v>5997349300128</v>
      </c>
      <c r="B1209" s="1" t="s">
        <v>1206</v>
      </c>
      <c r="C1209" s="9" t="s">
        <v>3382</v>
      </c>
      <c r="D1209" s="6">
        <v>1535.04</v>
      </c>
      <c r="F1209">
        <v>100</v>
      </c>
    </row>
    <row r="1210" spans="1:6" x14ac:dyDescent="0.2">
      <c r="A1210" s="2" t="str">
        <f>"5997381357678"</f>
        <v>5997381357678</v>
      </c>
      <c r="B1210" s="1" t="s">
        <v>1207</v>
      </c>
      <c r="C1210" s="9" t="s">
        <v>3374</v>
      </c>
      <c r="D1210" s="6">
        <v>273.42</v>
      </c>
      <c r="F1210">
        <v>100</v>
      </c>
    </row>
    <row r="1211" spans="1:6" x14ac:dyDescent="0.2">
      <c r="A1211" s="2" t="str">
        <f>"5997338170091"</f>
        <v>5997338170091</v>
      </c>
      <c r="B1211" s="1" t="s">
        <v>1208</v>
      </c>
      <c r="C1211" s="9" t="s">
        <v>3382</v>
      </c>
      <c r="D1211" s="6">
        <v>359.99</v>
      </c>
      <c r="F1211">
        <v>100</v>
      </c>
    </row>
    <row r="1212" spans="1:6" x14ac:dyDescent="0.2">
      <c r="A1212" s="2" t="str">
        <f>"7613033658532"</f>
        <v>7613033658532</v>
      </c>
      <c r="B1212" s="1" t="s">
        <v>1209</v>
      </c>
      <c r="C1212" s="9" t="s">
        <v>3376</v>
      </c>
      <c r="D1212" s="6">
        <v>464.07</v>
      </c>
      <c r="F1212">
        <v>100</v>
      </c>
    </row>
    <row r="1213" spans="1:6" x14ac:dyDescent="0.2">
      <c r="A1213" s="2" t="str">
        <f>"5999563120100"</f>
        <v>5999563120100</v>
      </c>
      <c r="B1213" s="1" t="s">
        <v>1210</v>
      </c>
      <c r="C1213" s="9" t="s">
        <v>3375</v>
      </c>
      <c r="D1213" s="6">
        <v>114.24</v>
      </c>
      <c r="F1213">
        <v>100</v>
      </c>
    </row>
    <row r="1214" spans="1:6" x14ac:dyDescent="0.2">
      <c r="A1214" s="2" t="str">
        <f>"5998821500562"</f>
        <v>5998821500562</v>
      </c>
      <c r="B1214" s="1" t="s">
        <v>1211</v>
      </c>
      <c r="C1214" s="9" t="s">
        <v>3375</v>
      </c>
      <c r="D1214" s="6">
        <v>171.75</v>
      </c>
      <c r="F1214">
        <v>100</v>
      </c>
    </row>
    <row r="1215" spans="1:6" x14ac:dyDescent="0.2">
      <c r="A1215" s="2" t="str">
        <f>"4820154832717"</f>
        <v>4820154832717</v>
      </c>
      <c r="B1215" s="1" t="s">
        <v>1212</v>
      </c>
      <c r="C1215" s="9" t="s">
        <v>3374</v>
      </c>
      <c r="D1215" s="6">
        <v>285</v>
      </c>
      <c r="F1215">
        <v>100</v>
      </c>
    </row>
    <row r="1216" spans="1:6" x14ac:dyDescent="0.2">
      <c r="A1216" s="2" t="str">
        <f>"5904277114437"</f>
        <v>5904277114437</v>
      </c>
      <c r="B1216" s="1" t="s">
        <v>1213</v>
      </c>
      <c r="C1216" s="9" t="s">
        <v>3376</v>
      </c>
      <c r="D1216" s="6">
        <v>1067.99</v>
      </c>
      <c r="F1216">
        <v>100</v>
      </c>
    </row>
    <row r="1217" spans="1:6" x14ac:dyDescent="0.2">
      <c r="A1217" s="2" t="str">
        <f>"57           "</f>
        <v xml:space="preserve">57           </v>
      </c>
      <c r="B1217" s="1" t="s">
        <v>1214</v>
      </c>
      <c r="C1217" s="9" t="s">
        <v>3389</v>
      </c>
      <c r="D1217" s="6">
        <v>775</v>
      </c>
      <c r="F1217">
        <v>100</v>
      </c>
    </row>
    <row r="1218" spans="1:6" x14ac:dyDescent="0.2">
      <c r="A1218" s="2" t="str">
        <f>"5902806063317"</f>
        <v>5902806063317</v>
      </c>
      <c r="B1218" s="1" t="s">
        <v>1215</v>
      </c>
      <c r="C1218" s="9" t="s">
        <v>3411</v>
      </c>
      <c r="D1218" s="6">
        <v>166.13</v>
      </c>
      <c r="F1218">
        <v>100</v>
      </c>
    </row>
    <row r="1219" spans="1:6" x14ac:dyDescent="0.2">
      <c r="A1219" s="2" t="str">
        <f>"5999555777190"</f>
        <v>5999555777190</v>
      </c>
      <c r="B1219" s="1" t="s">
        <v>1216</v>
      </c>
      <c r="C1219" s="9" t="s">
        <v>3374</v>
      </c>
      <c r="D1219" s="6">
        <v>207.87</v>
      </c>
      <c r="F1219">
        <v>100</v>
      </c>
    </row>
    <row r="1220" spans="1:6" x14ac:dyDescent="0.2">
      <c r="A1220" s="2" t="str">
        <f>"5998710981182"</f>
        <v>5998710981182</v>
      </c>
      <c r="B1220" s="1" t="s">
        <v>1217</v>
      </c>
      <c r="C1220" s="9" t="s">
        <v>3389</v>
      </c>
      <c r="D1220" s="6">
        <v>710</v>
      </c>
      <c r="F1220">
        <v>100</v>
      </c>
    </row>
    <row r="1221" spans="1:6" x14ac:dyDescent="0.2">
      <c r="A1221" s="2" t="str">
        <f>"5999538550512"</f>
        <v>5999538550512</v>
      </c>
      <c r="B1221" s="1" t="s">
        <v>1218</v>
      </c>
      <c r="C1221" s="9" t="s">
        <v>3379</v>
      </c>
      <c r="D1221" s="6">
        <v>182.99</v>
      </c>
      <c r="F1221">
        <v>100</v>
      </c>
    </row>
    <row r="1222" spans="1:6" x14ac:dyDescent="0.2">
      <c r="A1222" s="2" t="str">
        <f>"134          "</f>
        <v xml:space="preserve">134          </v>
      </c>
      <c r="B1222" s="1" t="s">
        <v>1219</v>
      </c>
      <c r="C1222" s="9" t="s">
        <v>3412</v>
      </c>
      <c r="D1222" s="6">
        <v>300</v>
      </c>
      <c r="F1222">
        <v>100</v>
      </c>
    </row>
    <row r="1223" spans="1:6" x14ac:dyDescent="0.2">
      <c r="A1223" s="2" t="str">
        <f>"5997523300012"</f>
        <v>5997523300012</v>
      </c>
      <c r="B1223" s="1" t="s">
        <v>1220</v>
      </c>
      <c r="C1223" s="9" t="s">
        <v>3413</v>
      </c>
      <c r="D1223" s="6">
        <v>140</v>
      </c>
      <c r="F1223">
        <v>100</v>
      </c>
    </row>
    <row r="1224" spans="1:6" x14ac:dyDescent="0.2">
      <c r="A1224" s="2" t="str">
        <f>"8588003643032"</f>
        <v>8588003643032</v>
      </c>
      <c r="B1224" s="1" t="s">
        <v>1221</v>
      </c>
      <c r="C1224" s="9" t="s">
        <v>3382</v>
      </c>
      <c r="D1224" s="6">
        <v>67.2</v>
      </c>
      <c r="F1224">
        <v>100</v>
      </c>
    </row>
    <row r="1225" spans="1:6" x14ac:dyDescent="0.2">
      <c r="A1225" s="2" t="str">
        <f>"8588003643056"</f>
        <v>8588003643056</v>
      </c>
      <c r="B1225" s="1" t="s">
        <v>1222</v>
      </c>
      <c r="C1225" s="9" t="s">
        <v>3382</v>
      </c>
      <c r="D1225" s="6">
        <v>67.2</v>
      </c>
      <c r="F1225">
        <v>100</v>
      </c>
    </row>
    <row r="1226" spans="1:6" x14ac:dyDescent="0.2">
      <c r="A1226" s="2" t="str">
        <f>"8588003643551"</f>
        <v>8588003643551</v>
      </c>
      <c r="B1226" s="1" t="s">
        <v>1223</v>
      </c>
      <c r="C1226" s="9" t="s">
        <v>3382</v>
      </c>
      <c r="D1226" s="6">
        <v>67.2</v>
      </c>
      <c r="F1226">
        <v>100</v>
      </c>
    </row>
    <row r="1227" spans="1:6" x14ac:dyDescent="0.2">
      <c r="A1227" s="2" t="str">
        <f>"5997523300036"</f>
        <v>5997523300036</v>
      </c>
      <c r="B1227" s="1" t="s">
        <v>1224</v>
      </c>
      <c r="C1227" s="9" t="s">
        <v>3413</v>
      </c>
      <c r="D1227" s="6">
        <v>140</v>
      </c>
      <c r="F1227">
        <v>100</v>
      </c>
    </row>
    <row r="1228" spans="1:6" x14ac:dyDescent="0.2">
      <c r="A1228" s="2" t="str">
        <f>"5997523341350"</f>
        <v>5997523341350</v>
      </c>
      <c r="B1228" s="1" t="s">
        <v>1225</v>
      </c>
      <c r="C1228" s="9" t="s">
        <v>3413</v>
      </c>
      <c r="D1228" s="6">
        <v>140</v>
      </c>
      <c r="F1228">
        <v>100</v>
      </c>
    </row>
    <row r="1229" spans="1:6" x14ac:dyDescent="0.2">
      <c r="A1229" s="2" t="str">
        <f>"5997523315399"</f>
        <v>5997523315399</v>
      </c>
      <c r="B1229" s="1" t="s">
        <v>1226</v>
      </c>
      <c r="C1229" s="9" t="s">
        <v>3414</v>
      </c>
      <c r="D1229" s="6">
        <v>224.99</v>
      </c>
      <c r="F1229">
        <v>100</v>
      </c>
    </row>
    <row r="1230" spans="1:6" x14ac:dyDescent="0.2">
      <c r="A1230" s="2" t="str">
        <f>"5997523346454"</f>
        <v>5997523346454</v>
      </c>
      <c r="B1230" s="1" t="s">
        <v>1227</v>
      </c>
      <c r="C1230" s="9" t="s">
        <v>3413</v>
      </c>
      <c r="D1230" s="6">
        <v>140.02000000000001</v>
      </c>
      <c r="F1230">
        <v>100</v>
      </c>
    </row>
    <row r="1231" spans="1:6" x14ac:dyDescent="0.2">
      <c r="A1231" s="2" t="str">
        <f>"8588003643070"</f>
        <v>8588003643070</v>
      </c>
      <c r="B1231" s="1" t="s">
        <v>1228</v>
      </c>
      <c r="C1231" s="9" t="s">
        <v>3382</v>
      </c>
      <c r="D1231" s="6">
        <v>67.2</v>
      </c>
      <c r="F1231">
        <v>100</v>
      </c>
    </row>
    <row r="1232" spans="1:6" x14ac:dyDescent="0.2">
      <c r="A1232" s="2" t="str">
        <f>"5997523315412"</f>
        <v>5997523315412</v>
      </c>
      <c r="B1232" s="1" t="s">
        <v>1229</v>
      </c>
      <c r="C1232" s="9" t="s">
        <v>3413</v>
      </c>
      <c r="D1232" s="6">
        <v>224.99</v>
      </c>
      <c r="F1232">
        <v>100</v>
      </c>
    </row>
    <row r="1233" spans="1:6" x14ac:dyDescent="0.2">
      <c r="A1233" s="2" t="str">
        <f>"5998304548111"</f>
        <v>5998304548111</v>
      </c>
      <c r="B1233" s="1" t="s">
        <v>1230</v>
      </c>
      <c r="C1233" s="9" t="s">
        <v>3374</v>
      </c>
      <c r="D1233" s="6">
        <v>97.16</v>
      </c>
      <c r="F1233">
        <v>100</v>
      </c>
    </row>
    <row r="1234" spans="1:6" x14ac:dyDescent="0.2">
      <c r="A1234" s="2" t="str">
        <f>"5997523324353"</f>
        <v>5997523324353</v>
      </c>
      <c r="B1234" s="1" t="s">
        <v>1231</v>
      </c>
      <c r="C1234" s="9" t="s">
        <v>3415</v>
      </c>
      <c r="D1234" s="6">
        <v>231.75</v>
      </c>
      <c r="F1234">
        <v>100</v>
      </c>
    </row>
    <row r="1235" spans="1:6" x14ac:dyDescent="0.2">
      <c r="A1235" s="2" t="str">
        <f>"5997523315474"</f>
        <v>5997523315474</v>
      </c>
      <c r="B1235" s="1" t="s">
        <v>1232</v>
      </c>
      <c r="C1235" s="9" t="s">
        <v>3413</v>
      </c>
      <c r="D1235" s="6">
        <v>224.99</v>
      </c>
      <c r="F1235">
        <v>100</v>
      </c>
    </row>
    <row r="1236" spans="1:6" x14ac:dyDescent="0.2">
      <c r="A1236" s="2" t="str">
        <f>"5997523346430"</f>
        <v>5997523346430</v>
      </c>
      <c r="B1236" s="1" t="s">
        <v>1233</v>
      </c>
      <c r="C1236" s="9" t="s">
        <v>3415</v>
      </c>
      <c r="D1236" s="6">
        <v>140.02000000000001</v>
      </c>
      <c r="F1236">
        <v>100</v>
      </c>
    </row>
    <row r="1237" spans="1:6" x14ac:dyDescent="0.2">
      <c r="A1237" s="2" t="str">
        <f>"8595139779139"</f>
        <v>8595139779139</v>
      </c>
      <c r="B1237" s="1" t="s">
        <v>1234</v>
      </c>
      <c r="C1237" s="9" t="s">
        <v>3374</v>
      </c>
      <c r="D1237" s="6">
        <v>205.63</v>
      </c>
      <c r="F1237">
        <v>100</v>
      </c>
    </row>
    <row r="1238" spans="1:6" x14ac:dyDescent="0.2">
      <c r="A1238" s="2" t="str">
        <f>"80040248     "</f>
        <v xml:space="preserve">80040248     </v>
      </c>
      <c r="B1238" s="1" t="s">
        <v>1235</v>
      </c>
      <c r="C1238" s="9" t="s">
        <v>3389</v>
      </c>
      <c r="D1238" s="6">
        <v>245</v>
      </c>
      <c r="F1238">
        <v>100</v>
      </c>
    </row>
    <row r="1239" spans="1:6" x14ac:dyDescent="0.2">
      <c r="A1239" s="2" t="str">
        <f>"5941393011806"</f>
        <v>5941393011806</v>
      </c>
      <c r="B1239" s="1" t="s">
        <v>1236</v>
      </c>
      <c r="C1239" s="9" t="s">
        <v>3374</v>
      </c>
      <c r="D1239" s="6">
        <v>163.93</v>
      </c>
      <c r="F1239">
        <v>100</v>
      </c>
    </row>
    <row r="1240" spans="1:6" x14ac:dyDescent="0.2">
      <c r="A1240" s="2" t="str">
        <f>"5997523324278"</f>
        <v>5997523324278</v>
      </c>
      <c r="B1240" s="1" t="s">
        <v>1237</v>
      </c>
      <c r="C1240" s="9" t="s">
        <v>3413</v>
      </c>
      <c r="D1240" s="6">
        <v>218.5</v>
      </c>
      <c r="F1240">
        <v>100</v>
      </c>
    </row>
    <row r="1241" spans="1:6" x14ac:dyDescent="0.2">
      <c r="A1241" s="2" t="str">
        <f>"5997010305063"</f>
        <v>5997010305063</v>
      </c>
      <c r="B1241" s="1" t="s">
        <v>1238</v>
      </c>
      <c r="C1241" s="9" t="s">
        <v>3374</v>
      </c>
      <c r="D1241" s="6">
        <v>139.11000000000001</v>
      </c>
      <c r="F1241">
        <v>100</v>
      </c>
    </row>
    <row r="1242" spans="1:6" x14ac:dyDescent="0.2">
      <c r="A1242" s="2" t="str">
        <f>"8595139772956"</f>
        <v>8595139772956</v>
      </c>
      <c r="B1242" s="1" t="s">
        <v>1239</v>
      </c>
      <c r="C1242" s="9" t="s">
        <v>3376</v>
      </c>
      <c r="D1242" s="6">
        <v>45.79</v>
      </c>
      <c r="F1242">
        <v>100</v>
      </c>
    </row>
    <row r="1243" spans="1:6" x14ac:dyDescent="0.2">
      <c r="A1243" s="2" t="str">
        <f>"8712100787706"</f>
        <v>8712100787706</v>
      </c>
      <c r="B1243" s="1" t="s">
        <v>1240</v>
      </c>
      <c r="C1243" s="9" t="s">
        <v>3374</v>
      </c>
      <c r="D1243" s="6">
        <v>212.43</v>
      </c>
      <c r="F1243">
        <v>100</v>
      </c>
    </row>
    <row r="1244" spans="1:6" x14ac:dyDescent="0.2">
      <c r="A1244" s="2" t="str">
        <f>"5997523324292"</f>
        <v>5997523324292</v>
      </c>
      <c r="B1244" s="1" t="s">
        <v>1241</v>
      </c>
      <c r="C1244" s="9" t="s">
        <v>3413</v>
      </c>
      <c r="D1244" s="6">
        <v>215</v>
      </c>
      <c r="F1244">
        <v>100</v>
      </c>
    </row>
    <row r="1245" spans="1:6" x14ac:dyDescent="0.2">
      <c r="A1245" s="2" t="str">
        <f>"5997523324315"</f>
        <v>5997523324315</v>
      </c>
      <c r="B1245" s="1" t="s">
        <v>1242</v>
      </c>
      <c r="C1245" s="9" t="s">
        <v>3413</v>
      </c>
      <c r="D1245" s="6">
        <v>215</v>
      </c>
      <c r="F1245">
        <v>100</v>
      </c>
    </row>
    <row r="1246" spans="1:6" x14ac:dyDescent="0.2">
      <c r="A1246" s="2" t="str">
        <f>"5998324111791"</f>
        <v>5998324111791</v>
      </c>
      <c r="B1246" s="1" t="s">
        <v>1243</v>
      </c>
      <c r="C1246" s="9" t="s">
        <v>3374</v>
      </c>
      <c r="D1246" s="6">
        <v>441.35</v>
      </c>
      <c r="F1246">
        <v>100</v>
      </c>
    </row>
    <row r="1247" spans="1:6" x14ac:dyDescent="0.2">
      <c r="A1247" s="2" t="str">
        <f>"5998094551766"</f>
        <v>5998094551766</v>
      </c>
      <c r="B1247" s="1" t="s">
        <v>1244</v>
      </c>
      <c r="C1247" s="9" t="s">
        <v>3376</v>
      </c>
      <c r="D1247" s="6">
        <v>404.74</v>
      </c>
      <c r="F1247">
        <v>100</v>
      </c>
    </row>
    <row r="1248" spans="1:6" x14ac:dyDescent="0.2">
      <c r="A1248" s="2" t="str">
        <f>"5997010302222"</f>
        <v>5997010302222</v>
      </c>
      <c r="B1248" s="1" t="s">
        <v>1245</v>
      </c>
      <c r="C1248" s="9" t="s">
        <v>3375</v>
      </c>
      <c r="D1248" s="6">
        <v>123.26</v>
      </c>
      <c r="F1248">
        <v>100</v>
      </c>
    </row>
    <row r="1249" spans="1:6" x14ac:dyDescent="0.2">
      <c r="A1249" s="2" t="str">
        <f>"5997010304561"</f>
        <v>5997010304561</v>
      </c>
      <c r="B1249" s="1" t="s">
        <v>1246</v>
      </c>
      <c r="C1249" s="9" t="s">
        <v>3387</v>
      </c>
      <c r="D1249" s="6">
        <v>477.96</v>
      </c>
      <c r="F1249">
        <v>100</v>
      </c>
    </row>
    <row r="1250" spans="1:6" x14ac:dyDescent="0.2">
      <c r="A1250" s="2" t="str">
        <f>"5998324161239"</f>
        <v>5998324161239</v>
      </c>
      <c r="B1250" s="1" t="s">
        <v>1247</v>
      </c>
      <c r="C1250" s="9" t="s">
        <v>3376</v>
      </c>
      <c r="D1250" s="6">
        <v>150.19</v>
      </c>
      <c r="F1250">
        <v>100</v>
      </c>
    </row>
    <row r="1251" spans="1:6" x14ac:dyDescent="0.2">
      <c r="A1251" s="2" t="str">
        <f>"8594012795204"</f>
        <v>8594012795204</v>
      </c>
      <c r="B1251" s="1" t="s">
        <v>1248</v>
      </c>
      <c r="C1251" s="9" t="s">
        <v>3374</v>
      </c>
      <c r="D1251" s="6">
        <v>167.88</v>
      </c>
      <c r="F1251">
        <v>100</v>
      </c>
    </row>
    <row r="1252" spans="1:6" x14ac:dyDescent="0.2">
      <c r="A1252" s="2" t="str">
        <f>"5997010302239"</f>
        <v>5997010302239</v>
      </c>
      <c r="B1252" s="1" t="s">
        <v>1249</v>
      </c>
      <c r="C1252" s="9" t="s">
        <v>3387</v>
      </c>
      <c r="D1252" s="6">
        <v>406</v>
      </c>
      <c r="F1252">
        <v>100</v>
      </c>
    </row>
    <row r="1253" spans="1:6" x14ac:dyDescent="0.2">
      <c r="A1253" s="2" t="str">
        <f>"8934561000204"</f>
        <v>8934561000204</v>
      </c>
      <c r="B1253" s="1" t="s">
        <v>1250</v>
      </c>
      <c r="C1253" s="9" t="s">
        <v>3382</v>
      </c>
      <c r="D1253" s="6">
        <v>77.98</v>
      </c>
      <c r="F1253">
        <v>100</v>
      </c>
    </row>
    <row r="1254" spans="1:6" x14ac:dyDescent="0.2">
      <c r="A1254" s="2" t="str">
        <f>"5998304549781"</f>
        <v>5998304549781</v>
      </c>
      <c r="B1254" s="1" t="s">
        <v>1251</v>
      </c>
      <c r="C1254" s="9" t="s">
        <v>3374</v>
      </c>
      <c r="D1254" s="6">
        <v>179.72</v>
      </c>
      <c r="F1254">
        <v>100</v>
      </c>
    </row>
    <row r="1255" spans="1:6" x14ac:dyDescent="0.2">
      <c r="A1255" s="2" t="str">
        <f>"8594012795372"</f>
        <v>8594012795372</v>
      </c>
      <c r="B1255" s="1" t="s">
        <v>1252</v>
      </c>
      <c r="C1255" s="9" t="s">
        <v>3374</v>
      </c>
      <c r="D1255" s="6">
        <v>111.54</v>
      </c>
      <c r="F1255">
        <v>100</v>
      </c>
    </row>
    <row r="1256" spans="1:6" x14ac:dyDescent="0.2">
      <c r="A1256" s="2" t="str">
        <f>"8594012795396"</f>
        <v>8594012795396</v>
      </c>
      <c r="B1256" s="1" t="s">
        <v>1253</v>
      </c>
      <c r="C1256" s="9" t="s">
        <v>3374</v>
      </c>
      <c r="D1256" s="6">
        <v>108.61</v>
      </c>
      <c r="F1256">
        <v>100</v>
      </c>
    </row>
    <row r="1257" spans="1:6" x14ac:dyDescent="0.2">
      <c r="A1257" s="2" t="str">
        <f>"5941393011820"</f>
        <v>5941393011820</v>
      </c>
      <c r="B1257" s="1" t="s">
        <v>1254</v>
      </c>
      <c r="C1257" s="9" t="s">
        <v>3374</v>
      </c>
      <c r="D1257" s="6">
        <v>163.93</v>
      </c>
      <c r="F1257">
        <v>100</v>
      </c>
    </row>
    <row r="1258" spans="1:6" x14ac:dyDescent="0.2">
      <c r="A1258" s="2" t="str">
        <f>"5999538090278"</f>
        <v>5999538090278</v>
      </c>
      <c r="B1258" s="1" t="s">
        <v>1255</v>
      </c>
      <c r="C1258" s="9" t="s">
        <v>3374</v>
      </c>
      <c r="D1258" s="6">
        <v>47.52</v>
      </c>
      <c r="F1258">
        <v>100</v>
      </c>
    </row>
    <row r="1259" spans="1:6" x14ac:dyDescent="0.2">
      <c r="A1259" s="2" t="str">
        <f>"5998324162236"</f>
        <v>5998324162236</v>
      </c>
      <c r="B1259" s="1" t="s">
        <v>1256</v>
      </c>
      <c r="C1259" s="9" t="s">
        <v>3374</v>
      </c>
      <c r="D1259" s="6">
        <v>286.63</v>
      </c>
      <c r="F1259">
        <v>100</v>
      </c>
    </row>
    <row r="1260" spans="1:6" x14ac:dyDescent="0.2">
      <c r="A1260" s="2" t="str">
        <f>"5997010304127"</f>
        <v>5997010304127</v>
      </c>
      <c r="B1260" s="1" t="s">
        <v>1257</v>
      </c>
      <c r="C1260" s="9" t="s">
        <v>3387</v>
      </c>
      <c r="D1260" s="6">
        <v>167.83</v>
      </c>
      <c r="F1260">
        <v>100</v>
      </c>
    </row>
    <row r="1261" spans="1:6" x14ac:dyDescent="0.2">
      <c r="A1261" s="2" t="str">
        <f>"5997010301133"</f>
        <v>5997010301133</v>
      </c>
      <c r="B1261" s="1" t="s">
        <v>1258</v>
      </c>
      <c r="C1261" s="9" t="s">
        <v>3387</v>
      </c>
      <c r="D1261" s="6">
        <v>305.02</v>
      </c>
      <c r="F1261">
        <v>100</v>
      </c>
    </row>
    <row r="1262" spans="1:6" x14ac:dyDescent="0.2">
      <c r="A1262" s="2" t="str">
        <f>"3083681023626"</f>
        <v>3083681023626</v>
      </c>
      <c r="B1262" s="1" t="s">
        <v>1259</v>
      </c>
      <c r="C1262" s="9" t="s">
        <v>3374</v>
      </c>
      <c r="D1262" s="6">
        <v>319.14</v>
      </c>
      <c r="F1262">
        <v>100</v>
      </c>
    </row>
    <row r="1263" spans="1:6" x14ac:dyDescent="0.2">
      <c r="A1263" s="2" t="str">
        <f>"5997010306886"</f>
        <v>5997010306886</v>
      </c>
      <c r="B1263" s="1" t="s">
        <v>1260</v>
      </c>
      <c r="C1263" s="9" t="s">
        <v>3376</v>
      </c>
      <c r="D1263" s="6">
        <v>269.99</v>
      </c>
      <c r="F1263">
        <v>100</v>
      </c>
    </row>
    <row r="1264" spans="1:6" x14ac:dyDescent="0.2">
      <c r="A1264" s="2" t="str">
        <f>"5999566943669"</f>
        <v>5999566943669</v>
      </c>
      <c r="B1264" s="1" t="s">
        <v>1261</v>
      </c>
      <c r="C1264" s="9" t="s">
        <v>3376</v>
      </c>
      <c r="D1264" s="6">
        <v>173.38</v>
      </c>
      <c r="F1264">
        <v>100</v>
      </c>
    </row>
    <row r="1265" spans="1:6" x14ac:dyDescent="0.2">
      <c r="A1265" s="2" t="str">
        <f>"5901713001245"</f>
        <v>5901713001245</v>
      </c>
      <c r="B1265" s="1" t="s">
        <v>1262</v>
      </c>
      <c r="C1265" s="9" t="s">
        <v>3374</v>
      </c>
      <c r="D1265" s="6">
        <v>79.06</v>
      </c>
      <c r="F1265">
        <v>100</v>
      </c>
    </row>
    <row r="1266" spans="1:6" x14ac:dyDescent="0.2">
      <c r="A1266" s="2" t="str">
        <f>"5997476340424"</f>
        <v>5997476340424</v>
      </c>
      <c r="B1266" s="1" t="s">
        <v>1263</v>
      </c>
      <c r="C1266" s="9" t="s">
        <v>3374</v>
      </c>
      <c r="D1266" s="6">
        <v>289.57</v>
      </c>
      <c r="F1266">
        <v>100</v>
      </c>
    </row>
    <row r="1267" spans="1:6" x14ac:dyDescent="0.2">
      <c r="A1267" s="2" t="str">
        <f>"8594012791640"</f>
        <v>8594012791640</v>
      </c>
      <c r="B1267" s="1" t="s">
        <v>1264</v>
      </c>
      <c r="C1267" s="9" t="s">
        <v>3374</v>
      </c>
      <c r="D1267" s="6">
        <v>375.46</v>
      </c>
      <c r="F1267">
        <v>100</v>
      </c>
    </row>
    <row r="1268" spans="1:6" x14ac:dyDescent="0.2">
      <c r="A1268" s="2" t="str">
        <f>"8595139789749"</f>
        <v>8595139789749</v>
      </c>
      <c r="B1268" s="1" t="s">
        <v>1265</v>
      </c>
      <c r="C1268" s="9" t="s">
        <v>3374</v>
      </c>
      <c r="D1268" s="6">
        <v>306.54000000000002</v>
      </c>
      <c r="F1268">
        <v>100</v>
      </c>
    </row>
    <row r="1269" spans="1:6" x14ac:dyDescent="0.2">
      <c r="A1269" s="2" t="str">
        <f>"8595139793418"</f>
        <v>8595139793418</v>
      </c>
      <c r="B1269" s="1" t="s">
        <v>1266</v>
      </c>
      <c r="C1269" s="9" t="s">
        <v>3374</v>
      </c>
      <c r="D1269" s="6">
        <v>212.42</v>
      </c>
      <c r="F1269">
        <v>100</v>
      </c>
    </row>
    <row r="1270" spans="1:6" x14ac:dyDescent="0.2">
      <c r="A1270" s="2" t="str">
        <f>"5996358014170"</f>
        <v>5996358014170</v>
      </c>
      <c r="B1270" s="1" t="s">
        <v>1267</v>
      </c>
      <c r="C1270" s="9" t="s">
        <v>3374</v>
      </c>
      <c r="D1270" s="6">
        <v>181.75</v>
      </c>
      <c r="F1270">
        <v>100</v>
      </c>
    </row>
    <row r="1271" spans="1:6" x14ac:dyDescent="0.2">
      <c r="A1271" s="2" t="str">
        <f>"8585002477729"</f>
        <v>8585002477729</v>
      </c>
      <c r="B1271" s="1" t="s">
        <v>1268</v>
      </c>
      <c r="C1271" s="9" t="s">
        <v>3374</v>
      </c>
      <c r="D1271" s="6">
        <v>365.94</v>
      </c>
      <c r="F1271">
        <v>100</v>
      </c>
    </row>
    <row r="1272" spans="1:6" x14ac:dyDescent="0.2">
      <c r="A1272" s="2" t="str">
        <f>"5998324180018"</f>
        <v>5998324180018</v>
      </c>
      <c r="B1272" s="1" t="s">
        <v>1269</v>
      </c>
      <c r="C1272" s="9" t="s">
        <v>3374</v>
      </c>
      <c r="D1272" s="6">
        <v>344.35</v>
      </c>
      <c r="F1272">
        <v>100</v>
      </c>
    </row>
    <row r="1273" spans="1:6" x14ac:dyDescent="0.2">
      <c r="A1273" s="2" t="str">
        <f>"5998094551964"</f>
        <v>5998094551964</v>
      </c>
      <c r="B1273" s="1" t="s">
        <v>1270</v>
      </c>
      <c r="C1273" s="9" t="s">
        <v>3374</v>
      </c>
      <c r="D1273" s="6">
        <v>431.65</v>
      </c>
      <c r="F1273">
        <v>100</v>
      </c>
    </row>
    <row r="1274" spans="1:6" x14ac:dyDescent="0.2">
      <c r="A1274" s="2" t="str">
        <f>"5997010301010"</f>
        <v>5997010301010</v>
      </c>
      <c r="B1274" s="1" t="s">
        <v>1271</v>
      </c>
      <c r="C1274" s="9" t="s">
        <v>3374</v>
      </c>
      <c r="D1274" s="6">
        <v>187.6</v>
      </c>
      <c r="F1274">
        <v>100</v>
      </c>
    </row>
    <row r="1275" spans="1:6" x14ac:dyDescent="0.2">
      <c r="A1275" s="2" t="str">
        <f>"5999524035054"</f>
        <v>5999524035054</v>
      </c>
      <c r="B1275" s="1" t="s">
        <v>1272</v>
      </c>
      <c r="C1275" s="9" t="s">
        <v>3376</v>
      </c>
      <c r="D1275" s="6">
        <v>399.6</v>
      </c>
      <c r="F1275">
        <v>100</v>
      </c>
    </row>
    <row r="1276" spans="1:6" x14ac:dyDescent="0.2">
      <c r="A1276" s="2" t="str">
        <f>"5997423137084"</f>
        <v>5997423137084</v>
      </c>
      <c r="B1276" s="1" t="s">
        <v>1273</v>
      </c>
      <c r="C1276" s="9" t="s">
        <v>3376</v>
      </c>
      <c r="D1276" s="6">
        <v>233.57</v>
      </c>
      <c r="F1276">
        <v>100</v>
      </c>
    </row>
    <row r="1277" spans="1:6" x14ac:dyDescent="0.2">
      <c r="A1277" s="2" t="str">
        <f>"5999524034156"</f>
        <v>5999524034156</v>
      </c>
      <c r="B1277" s="1" t="s">
        <v>1274</v>
      </c>
      <c r="C1277" s="9" t="s">
        <v>3376</v>
      </c>
      <c r="D1277" s="6">
        <v>53.26</v>
      </c>
      <c r="F1277">
        <v>100</v>
      </c>
    </row>
    <row r="1278" spans="1:6" x14ac:dyDescent="0.2">
      <c r="A1278" s="2" t="str">
        <f>"5901713003676"</f>
        <v>5901713003676</v>
      </c>
      <c r="B1278" s="1" t="s">
        <v>1275</v>
      </c>
      <c r="C1278" s="9" t="s">
        <v>3374</v>
      </c>
      <c r="D1278" s="6">
        <v>183.97</v>
      </c>
      <c r="F1278">
        <v>100</v>
      </c>
    </row>
    <row r="1279" spans="1:6" x14ac:dyDescent="0.2">
      <c r="A1279" s="2" t="str">
        <f>"8594012793378"</f>
        <v>8594012793378</v>
      </c>
      <c r="B1279" s="1" t="s">
        <v>1276</v>
      </c>
      <c r="C1279" s="9" t="s">
        <v>3375</v>
      </c>
      <c r="D1279" s="6">
        <v>386.24</v>
      </c>
      <c r="F1279">
        <v>100</v>
      </c>
    </row>
    <row r="1280" spans="1:6" x14ac:dyDescent="0.2">
      <c r="A1280" s="2" t="str">
        <f>"8595139789879"</f>
        <v>8595139789879</v>
      </c>
      <c r="B1280" s="1" t="s">
        <v>1277</v>
      </c>
      <c r="C1280" s="9" t="s">
        <v>3374</v>
      </c>
      <c r="D1280" s="6">
        <v>295.76</v>
      </c>
      <c r="F1280">
        <v>100</v>
      </c>
    </row>
    <row r="1281" spans="1:6" x14ac:dyDescent="0.2">
      <c r="A1281" s="2" t="str">
        <f>"8595139787448"</f>
        <v>8595139787448</v>
      </c>
      <c r="B1281" s="1" t="s">
        <v>1278</v>
      </c>
      <c r="C1281" s="9" t="s">
        <v>3374</v>
      </c>
      <c r="D1281" s="6">
        <v>214.15</v>
      </c>
      <c r="F1281">
        <v>100</v>
      </c>
    </row>
    <row r="1282" spans="1:6" x14ac:dyDescent="0.2">
      <c r="A1282" s="2" t="str">
        <f>"5998304053134"</f>
        <v>5998304053134</v>
      </c>
      <c r="B1282" s="1" t="s">
        <v>1279</v>
      </c>
      <c r="C1282" s="9" t="s">
        <v>3374</v>
      </c>
      <c r="D1282" s="6">
        <v>416.65</v>
      </c>
      <c r="F1282">
        <v>100</v>
      </c>
    </row>
    <row r="1283" spans="1:6" x14ac:dyDescent="0.2">
      <c r="A1283" s="2" t="str">
        <f>"5998304056289"</f>
        <v>5998304056289</v>
      </c>
      <c r="B1283" s="1" t="s">
        <v>1280</v>
      </c>
      <c r="C1283" s="9" t="s">
        <v>3374</v>
      </c>
      <c r="D1283" s="6">
        <v>392.56</v>
      </c>
      <c r="F1283">
        <v>100</v>
      </c>
    </row>
    <row r="1284" spans="1:6" x14ac:dyDescent="0.2">
      <c r="A1284" s="2" t="str">
        <f>"5998304063119"</f>
        <v>5998304063119</v>
      </c>
      <c r="B1284" s="1" t="s">
        <v>1281</v>
      </c>
      <c r="C1284" s="9" t="s">
        <v>3374</v>
      </c>
      <c r="D1284" s="6">
        <v>421.94</v>
      </c>
      <c r="F1284">
        <v>100</v>
      </c>
    </row>
    <row r="1285" spans="1:6" x14ac:dyDescent="0.2">
      <c r="A1285" s="2" t="str">
        <f>"5996358043859"</f>
        <v>5996358043859</v>
      </c>
      <c r="B1285" s="1" t="s">
        <v>1282</v>
      </c>
      <c r="C1285" s="9" t="s">
        <v>3374</v>
      </c>
      <c r="D1285" s="6">
        <v>241.53</v>
      </c>
      <c r="F1285">
        <v>100</v>
      </c>
    </row>
    <row r="1286" spans="1:6" x14ac:dyDescent="0.2">
      <c r="A1286" s="2" t="str">
        <f>"5999538090292"</f>
        <v>5999538090292</v>
      </c>
      <c r="B1286" s="1" t="s">
        <v>1283</v>
      </c>
      <c r="C1286" s="9" t="s">
        <v>3374</v>
      </c>
      <c r="D1286" s="6">
        <v>81.33</v>
      </c>
      <c r="F1286">
        <v>100</v>
      </c>
    </row>
    <row r="1287" spans="1:6" x14ac:dyDescent="0.2">
      <c r="A1287" s="2" t="str">
        <f>"5997010302017"</f>
        <v>5997010302017</v>
      </c>
      <c r="B1287" s="1" t="s">
        <v>1284</v>
      </c>
      <c r="C1287" s="9" t="s">
        <v>3375</v>
      </c>
      <c r="D1287" s="6">
        <v>187.68</v>
      </c>
      <c r="F1287">
        <v>100</v>
      </c>
    </row>
    <row r="1288" spans="1:6" x14ac:dyDescent="0.2">
      <c r="A1288" s="2" t="str">
        <f>"5997010301195"</f>
        <v>5997010301195</v>
      </c>
      <c r="B1288" s="1" t="s">
        <v>1285</v>
      </c>
      <c r="C1288" s="9" t="s">
        <v>3387</v>
      </c>
      <c r="D1288" s="6">
        <v>385.32</v>
      </c>
      <c r="F1288">
        <v>100</v>
      </c>
    </row>
    <row r="1289" spans="1:6" x14ac:dyDescent="0.2">
      <c r="A1289" s="2" t="str">
        <f>"5997010304028"</f>
        <v>5997010304028</v>
      </c>
      <c r="B1289" s="1" t="s">
        <v>1286</v>
      </c>
      <c r="C1289" s="9" t="s">
        <v>3374</v>
      </c>
      <c r="D1289" s="6">
        <v>265.99</v>
      </c>
      <c r="F1289">
        <v>100</v>
      </c>
    </row>
    <row r="1290" spans="1:6" x14ac:dyDescent="0.2">
      <c r="A1290" s="2" t="str">
        <f>"5997010304073"</f>
        <v>5997010304073</v>
      </c>
      <c r="B1290" s="1" t="s">
        <v>1287</v>
      </c>
      <c r="C1290" s="9" t="s">
        <v>3387</v>
      </c>
      <c r="D1290" s="6">
        <v>321.77</v>
      </c>
      <c r="F1290">
        <v>100</v>
      </c>
    </row>
    <row r="1291" spans="1:6" x14ac:dyDescent="0.2">
      <c r="A1291" s="2" t="str">
        <f>"5997010305094"</f>
        <v>5997010305094</v>
      </c>
      <c r="B1291" s="1" t="s">
        <v>1288</v>
      </c>
      <c r="C1291" s="9" t="s">
        <v>3387</v>
      </c>
      <c r="D1291" s="6">
        <v>214.9</v>
      </c>
      <c r="F1291">
        <v>100</v>
      </c>
    </row>
    <row r="1292" spans="1:6" x14ac:dyDescent="0.2">
      <c r="A1292" s="2" t="str">
        <f>"3083680002875"</f>
        <v>3083680002875</v>
      </c>
      <c r="B1292" s="1" t="s">
        <v>1289</v>
      </c>
      <c r="C1292" s="9" t="s">
        <v>3374</v>
      </c>
      <c r="D1292" s="6">
        <v>264.62</v>
      </c>
      <c r="F1292">
        <v>100</v>
      </c>
    </row>
    <row r="1293" spans="1:6" x14ac:dyDescent="0.2">
      <c r="A1293" s="2" t="str">
        <f>"5997010304394"</f>
        <v>5997010304394</v>
      </c>
      <c r="B1293" s="1" t="s">
        <v>1290</v>
      </c>
      <c r="C1293" s="9" t="s">
        <v>3376</v>
      </c>
      <c r="D1293" s="6">
        <v>219.84</v>
      </c>
      <c r="F1293">
        <v>100</v>
      </c>
    </row>
    <row r="1294" spans="1:6" x14ac:dyDescent="0.2">
      <c r="A1294" s="2" t="str">
        <f>"5999524032411"</f>
        <v>5999524032411</v>
      </c>
      <c r="B1294" s="1" t="s">
        <v>1291</v>
      </c>
      <c r="C1294" s="9" t="s">
        <v>3376</v>
      </c>
      <c r="D1294" s="6">
        <v>339.42</v>
      </c>
      <c r="F1294">
        <v>100</v>
      </c>
    </row>
    <row r="1295" spans="1:6" x14ac:dyDescent="0.2">
      <c r="A1295" s="2" t="str">
        <f>"5998324142016"</f>
        <v>5998324142016</v>
      </c>
      <c r="B1295" s="1" t="s">
        <v>1292</v>
      </c>
      <c r="C1295" s="9" t="s">
        <v>3376</v>
      </c>
      <c r="D1295" s="6">
        <v>416.21</v>
      </c>
      <c r="F1295">
        <v>100</v>
      </c>
    </row>
    <row r="1296" spans="1:6" x14ac:dyDescent="0.2">
      <c r="A1296" s="2" t="str">
        <f>"5999524033173"</f>
        <v>5999524033173</v>
      </c>
      <c r="B1296" s="1" t="s">
        <v>1293</v>
      </c>
      <c r="C1296" s="9" t="s">
        <v>3376</v>
      </c>
      <c r="D1296" s="6">
        <v>125.2</v>
      </c>
      <c r="F1296">
        <v>100</v>
      </c>
    </row>
    <row r="1297" spans="1:6" x14ac:dyDescent="0.2">
      <c r="A1297" s="2" t="str">
        <f>"5997476342756"</f>
        <v>5997476342756</v>
      </c>
      <c r="B1297" s="1" t="s">
        <v>1294</v>
      </c>
      <c r="C1297" s="9" t="s">
        <v>3374</v>
      </c>
      <c r="D1297" s="6">
        <v>169.76</v>
      </c>
      <c r="F1297">
        <v>100</v>
      </c>
    </row>
    <row r="1298" spans="1:6" x14ac:dyDescent="0.2">
      <c r="A1298" s="2" t="str">
        <f>"5997476341162"</f>
        <v>5997476341162</v>
      </c>
      <c r="B1298" s="1" t="s">
        <v>1295</v>
      </c>
      <c r="C1298" s="9" t="s">
        <v>3374</v>
      </c>
      <c r="D1298" s="6">
        <v>198.86</v>
      </c>
      <c r="F1298">
        <v>100</v>
      </c>
    </row>
    <row r="1299" spans="1:6" x14ac:dyDescent="0.2">
      <c r="A1299" s="2" t="str">
        <f>"3850104231544"</f>
        <v>3850104231544</v>
      </c>
      <c r="B1299" s="1" t="s">
        <v>1296</v>
      </c>
      <c r="C1299" s="9" t="s">
        <v>3374</v>
      </c>
      <c r="D1299" s="6">
        <v>397.07</v>
      </c>
      <c r="F1299">
        <v>100</v>
      </c>
    </row>
    <row r="1300" spans="1:6" x14ac:dyDescent="0.2">
      <c r="A1300" s="2" t="str">
        <f>"8595241502731"</f>
        <v>8595241502731</v>
      </c>
      <c r="B1300" s="1" t="s">
        <v>1297</v>
      </c>
      <c r="C1300" s="9" t="s">
        <v>3374</v>
      </c>
      <c r="D1300" s="6">
        <v>392.64</v>
      </c>
      <c r="F1300">
        <v>100</v>
      </c>
    </row>
    <row r="1301" spans="1:6" x14ac:dyDescent="0.2">
      <c r="A1301" s="2" t="str">
        <f>"8595139789770"</f>
        <v>8595139789770</v>
      </c>
      <c r="B1301" s="1" t="s">
        <v>1298</v>
      </c>
      <c r="C1301" s="9" t="s">
        <v>3374</v>
      </c>
      <c r="D1301" s="6">
        <v>356.6</v>
      </c>
      <c r="F1301">
        <v>100</v>
      </c>
    </row>
    <row r="1302" spans="1:6" x14ac:dyDescent="0.2">
      <c r="A1302" s="2" t="str">
        <f>"8595139789695"</f>
        <v>8595139789695</v>
      </c>
      <c r="B1302" s="1" t="s">
        <v>1299</v>
      </c>
      <c r="C1302" s="9" t="s">
        <v>3374</v>
      </c>
      <c r="D1302" s="6">
        <v>309.24</v>
      </c>
      <c r="F1302">
        <v>100</v>
      </c>
    </row>
    <row r="1303" spans="1:6" x14ac:dyDescent="0.2">
      <c r="A1303" s="2" t="str">
        <f>"8595139789701"</f>
        <v>8595139789701</v>
      </c>
      <c r="B1303" s="1" t="s">
        <v>1300</v>
      </c>
      <c r="C1303" s="9" t="s">
        <v>3374</v>
      </c>
      <c r="D1303" s="6">
        <v>383.06</v>
      </c>
      <c r="F1303">
        <v>100</v>
      </c>
    </row>
    <row r="1304" spans="1:6" x14ac:dyDescent="0.2">
      <c r="A1304" s="2" t="str">
        <f>"8595139789916"</f>
        <v>8595139789916</v>
      </c>
      <c r="B1304" s="1" t="s">
        <v>1301</v>
      </c>
      <c r="C1304" s="9" t="s">
        <v>3374</v>
      </c>
      <c r="D1304" s="6">
        <v>416.14</v>
      </c>
      <c r="F1304">
        <v>100</v>
      </c>
    </row>
    <row r="1305" spans="1:6" x14ac:dyDescent="0.2">
      <c r="A1305" s="2" t="str">
        <f>"8595139789800"</f>
        <v>8595139789800</v>
      </c>
      <c r="B1305" s="1" t="s">
        <v>1302</v>
      </c>
      <c r="C1305" s="9" t="s">
        <v>3374</v>
      </c>
      <c r="D1305" s="6">
        <v>169.76</v>
      </c>
      <c r="F1305">
        <v>100</v>
      </c>
    </row>
    <row r="1306" spans="1:6" x14ac:dyDescent="0.2">
      <c r="A1306" s="2" t="str">
        <f>"8595139723767"</f>
        <v>8595139723767</v>
      </c>
      <c r="B1306" s="1" t="s">
        <v>1303</v>
      </c>
      <c r="C1306" s="9" t="s">
        <v>3374</v>
      </c>
      <c r="D1306" s="6">
        <v>222.12</v>
      </c>
      <c r="F1306">
        <v>100</v>
      </c>
    </row>
    <row r="1307" spans="1:6" x14ac:dyDescent="0.2">
      <c r="A1307" s="2" t="str">
        <f>"8595139719425"</f>
        <v>8595139719425</v>
      </c>
      <c r="B1307" s="1" t="s">
        <v>1304</v>
      </c>
      <c r="C1307" s="9" t="s">
        <v>3374</v>
      </c>
      <c r="D1307" s="6">
        <v>189.78</v>
      </c>
      <c r="F1307">
        <v>100</v>
      </c>
    </row>
    <row r="1308" spans="1:6" x14ac:dyDescent="0.2">
      <c r="A1308" s="2" t="str">
        <f>"8595139793432"</f>
        <v>8595139793432</v>
      </c>
      <c r="B1308" s="1" t="s">
        <v>1305</v>
      </c>
      <c r="C1308" s="9" t="s">
        <v>3374</v>
      </c>
      <c r="D1308" s="6">
        <v>209.81</v>
      </c>
      <c r="F1308">
        <v>100</v>
      </c>
    </row>
    <row r="1309" spans="1:6" x14ac:dyDescent="0.2">
      <c r="A1309" s="2" t="str">
        <f>"8594001690947"</f>
        <v>8594001690947</v>
      </c>
      <c r="B1309" s="1" t="s">
        <v>1306</v>
      </c>
      <c r="C1309" s="9" t="s">
        <v>3374</v>
      </c>
      <c r="D1309" s="6">
        <v>329.01</v>
      </c>
      <c r="F1309">
        <v>100</v>
      </c>
    </row>
    <row r="1310" spans="1:6" x14ac:dyDescent="0.2">
      <c r="A1310" s="2" t="str">
        <f>"8595139714680"</f>
        <v>8595139714680</v>
      </c>
      <c r="B1310" s="1" t="s">
        <v>1307</v>
      </c>
      <c r="C1310" s="9" t="s">
        <v>3374</v>
      </c>
      <c r="D1310" s="6">
        <v>62.59</v>
      </c>
      <c r="F1310">
        <v>100</v>
      </c>
    </row>
    <row r="1311" spans="1:6" x14ac:dyDescent="0.2">
      <c r="A1311" s="2" t="str">
        <f>"8595139714741"</f>
        <v>8595139714741</v>
      </c>
      <c r="B1311" s="1" t="s">
        <v>1308</v>
      </c>
      <c r="C1311" s="9" t="s">
        <v>3374</v>
      </c>
      <c r="D1311" s="6">
        <v>157.53</v>
      </c>
      <c r="F1311">
        <v>100</v>
      </c>
    </row>
    <row r="1312" spans="1:6" x14ac:dyDescent="0.2">
      <c r="A1312" s="2" t="str">
        <f>"8715700112664"</f>
        <v>8715700112664</v>
      </c>
      <c r="B1312" s="1" t="s">
        <v>1309</v>
      </c>
      <c r="C1312" s="9" t="s">
        <v>3374</v>
      </c>
      <c r="D1312" s="6">
        <v>429.03</v>
      </c>
      <c r="F1312">
        <v>100</v>
      </c>
    </row>
    <row r="1313" spans="1:6" x14ac:dyDescent="0.2">
      <c r="A1313" s="2" t="str">
        <f>"5000157073006"</f>
        <v>5000157073006</v>
      </c>
      <c r="B1313" s="1" t="s">
        <v>1310</v>
      </c>
      <c r="C1313" s="9" t="s">
        <v>3374</v>
      </c>
      <c r="D1313" s="6">
        <v>482.16</v>
      </c>
      <c r="F1313">
        <v>100</v>
      </c>
    </row>
    <row r="1314" spans="1:6" x14ac:dyDescent="0.2">
      <c r="A1314" s="2" t="str">
        <f>"5997010309580"</f>
        <v>5997010309580</v>
      </c>
      <c r="B1314" s="1" t="s">
        <v>1311</v>
      </c>
      <c r="C1314" s="9" t="s">
        <v>3374</v>
      </c>
      <c r="D1314" s="6">
        <v>200.18</v>
      </c>
      <c r="F1314">
        <v>100</v>
      </c>
    </row>
    <row r="1315" spans="1:6" x14ac:dyDescent="0.2">
      <c r="A1315" s="2" t="str">
        <f>"8712100737190"</f>
        <v>8712100737190</v>
      </c>
      <c r="B1315" s="1" t="s">
        <v>1312</v>
      </c>
      <c r="C1315" s="9" t="s">
        <v>3374</v>
      </c>
      <c r="D1315" s="6">
        <v>236.14</v>
      </c>
      <c r="F1315">
        <v>100</v>
      </c>
    </row>
    <row r="1316" spans="1:6" x14ac:dyDescent="0.2">
      <c r="A1316" s="2" t="str">
        <f>"5999883409336"</f>
        <v>5999883409336</v>
      </c>
      <c r="B1316" s="1" t="s">
        <v>1313</v>
      </c>
      <c r="C1316" s="9" t="s">
        <v>3375</v>
      </c>
      <c r="D1316" s="6">
        <v>266.08999999999997</v>
      </c>
      <c r="F1316">
        <v>100</v>
      </c>
    </row>
    <row r="1317" spans="1:6" x14ac:dyDescent="0.2">
      <c r="A1317" s="2" t="str">
        <f>"5998304060361"</f>
        <v>5998304060361</v>
      </c>
      <c r="B1317" s="1" t="s">
        <v>1314</v>
      </c>
      <c r="C1317" s="9" t="s">
        <v>3374</v>
      </c>
      <c r="D1317" s="6">
        <v>75.430000000000007</v>
      </c>
      <c r="F1317">
        <v>100</v>
      </c>
    </row>
    <row r="1318" spans="1:6" x14ac:dyDescent="0.2">
      <c r="A1318" s="2" t="str">
        <f>"5998324161314"</f>
        <v>5998324161314</v>
      </c>
      <c r="B1318" s="1" t="s">
        <v>1315</v>
      </c>
      <c r="C1318" s="9" t="s">
        <v>3374</v>
      </c>
      <c r="D1318" s="6">
        <v>159</v>
      </c>
      <c r="F1318">
        <v>100</v>
      </c>
    </row>
    <row r="1319" spans="1:6" x14ac:dyDescent="0.2">
      <c r="A1319" s="2" t="str">
        <f>"5997010301126"</f>
        <v>5997010301126</v>
      </c>
      <c r="B1319" s="1" t="s">
        <v>1316</v>
      </c>
      <c r="C1319" s="9" t="s">
        <v>3387</v>
      </c>
      <c r="D1319" s="6">
        <v>306.01</v>
      </c>
      <c r="F1319">
        <v>100</v>
      </c>
    </row>
    <row r="1320" spans="1:6" x14ac:dyDescent="0.2">
      <c r="A1320" s="2" t="str">
        <f>"5997010303137"</f>
        <v>5997010303137</v>
      </c>
      <c r="B1320" s="1" t="s">
        <v>1317</v>
      </c>
      <c r="C1320" s="9" t="s">
        <v>3374</v>
      </c>
      <c r="D1320" s="6">
        <v>196.2</v>
      </c>
      <c r="F1320">
        <v>100</v>
      </c>
    </row>
    <row r="1321" spans="1:6" x14ac:dyDescent="0.2">
      <c r="A1321" s="2" t="str">
        <f>"5997010305018"</f>
        <v>5997010305018</v>
      </c>
      <c r="B1321" s="1" t="s">
        <v>1318</v>
      </c>
      <c r="C1321" s="9" t="s">
        <v>3375</v>
      </c>
      <c r="D1321" s="6">
        <v>140.27000000000001</v>
      </c>
      <c r="F1321">
        <v>100</v>
      </c>
    </row>
    <row r="1322" spans="1:6" x14ac:dyDescent="0.2">
      <c r="A1322" s="2" t="str">
        <f>"8934561000228"</f>
        <v>8934561000228</v>
      </c>
      <c r="B1322" s="1" t="s">
        <v>1319</v>
      </c>
      <c r="C1322" s="9" t="s">
        <v>3382</v>
      </c>
      <c r="D1322" s="6">
        <v>72</v>
      </c>
      <c r="F1322">
        <v>100</v>
      </c>
    </row>
    <row r="1323" spans="1:6" x14ac:dyDescent="0.2">
      <c r="A1323" s="2" t="str">
        <f>"3083681007657"</f>
        <v>3083681007657</v>
      </c>
      <c r="B1323" s="1" t="s">
        <v>1320</v>
      </c>
      <c r="C1323" s="9" t="s">
        <v>3374</v>
      </c>
      <c r="D1323" s="6">
        <v>379.88</v>
      </c>
      <c r="F1323">
        <v>100</v>
      </c>
    </row>
    <row r="1324" spans="1:6" x14ac:dyDescent="0.2">
      <c r="A1324" s="2" t="str">
        <f>"3083681023602"</f>
        <v>3083681023602</v>
      </c>
      <c r="B1324" s="1" t="s">
        <v>1321</v>
      </c>
      <c r="C1324" s="9" t="s">
        <v>3374</v>
      </c>
      <c r="D1324" s="6">
        <v>311.87</v>
      </c>
      <c r="F1324">
        <v>100</v>
      </c>
    </row>
    <row r="1325" spans="1:6" x14ac:dyDescent="0.2">
      <c r="A1325" s="2" t="str">
        <f>"3464300013516"</f>
        <v>3464300013516</v>
      </c>
      <c r="B1325" s="1" t="s">
        <v>1322</v>
      </c>
      <c r="C1325" s="9" t="s">
        <v>3376</v>
      </c>
      <c r="D1325" s="6">
        <v>199.82</v>
      </c>
      <c r="F1325">
        <v>100</v>
      </c>
    </row>
    <row r="1326" spans="1:6" x14ac:dyDescent="0.2">
      <c r="A1326" s="2" t="str">
        <f>"5997010309160"</f>
        <v>5997010309160</v>
      </c>
      <c r="B1326" s="1" t="s">
        <v>1323</v>
      </c>
      <c r="C1326" s="9" t="s">
        <v>3376</v>
      </c>
      <c r="D1326" s="6">
        <v>172.33</v>
      </c>
      <c r="F1326">
        <v>100</v>
      </c>
    </row>
    <row r="1327" spans="1:6" x14ac:dyDescent="0.2">
      <c r="A1327" s="2" t="str">
        <f>"5997476341094"</f>
        <v>5997476341094</v>
      </c>
      <c r="B1327" s="1" t="s">
        <v>1324</v>
      </c>
      <c r="C1327" s="9" t="s">
        <v>3376</v>
      </c>
      <c r="D1327" s="6">
        <v>166.9</v>
      </c>
      <c r="F1327">
        <v>100</v>
      </c>
    </row>
    <row r="1328" spans="1:6" x14ac:dyDescent="0.2">
      <c r="A1328" s="2" t="str">
        <f>"5750001026442"</f>
        <v>5750001026442</v>
      </c>
      <c r="B1328" s="1" t="s">
        <v>1325</v>
      </c>
      <c r="C1328" s="9" t="s">
        <v>3376</v>
      </c>
      <c r="D1328" s="6">
        <v>354.74</v>
      </c>
      <c r="F1328">
        <v>100</v>
      </c>
    </row>
    <row r="1329" spans="1:6" x14ac:dyDescent="0.2">
      <c r="A1329" s="2" t="str">
        <f>"5998324104809"</f>
        <v>5998324104809</v>
      </c>
      <c r="B1329" s="1" t="s">
        <v>1326</v>
      </c>
      <c r="C1329" s="9" t="s">
        <v>3376</v>
      </c>
      <c r="D1329" s="6">
        <v>277.94</v>
      </c>
      <c r="F1329">
        <v>100</v>
      </c>
    </row>
    <row r="1330" spans="1:6" x14ac:dyDescent="0.2">
      <c r="A1330" s="2" t="str">
        <f>"5999524033890"</f>
        <v>5999524033890</v>
      </c>
      <c r="B1330" s="1" t="s">
        <v>1327</v>
      </c>
      <c r="C1330" s="9" t="s">
        <v>3376</v>
      </c>
      <c r="D1330" s="6">
        <v>242.52</v>
      </c>
      <c r="F1330">
        <v>100</v>
      </c>
    </row>
    <row r="1331" spans="1:6" x14ac:dyDescent="0.2">
      <c r="A1331" s="2" t="str">
        <f>"5901713000361"</f>
        <v>5901713000361</v>
      </c>
      <c r="B1331" s="1" t="s">
        <v>1328</v>
      </c>
      <c r="C1331" s="9" t="s">
        <v>3374</v>
      </c>
      <c r="D1331" s="6">
        <v>193.49</v>
      </c>
      <c r="F1331">
        <v>100</v>
      </c>
    </row>
    <row r="1332" spans="1:6" x14ac:dyDescent="0.2">
      <c r="A1332" s="2" t="str">
        <f>"5901713000620"</f>
        <v>5901713000620</v>
      </c>
      <c r="B1332" s="1" t="s">
        <v>1329</v>
      </c>
      <c r="C1332" s="9" t="s">
        <v>3374</v>
      </c>
      <c r="D1332" s="6">
        <v>190.11</v>
      </c>
      <c r="F1332">
        <v>100</v>
      </c>
    </row>
    <row r="1333" spans="1:6" x14ac:dyDescent="0.2">
      <c r="A1333" s="2" t="str">
        <f>"5901713000415"</f>
        <v>5901713000415</v>
      </c>
      <c r="B1333" s="1" t="s">
        <v>1330</v>
      </c>
      <c r="C1333" s="9" t="s">
        <v>3375</v>
      </c>
      <c r="D1333" s="6">
        <v>113.5</v>
      </c>
      <c r="F1333">
        <v>100</v>
      </c>
    </row>
    <row r="1334" spans="1:6" x14ac:dyDescent="0.2">
      <c r="A1334" s="2" t="str">
        <f>"5997476343029"</f>
        <v>5997476343029</v>
      </c>
      <c r="B1334" s="1" t="s">
        <v>1331</v>
      </c>
      <c r="C1334" s="9" t="s">
        <v>3374</v>
      </c>
      <c r="D1334" s="6">
        <v>357.89</v>
      </c>
      <c r="F1334">
        <v>100</v>
      </c>
    </row>
    <row r="1335" spans="1:6" x14ac:dyDescent="0.2">
      <c r="A1335" s="2" t="str">
        <f>"8594012790018"</f>
        <v>8594012790018</v>
      </c>
      <c r="B1335" s="1" t="s">
        <v>1332</v>
      </c>
      <c r="C1335" s="9" t="s">
        <v>3374</v>
      </c>
      <c r="D1335" s="6">
        <v>299.73</v>
      </c>
      <c r="F1335">
        <v>100</v>
      </c>
    </row>
    <row r="1336" spans="1:6" x14ac:dyDescent="0.2">
      <c r="A1336" s="2" t="str">
        <f>"8594012798021"</f>
        <v>8594012798021</v>
      </c>
      <c r="B1336" s="1" t="s">
        <v>1333</v>
      </c>
      <c r="C1336" s="9" t="s">
        <v>3375</v>
      </c>
      <c r="D1336" s="6">
        <v>417.6</v>
      </c>
      <c r="F1336">
        <v>100</v>
      </c>
    </row>
    <row r="1337" spans="1:6" x14ac:dyDescent="0.2">
      <c r="A1337" s="2" t="str">
        <f>"8594012792104"</f>
        <v>8594012792104</v>
      </c>
      <c r="B1337" s="1" t="s">
        <v>1334</v>
      </c>
      <c r="C1337" s="9" t="s">
        <v>3374</v>
      </c>
      <c r="D1337" s="6">
        <v>192.93</v>
      </c>
      <c r="F1337">
        <v>100</v>
      </c>
    </row>
    <row r="1338" spans="1:6" x14ac:dyDescent="0.2">
      <c r="A1338" s="2" t="str">
        <f>"8594012792593"</f>
        <v>8594012792593</v>
      </c>
      <c r="B1338" s="1" t="s">
        <v>1335</v>
      </c>
      <c r="C1338" s="9" t="s">
        <v>3374</v>
      </c>
      <c r="D1338" s="6">
        <v>179.45</v>
      </c>
      <c r="F1338">
        <v>100</v>
      </c>
    </row>
    <row r="1339" spans="1:6" x14ac:dyDescent="0.2">
      <c r="A1339" s="2" t="str">
        <f>"8718114872810"</f>
        <v>8718114872810</v>
      </c>
      <c r="B1339" s="1" t="s">
        <v>1336</v>
      </c>
      <c r="C1339" s="9" t="s">
        <v>3374</v>
      </c>
      <c r="D1339" s="6">
        <v>480.96</v>
      </c>
      <c r="F1339">
        <v>100</v>
      </c>
    </row>
    <row r="1340" spans="1:6" x14ac:dyDescent="0.2">
      <c r="A1340" s="2" t="str">
        <f>"8595139789824"</f>
        <v>8595139789824</v>
      </c>
      <c r="B1340" s="1" t="s">
        <v>1337</v>
      </c>
      <c r="C1340" s="9" t="s">
        <v>3374</v>
      </c>
      <c r="D1340" s="6">
        <v>308.38</v>
      </c>
      <c r="F1340">
        <v>100</v>
      </c>
    </row>
    <row r="1341" spans="1:6" x14ac:dyDescent="0.2">
      <c r="A1341" s="2" t="str">
        <f>"8595139789763"</f>
        <v>8595139789763</v>
      </c>
      <c r="B1341" s="1" t="s">
        <v>1338</v>
      </c>
      <c r="C1341" s="9" t="s">
        <v>3374</v>
      </c>
      <c r="D1341" s="6">
        <v>309.45999999999998</v>
      </c>
      <c r="F1341">
        <v>100</v>
      </c>
    </row>
    <row r="1342" spans="1:6" x14ac:dyDescent="0.2">
      <c r="A1342" s="2" t="str">
        <f>"8595139789602"</f>
        <v>8595139789602</v>
      </c>
      <c r="B1342" s="1" t="s">
        <v>1339</v>
      </c>
      <c r="C1342" s="9" t="s">
        <v>3374</v>
      </c>
      <c r="D1342" s="6">
        <v>62.33</v>
      </c>
      <c r="F1342">
        <v>100</v>
      </c>
    </row>
    <row r="1343" spans="1:6" x14ac:dyDescent="0.2">
      <c r="A1343" s="2" t="str">
        <f>"8595139789718"</f>
        <v>8595139789718</v>
      </c>
      <c r="B1343" s="1" t="s">
        <v>1340</v>
      </c>
      <c r="C1343" s="9" t="s">
        <v>3374</v>
      </c>
      <c r="D1343" s="6">
        <v>169.76</v>
      </c>
      <c r="F1343">
        <v>100</v>
      </c>
    </row>
    <row r="1344" spans="1:6" x14ac:dyDescent="0.2">
      <c r="A1344" s="2" t="str">
        <f>"8595139779191"</f>
        <v>8595139779191</v>
      </c>
      <c r="B1344" s="1" t="s">
        <v>1341</v>
      </c>
      <c r="C1344" s="9" t="s">
        <v>3374</v>
      </c>
      <c r="D1344" s="6">
        <v>217.24</v>
      </c>
      <c r="F1344">
        <v>100</v>
      </c>
    </row>
    <row r="1345" spans="1:6" x14ac:dyDescent="0.2">
      <c r="A1345" s="2" t="str">
        <f>"8595139787455"</f>
        <v>8595139787455</v>
      </c>
      <c r="B1345" s="1" t="s">
        <v>1342</v>
      </c>
      <c r="C1345" s="9" t="s">
        <v>3374</v>
      </c>
      <c r="D1345" s="6">
        <v>208.67</v>
      </c>
      <c r="F1345">
        <v>100</v>
      </c>
    </row>
    <row r="1346" spans="1:6" x14ac:dyDescent="0.2">
      <c r="A1346" s="2" t="str">
        <f>"8595139793425"</f>
        <v>8595139793425</v>
      </c>
      <c r="B1346" s="1" t="s">
        <v>1343</v>
      </c>
      <c r="C1346" s="9" t="s">
        <v>3374</v>
      </c>
      <c r="D1346" s="6">
        <v>212.43</v>
      </c>
      <c r="F1346">
        <v>100</v>
      </c>
    </row>
    <row r="1347" spans="1:6" x14ac:dyDescent="0.2">
      <c r="A1347" s="2" t="str">
        <f>"5999541440039"</f>
        <v>5999541440039</v>
      </c>
      <c r="B1347" s="1" t="s">
        <v>1344</v>
      </c>
      <c r="C1347" s="9" t="s">
        <v>3375</v>
      </c>
      <c r="D1347" s="6">
        <v>341.87</v>
      </c>
      <c r="F1347">
        <v>100</v>
      </c>
    </row>
    <row r="1348" spans="1:6" x14ac:dyDescent="0.2">
      <c r="A1348" s="2" t="str">
        <f>"8712566054893"</f>
        <v>8712566054893</v>
      </c>
      <c r="B1348" s="1" t="s">
        <v>1345</v>
      </c>
      <c r="C1348" s="9" t="s">
        <v>3374</v>
      </c>
      <c r="D1348" s="6">
        <v>286.14</v>
      </c>
      <c r="F1348">
        <v>100</v>
      </c>
    </row>
    <row r="1349" spans="1:6" x14ac:dyDescent="0.2">
      <c r="A1349" s="2" t="str">
        <f>"5999538090148"</f>
        <v>5999538090148</v>
      </c>
      <c r="B1349" s="1" t="s">
        <v>1346</v>
      </c>
      <c r="C1349" s="9" t="s">
        <v>3374</v>
      </c>
      <c r="D1349" s="6">
        <v>247.36</v>
      </c>
      <c r="F1349">
        <v>100</v>
      </c>
    </row>
    <row r="1350" spans="1:6" x14ac:dyDescent="0.2">
      <c r="A1350" s="2" t="str">
        <f>"5201012701069"</f>
        <v>5201012701069</v>
      </c>
      <c r="B1350" s="1" t="s">
        <v>1347</v>
      </c>
      <c r="C1350" s="9" t="s">
        <v>3374</v>
      </c>
      <c r="D1350" s="6">
        <v>126</v>
      </c>
      <c r="F1350">
        <v>100</v>
      </c>
    </row>
    <row r="1351" spans="1:6" x14ac:dyDescent="0.2">
      <c r="A1351" s="2" t="str">
        <f>"5997015100069"</f>
        <v>5997015100069</v>
      </c>
      <c r="B1351" s="1" t="s">
        <v>1348</v>
      </c>
      <c r="C1351" s="9" t="s">
        <v>3375</v>
      </c>
      <c r="D1351" s="6">
        <v>302.39999999999998</v>
      </c>
      <c r="F1351">
        <v>100</v>
      </c>
    </row>
    <row r="1352" spans="1:6" x14ac:dyDescent="0.2">
      <c r="A1352" s="2" t="str">
        <f>"5998324111777"</f>
        <v>5998324111777</v>
      </c>
      <c r="B1352" s="1" t="s">
        <v>1349</v>
      </c>
      <c r="C1352" s="9" t="s">
        <v>3374</v>
      </c>
      <c r="D1352" s="6">
        <v>375.57</v>
      </c>
      <c r="F1352">
        <v>100</v>
      </c>
    </row>
    <row r="1353" spans="1:6" x14ac:dyDescent="0.2">
      <c r="A1353" s="2" t="str">
        <f>"5998324180063"</f>
        <v>5998324180063</v>
      </c>
      <c r="B1353" s="1" t="s">
        <v>1350</v>
      </c>
      <c r="C1353" s="9" t="s">
        <v>3374</v>
      </c>
      <c r="D1353" s="6">
        <v>273.89</v>
      </c>
      <c r="F1353">
        <v>100</v>
      </c>
    </row>
    <row r="1354" spans="1:6" x14ac:dyDescent="0.2">
      <c r="A1354" s="2" t="str">
        <f>"5998094552114"</f>
        <v>5998094552114</v>
      </c>
      <c r="B1354" s="1" t="s">
        <v>1351</v>
      </c>
      <c r="C1354" s="9" t="s">
        <v>3374</v>
      </c>
      <c r="D1354" s="6">
        <v>377.55</v>
      </c>
      <c r="F1354">
        <v>100</v>
      </c>
    </row>
    <row r="1355" spans="1:6" x14ac:dyDescent="0.2">
      <c r="A1355" s="2" t="str">
        <f>"5998094513504"</f>
        <v>5998094513504</v>
      </c>
      <c r="B1355" s="1" t="s">
        <v>1352</v>
      </c>
      <c r="C1355" s="9" t="s">
        <v>3374</v>
      </c>
      <c r="D1355" s="6">
        <v>451.05</v>
      </c>
      <c r="F1355">
        <v>100</v>
      </c>
    </row>
    <row r="1356" spans="1:6" x14ac:dyDescent="0.2">
      <c r="A1356" s="2" t="str">
        <f>"5997010302024"</f>
        <v>5997010302024</v>
      </c>
      <c r="B1356" s="1" t="s">
        <v>1353</v>
      </c>
      <c r="C1356" s="9" t="s">
        <v>3374</v>
      </c>
      <c r="D1356" s="6">
        <v>196.81</v>
      </c>
      <c r="F1356">
        <v>100</v>
      </c>
    </row>
    <row r="1357" spans="1:6" x14ac:dyDescent="0.2">
      <c r="A1357" s="2" t="str">
        <f>"5997010302482"</f>
        <v>5997010302482</v>
      </c>
      <c r="B1357" s="1" t="s">
        <v>1354</v>
      </c>
      <c r="C1357" s="9" t="s">
        <v>3374</v>
      </c>
      <c r="D1357" s="6">
        <v>252.12</v>
      </c>
      <c r="F1357">
        <v>100</v>
      </c>
    </row>
    <row r="1358" spans="1:6" x14ac:dyDescent="0.2">
      <c r="A1358" s="2" t="str">
        <f>"5997010301805"</f>
        <v>5997010301805</v>
      </c>
      <c r="B1358" s="1" t="s">
        <v>1355</v>
      </c>
      <c r="C1358" s="9" t="s">
        <v>3387</v>
      </c>
      <c r="D1358" s="6">
        <v>405.83</v>
      </c>
      <c r="F1358">
        <v>100</v>
      </c>
    </row>
    <row r="1359" spans="1:6" x14ac:dyDescent="0.2">
      <c r="A1359" s="2" t="str">
        <f>"5997010302161"</f>
        <v>5997010302161</v>
      </c>
      <c r="B1359" s="1" t="s">
        <v>1356</v>
      </c>
      <c r="C1359" s="9" t="s">
        <v>3387</v>
      </c>
      <c r="D1359" s="6">
        <v>185.7</v>
      </c>
      <c r="F1359">
        <v>100</v>
      </c>
    </row>
    <row r="1360" spans="1:6" x14ac:dyDescent="0.2">
      <c r="A1360" s="2" t="str">
        <f>"5997010303106"</f>
        <v>5997010303106</v>
      </c>
      <c r="B1360" s="1" t="s">
        <v>1357</v>
      </c>
      <c r="C1360" s="9" t="s">
        <v>3375</v>
      </c>
      <c r="D1360" s="6">
        <v>273.29000000000002</v>
      </c>
      <c r="F1360">
        <v>100</v>
      </c>
    </row>
    <row r="1361" spans="1:6" x14ac:dyDescent="0.2">
      <c r="A1361" s="2" t="str">
        <f>"8934561000266"</f>
        <v>8934561000266</v>
      </c>
      <c r="B1361" s="1" t="s">
        <v>1358</v>
      </c>
      <c r="C1361" s="9" t="s">
        <v>3382</v>
      </c>
      <c r="D1361" s="6">
        <v>75.61</v>
      </c>
      <c r="F1361">
        <v>100</v>
      </c>
    </row>
    <row r="1362" spans="1:6" x14ac:dyDescent="0.2">
      <c r="A1362" s="2" t="str">
        <f>"5998324185037"</f>
        <v>5998324185037</v>
      </c>
      <c r="B1362" s="1" t="s">
        <v>1359</v>
      </c>
      <c r="C1362" s="9" t="s">
        <v>3374</v>
      </c>
      <c r="D1362" s="6">
        <v>441.35</v>
      </c>
      <c r="F1362">
        <v>100</v>
      </c>
    </row>
    <row r="1363" spans="1:6" x14ac:dyDescent="0.2">
      <c r="A1363" s="2" t="str">
        <f>"5998304548425"</f>
        <v>5998304548425</v>
      </c>
      <c r="B1363" s="1" t="s">
        <v>1360</v>
      </c>
      <c r="C1363" s="9" t="s">
        <v>3374</v>
      </c>
      <c r="D1363" s="6">
        <v>274.75</v>
      </c>
      <c r="F1363">
        <v>100</v>
      </c>
    </row>
    <row r="1364" spans="1:6" x14ac:dyDescent="0.2">
      <c r="A1364" s="2" t="str">
        <f>"5998304547138"</f>
        <v>5998304547138</v>
      </c>
      <c r="B1364" s="1" t="s">
        <v>1361</v>
      </c>
      <c r="C1364" s="9" t="s">
        <v>3374</v>
      </c>
      <c r="D1364" s="6">
        <v>330.34</v>
      </c>
      <c r="F1364">
        <v>100</v>
      </c>
    </row>
    <row r="1365" spans="1:6" x14ac:dyDescent="0.2">
      <c r="A1365" s="2" t="str">
        <f>"3083680495882"</f>
        <v>3083680495882</v>
      </c>
      <c r="B1365" s="1" t="s">
        <v>1362</v>
      </c>
      <c r="C1365" s="9" t="s">
        <v>3374</v>
      </c>
      <c r="D1365" s="6">
        <v>328.83</v>
      </c>
      <c r="F1365">
        <v>100</v>
      </c>
    </row>
    <row r="1366" spans="1:6" x14ac:dyDescent="0.2">
      <c r="A1366" s="2" t="str">
        <f>"5999524033036"</f>
        <v>5999524033036</v>
      </c>
      <c r="B1366" s="1" t="s">
        <v>1363</v>
      </c>
      <c r="C1366" s="9" t="s">
        <v>3376</v>
      </c>
      <c r="D1366" s="6">
        <v>222.37</v>
      </c>
      <c r="F1366">
        <v>100</v>
      </c>
    </row>
    <row r="1367" spans="1:6" x14ac:dyDescent="0.2">
      <c r="A1367" s="2" t="str">
        <f>"8595139748951"</f>
        <v>8595139748951</v>
      </c>
      <c r="B1367" s="1" t="s">
        <v>1364</v>
      </c>
      <c r="C1367" s="9" t="s">
        <v>3376</v>
      </c>
      <c r="D1367" s="6">
        <v>210.64</v>
      </c>
      <c r="F1367">
        <v>100</v>
      </c>
    </row>
    <row r="1368" spans="1:6" x14ac:dyDescent="0.2">
      <c r="A1368" s="2" t="str">
        <f>"5997403111707"</f>
        <v>5997403111707</v>
      </c>
      <c r="B1368" s="1" t="s">
        <v>1365</v>
      </c>
      <c r="C1368" s="9" t="s">
        <v>3376</v>
      </c>
      <c r="D1368" s="6">
        <v>258.38</v>
      </c>
      <c r="F1368">
        <v>100</v>
      </c>
    </row>
    <row r="1369" spans="1:6" x14ac:dyDescent="0.2">
      <c r="A1369" s="2" t="str">
        <f>"5997010311026"</f>
        <v>5997010311026</v>
      </c>
      <c r="B1369" s="1" t="s">
        <v>1366</v>
      </c>
      <c r="C1369" s="9" t="s">
        <v>3376</v>
      </c>
      <c r="D1369" s="6">
        <v>207.48</v>
      </c>
      <c r="F1369">
        <v>100</v>
      </c>
    </row>
    <row r="1370" spans="1:6" x14ac:dyDescent="0.2">
      <c r="A1370" s="2" t="str">
        <f>"5998324142535"</f>
        <v>5998324142535</v>
      </c>
      <c r="B1370" s="1" t="s">
        <v>1367</v>
      </c>
      <c r="C1370" s="9" t="s">
        <v>3376</v>
      </c>
      <c r="D1370" s="6">
        <v>291.91000000000003</v>
      </c>
      <c r="F1370">
        <v>100</v>
      </c>
    </row>
    <row r="1371" spans="1:6" x14ac:dyDescent="0.2">
      <c r="A1371" s="2" t="str">
        <f>"3464300013509"</f>
        <v>3464300013509</v>
      </c>
      <c r="B1371" s="1" t="s">
        <v>1368</v>
      </c>
      <c r="C1371" s="9" t="s">
        <v>3376</v>
      </c>
      <c r="D1371" s="6">
        <v>175.01</v>
      </c>
      <c r="F1371">
        <v>100</v>
      </c>
    </row>
    <row r="1372" spans="1:6" x14ac:dyDescent="0.2">
      <c r="A1372" s="2" t="str">
        <f>"5998304069197"</f>
        <v>5998304069197</v>
      </c>
      <c r="B1372" s="1" t="s">
        <v>1369</v>
      </c>
      <c r="C1372" s="9" t="s">
        <v>3376</v>
      </c>
      <c r="D1372" s="6">
        <v>271.76</v>
      </c>
      <c r="F1372">
        <v>100</v>
      </c>
    </row>
    <row r="1373" spans="1:6" x14ac:dyDescent="0.2">
      <c r="A1373" s="2" t="str">
        <f>"5998324142733"</f>
        <v>5998324142733</v>
      </c>
      <c r="B1373" s="1" t="s">
        <v>1370</v>
      </c>
      <c r="C1373" s="9" t="s">
        <v>3376</v>
      </c>
      <c r="D1373" s="6">
        <v>277.94</v>
      </c>
      <c r="F1373">
        <v>100</v>
      </c>
    </row>
    <row r="1374" spans="1:6" x14ac:dyDescent="0.2">
      <c r="A1374" s="2" t="str">
        <f>"5901713005298"</f>
        <v>5901713005298</v>
      </c>
      <c r="B1374" s="1" t="s">
        <v>1371</v>
      </c>
      <c r="C1374" s="9" t="s">
        <v>3374</v>
      </c>
      <c r="D1374" s="6">
        <v>192.66</v>
      </c>
      <c r="F1374">
        <v>100</v>
      </c>
    </row>
    <row r="1375" spans="1:6" x14ac:dyDescent="0.2">
      <c r="A1375" s="2" t="str">
        <f>"5901713001658"</f>
        <v>5901713001658</v>
      </c>
      <c r="B1375" s="1" t="s">
        <v>1372</v>
      </c>
      <c r="C1375" s="9" t="s">
        <v>3375</v>
      </c>
      <c r="D1375" s="6">
        <v>186.28</v>
      </c>
      <c r="F1375">
        <v>100</v>
      </c>
    </row>
    <row r="1376" spans="1:6" x14ac:dyDescent="0.2">
      <c r="A1376" s="2" t="str">
        <f>"5901713004055"</f>
        <v>5901713004055</v>
      </c>
      <c r="B1376" s="1" t="s">
        <v>1373</v>
      </c>
      <c r="C1376" s="9" t="s">
        <v>3374</v>
      </c>
      <c r="D1376" s="6">
        <v>159.97</v>
      </c>
      <c r="F1376">
        <v>100</v>
      </c>
    </row>
    <row r="1377" spans="1:6" x14ac:dyDescent="0.2">
      <c r="A1377" s="2" t="str">
        <f>"5901713005083"</f>
        <v>5901713005083</v>
      </c>
      <c r="B1377" s="1" t="s">
        <v>1374</v>
      </c>
      <c r="C1377" s="9" t="s">
        <v>3374</v>
      </c>
      <c r="D1377" s="6">
        <v>295</v>
      </c>
      <c r="F1377">
        <v>100</v>
      </c>
    </row>
    <row r="1378" spans="1:6" x14ac:dyDescent="0.2">
      <c r="A1378" s="2" t="str">
        <f>"5997381355902"</f>
        <v>5997381355902</v>
      </c>
      <c r="B1378" s="1" t="s">
        <v>1375</v>
      </c>
      <c r="C1378" s="9" t="s">
        <v>3375</v>
      </c>
      <c r="D1378" s="6">
        <v>221.62</v>
      </c>
      <c r="F1378">
        <v>100</v>
      </c>
    </row>
    <row r="1379" spans="1:6" x14ac:dyDescent="0.2">
      <c r="A1379" s="2" t="str">
        <f>"5997476322543"</f>
        <v>5997476322543</v>
      </c>
      <c r="B1379" s="1" t="s">
        <v>1376</v>
      </c>
      <c r="C1379" s="9" t="s">
        <v>3374</v>
      </c>
      <c r="D1379" s="6">
        <v>480.15</v>
      </c>
      <c r="F1379">
        <v>100</v>
      </c>
    </row>
    <row r="1380" spans="1:6" x14ac:dyDescent="0.2">
      <c r="A1380" s="2" t="str">
        <f>"5997476324585"</f>
        <v>5997476324585</v>
      </c>
      <c r="B1380" s="1" t="s">
        <v>1377</v>
      </c>
      <c r="C1380" s="9" t="s">
        <v>3374</v>
      </c>
      <c r="D1380" s="6">
        <v>629.53</v>
      </c>
      <c r="F1380">
        <v>100</v>
      </c>
    </row>
    <row r="1381" spans="1:6" x14ac:dyDescent="0.2">
      <c r="A1381" s="2" t="str">
        <f>"5997476341933"</f>
        <v>5997476341933</v>
      </c>
      <c r="B1381" s="1" t="s">
        <v>1378</v>
      </c>
      <c r="C1381" s="9" t="s">
        <v>3374</v>
      </c>
      <c r="D1381" s="6">
        <v>249.54</v>
      </c>
      <c r="F1381">
        <v>100</v>
      </c>
    </row>
    <row r="1382" spans="1:6" x14ac:dyDescent="0.2">
      <c r="A1382" s="2" t="str">
        <f>"3850104042232"</f>
        <v>3850104042232</v>
      </c>
      <c r="B1382" s="1" t="s">
        <v>1379</v>
      </c>
      <c r="C1382" s="9" t="s">
        <v>3375</v>
      </c>
      <c r="D1382" s="6">
        <v>340.91</v>
      </c>
      <c r="F1382">
        <v>100</v>
      </c>
    </row>
    <row r="1383" spans="1:6" x14ac:dyDescent="0.2">
      <c r="A1383" s="2" t="str">
        <f>"8594012791701"</f>
        <v>8594012791701</v>
      </c>
      <c r="B1383" s="1" t="s">
        <v>1380</v>
      </c>
      <c r="C1383" s="9" t="s">
        <v>3374</v>
      </c>
      <c r="D1383" s="6">
        <v>319.14</v>
      </c>
      <c r="F1383">
        <v>100</v>
      </c>
    </row>
    <row r="1384" spans="1:6" x14ac:dyDescent="0.2">
      <c r="A1384" s="2" t="str">
        <f>"8594012790032"</f>
        <v>8594012790032</v>
      </c>
      <c r="B1384" s="1" t="s">
        <v>1381</v>
      </c>
      <c r="C1384" s="9" t="s">
        <v>3374</v>
      </c>
      <c r="D1384" s="6">
        <v>301.56</v>
      </c>
      <c r="F1384">
        <v>100</v>
      </c>
    </row>
    <row r="1385" spans="1:6" x14ac:dyDescent="0.2">
      <c r="A1385" s="2" t="str">
        <f>"8594012792630"</f>
        <v>8594012792630</v>
      </c>
      <c r="B1385" s="1" t="s">
        <v>1382</v>
      </c>
      <c r="C1385" s="9" t="s">
        <v>3375</v>
      </c>
      <c r="D1385" s="6">
        <v>168</v>
      </c>
      <c r="F1385">
        <v>100</v>
      </c>
    </row>
    <row r="1386" spans="1:6" x14ac:dyDescent="0.2">
      <c r="A1386" s="2" t="str">
        <f>"8595241502717"</f>
        <v>8595241502717</v>
      </c>
      <c r="B1386" s="1" t="s">
        <v>1383</v>
      </c>
      <c r="C1386" s="9" t="s">
        <v>3375</v>
      </c>
      <c r="D1386" s="6">
        <v>386.73</v>
      </c>
      <c r="F1386">
        <v>100</v>
      </c>
    </row>
    <row r="1387" spans="1:6" x14ac:dyDescent="0.2">
      <c r="A1387" s="2" t="str">
        <f>"8595139789633"</f>
        <v>8595139789633</v>
      </c>
      <c r="B1387" s="1" t="s">
        <v>1384</v>
      </c>
      <c r="C1387" s="9" t="s">
        <v>3374</v>
      </c>
      <c r="D1387" s="6">
        <v>163.63999999999999</v>
      </c>
      <c r="F1387">
        <v>100</v>
      </c>
    </row>
    <row r="1388" spans="1:6" x14ac:dyDescent="0.2">
      <c r="A1388" s="2" t="str">
        <f>"8595139789756"</f>
        <v>8595139789756</v>
      </c>
      <c r="B1388" s="1" t="s">
        <v>1385</v>
      </c>
      <c r="C1388" s="9" t="s">
        <v>3374</v>
      </c>
      <c r="D1388" s="6">
        <v>169.59</v>
      </c>
      <c r="F1388">
        <v>100</v>
      </c>
    </row>
    <row r="1389" spans="1:6" x14ac:dyDescent="0.2">
      <c r="A1389" s="2" t="str">
        <f>"8712100421815"</f>
        <v>8712100421815</v>
      </c>
      <c r="B1389" s="1" t="s">
        <v>1386</v>
      </c>
      <c r="C1389" s="9" t="s">
        <v>3374</v>
      </c>
      <c r="D1389" s="6">
        <v>479.83</v>
      </c>
      <c r="F1389">
        <v>100</v>
      </c>
    </row>
    <row r="1390" spans="1:6" x14ac:dyDescent="0.2">
      <c r="A1390" s="2" t="str">
        <f>"8593838918163"</f>
        <v>8593838918163</v>
      </c>
      <c r="B1390" s="1" t="s">
        <v>1387</v>
      </c>
      <c r="C1390" s="9" t="s">
        <v>3374</v>
      </c>
      <c r="D1390" s="6">
        <v>342.29</v>
      </c>
      <c r="F1390">
        <v>100</v>
      </c>
    </row>
    <row r="1391" spans="1:6" x14ac:dyDescent="0.2">
      <c r="A1391" s="2" t="str">
        <f>"8595139789626"</f>
        <v>8595139789626</v>
      </c>
      <c r="B1391" s="1" t="s">
        <v>1388</v>
      </c>
      <c r="C1391" s="9" t="s">
        <v>3374</v>
      </c>
      <c r="D1391" s="6">
        <v>163.93</v>
      </c>
      <c r="F1391">
        <v>100</v>
      </c>
    </row>
    <row r="1392" spans="1:6" x14ac:dyDescent="0.2">
      <c r="A1392" s="2" t="str">
        <f>"8595139719456"</f>
        <v>8595139719456</v>
      </c>
      <c r="B1392" s="1" t="s">
        <v>1389</v>
      </c>
      <c r="C1392" s="9" t="s">
        <v>3374</v>
      </c>
      <c r="D1392" s="6">
        <v>154</v>
      </c>
      <c r="F1392">
        <v>100</v>
      </c>
    </row>
    <row r="1393" spans="1:6" x14ac:dyDescent="0.2">
      <c r="A1393" s="2" t="str">
        <f>"8595139790073"</f>
        <v>8595139790073</v>
      </c>
      <c r="B1393" s="1" t="s">
        <v>1390</v>
      </c>
      <c r="C1393" s="9" t="s">
        <v>3374</v>
      </c>
      <c r="D1393" s="6">
        <v>251.23</v>
      </c>
      <c r="F1393">
        <v>100</v>
      </c>
    </row>
    <row r="1394" spans="1:6" x14ac:dyDescent="0.2">
      <c r="A1394" s="2" t="str">
        <f>"5998304052199"</f>
        <v>5998304052199</v>
      </c>
      <c r="B1394" s="1" t="s">
        <v>1391</v>
      </c>
      <c r="C1394" s="9" t="s">
        <v>3374</v>
      </c>
      <c r="D1394" s="6">
        <v>387.02</v>
      </c>
      <c r="F1394">
        <v>100</v>
      </c>
    </row>
    <row r="1395" spans="1:6" x14ac:dyDescent="0.2">
      <c r="A1395" s="2" t="str">
        <f>"5998304067421"</f>
        <v>5998304067421</v>
      </c>
      <c r="B1395" s="1" t="s">
        <v>1392</v>
      </c>
      <c r="C1395" s="9" t="s">
        <v>3374</v>
      </c>
      <c r="D1395" s="6">
        <v>421.65</v>
      </c>
      <c r="F1395">
        <v>100</v>
      </c>
    </row>
    <row r="1396" spans="1:6" x14ac:dyDescent="0.2">
      <c r="A1396" s="2" t="str">
        <f>"5998304052328"</f>
        <v>5998304052328</v>
      </c>
      <c r="B1396" s="1" t="s">
        <v>1393</v>
      </c>
      <c r="C1396" s="9" t="s">
        <v>3374</v>
      </c>
      <c r="D1396" s="6">
        <v>522.04</v>
      </c>
      <c r="F1396">
        <v>100</v>
      </c>
    </row>
    <row r="1397" spans="1:6" x14ac:dyDescent="0.2">
      <c r="A1397" s="2" t="str">
        <f>"8715700422510"</f>
        <v>8715700422510</v>
      </c>
      <c r="B1397" s="1" t="s">
        <v>1394</v>
      </c>
      <c r="C1397" s="9" t="s">
        <v>3374</v>
      </c>
      <c r="D1397" s="6">
        <v>553.80999999999995</v>
      </c>
      <c r="F1397">
        <v>100</v>
      </c>
    </row>
    <row r="1398" spans="1:6" x14ac:dyDescent="0.2">
      <c r="A1398" s="2" t="str">
        <f>"5999541440008"</f>
        <v>5999541440008</v>
      </c>
      <c r="B1398" s="1" t="s">
        <v>1395</v>
      </c>
      <c r="C1398" s="9" t="s">
        <v>3375</v>
      </c>
      <c r="D1398" s="6">
        <v>444.93</v>
      </c>
      <c r="F1398">
        <v>100</v>
      </c>
    </row>
    <row r="1399" spans="1:6" x14ac:dyDescent="0.2">
      <c r="A1399" s="2" t="str">
        <f>"8712100787669"</f>
        <v>8712100787669</v>
      </c>
      <c r="B1399" s="1" t="s">
        <v>1396</v>
      </c>
      <c r="C1399" s="9" t="s">
        <v>3374</v>
      </c>
      <c r="D1399" s="6">
        <v>202.73</v>
      </c>
      <c r="F1399">
        <v>100</v>
      </c>
    </row>
    <row r="1400" spans="1:6" x14ac:dyDescent="0.2">
      <c r="A1400" s="2" t="str">
        <f>"8593838971540"</f>
        <v>8593838971540</v>
      </c>
      <c r="B1400" s="1" t="s">
        <v>1397</v>
      </c>
      <c r="C1400" s="9" t="s">
        <v>3374</v>
      </c>
      <c r="D1400" s="6">
        <v>182.73</v>
      </c>
      <c r="F1400">
        <v>100</v>
      </c>
    </row>
    <row r="1401" spans="1:6" x14ac:dyDescent="0.2">
      <c r="A1401" s="2" t="str">
        <f>"5999538090551"</f>
        <v>5999538090551</v>
      </c>
      <c r="B1401" s="1" t="s">
        <v>1398</v>
      </c>
      <c r="C1401" s="9" t="s">
        <v>3374</v>
      </c>
      <c r="D1401" s="6">
        <v>306.75</v>
      </c>
      <c r="F1401">
        <v>100</v>
      </c>
    </row>
    <row r="1402" spans="1:6" x14ac:dyDescent="0.2">
      <c r="A1402" s="2" t="str">
        <f>"5997015100496"</f>
        <v>5997015100496</v>
      </c>
      <c r="B1402" s="1" t="s">
        <v>1399</v>
      </c>
      <c r="C1402" s="9" t="s">
        <v>3375</v>
      </c>
      <c r="D1402" s="6">
        <v>315.83999999999997</v>
      </c>
      <c r="F1402">
        <v>100</v>
      </c>
    </row>
    <row r="1403" spans="1:6" x14ac:dyDescent="0.2">
      <c r="A1403" s="2" t="str">
        <f>"5997015100489"</f>
        <v>5997015100489</v>
      </c>
      <c r="B1403" s="1" t="s">
        <v>1400</v>
      </c>
      <c r="C1403" s="9" t="s">
        <v>3375</v>
      </c>
      <c r="D1403" s="6">
        <v>335.04</v>
      </c>
      <c r="F1403">
        <v>100</v>
      </c>
    </row>
    <row r="1404" spans="1:6" x14ac:dyDescent="0.2">
      <c r="A1404" s="2" t="str">
        <f>"5997523315450"</f>
        <v>5997523315450</v>
      </c>
      <c r="B1404" s="1" t="s">
        <v>1401</v>
      </c>
      <c r="C1404" s="9" t="s">
        <v>3415</v>
      </c>
      <c r="D1404" s="6">
        <v>230.01</v>
      </c>
      <c r="F1404">
        <v>100</v>
      </c>
    </row>
    <row r="1405" spans="1:6" x14ac:dyDescent="0.2">
      <c r="A1405" s="2" t="str">
        <f>"5999884383048"</f>
        <v>5999884383048</v>
      </c>
      <c r="B1405" s="1" t="s">
        <v>1402</v>
      </c>
      <c r="C1405" s="9" t="s">
        <v>3374</v>
      </c>
      <c r="D1405" s="6">
        <v>233.87</v>
      </c>
      <c r="F1405">
        <v>100</v>
      </c>
    </row>
    <row r="1406" spans="1:6" x14ac:dyDescent="0.2">
      <c r="A1406" s="2" t="str">
        <f>"5998324100047"</f>
        <v>5998324100047</v>
      </c>
      <c r="B1406" s="1" t="s">
        <v>1403</v>
      </c>
      <c r="C1406" s="9" t="s">
        <v>3374</v>
      </c>
      <c r="D1406" s="6">
        <v>290.77999999999997</v>
      </c>
      <c r="F1406">
        <v>100</v>
      </c>
    </row>
    <row r="1407" spans="1:6" x14ac:dyDescent="0.2">
      <c r="A1407" s="2" t="str">
        <f>"5998094555511"</f>
        <v>5998094555511</v>
      </c>
      <c r="B1407" s="1" t="s">
        <v>1404</v>
      </c>
      <c r="C1407" s="9" t="s">
        <v>3374</v>
      </c>
      <c r="D1407" s="6">
        <v>357.92</v>
      </c>
      <c r="F1407">
        <v>100</v>
      </c>
    </row>
    <row r="1408" spans="1:6" x14ac:dyDescent="0.2">
      <c r="A1408" s="2" t="str">
        <f>"5999508134469"</f>
        <v>5999508134469</v>
      </c>
      <c r="B1408" s="1" t="s">
        <v>1405</v>
      </c>
      <c r="C1408" s="9" t="s">
        <v>3375</v>
      </c>
      <c r="D1408" s="6">
        <v>114.23</v>
      </c>
      <c r="F1408">
        <v>100</v>
      </c>
    </row>
    <row r="1409" spans="1:6" x14ac:dyDescent="0.2">
      <c r="A1409" s="2" t="str">
        <f>"5941341035632"</f>
        <v>5941341035632</v>
      </c>
      <c r="B1409" s="1" t="s">
        <v>1406</v>
      </c>
      <c r="C1409" s="9" t="s">
        <v>3375</v>
      </c>
      <c r="D1409" s="6">
        <v>71.83</v>
      </c>
      <c r="F1409">
        <v>100</v>
      </c>
    </row>
    <row r="1410" spans="1:6" x14ac:dyDescent="0.2">
      <c r="A1410" s="2" t="str">
        <f>"5941341035595"</f>
        <v>5941341035595</v>
      </c>
      <c r="B1410" s="1" t="s">
        <v>1407</v>
      </c>
      <c r="C1410" s="9" t="s">
        <v>3375</v>
      </c>
      <c r="D1410" s="6">
        <v>71.989999999999995</v>
      </c>
      <c r="F1410">
        <v>100</v>
      </c>
    </row>
    <row r="1411" spans="1:6" x14ac:dyDescent="0.2">
      <c r="A1411" s="2" t="str">
        <f>"5997010302048"</f>
        <v>5997010302048</v>
      </c>
      <c r="B1411" s="1" t="s">
        <v>1408</v>
      </c>
      <c r="C1411" s="9" t="s">
        <v>3387</v>
      </c>
      <c r="D1411" s="6">
        <v>326.5</v>
      </c>
      <c r="F1411">
        <v>100</v>
      </c>
    </row>
    <row r="1412" spans="1:6" x14ac:dyDescent="0.2">
      <c r="A1412" s="2" t="str">
        <f>"5997010301027"</f>
        <v>5997010301027</v>
      </c>
      <c r="B1412" s="1" t="s">
        <v>1409</v>
      </c>
      <c r="C1412" s="9" t="s">
        <v>3387</v>
      </c>
      <c r="D1412" s="6">
        <v>184.4</v>
      </c>
      <c r="F1412">
        <v>100</v>
      </c>
    </row>
    <row r="1413" spans="1:6" x14ac:dyDescent="0.2">
      <c r="A1413" s="2" t="str">
        <f>"5997010305186"</f>
        <v>5997010305186</v>
      </c>
      <c r="B1413" s="1" t="s">
        <v>1410</v>
      </c>
      <c r="C1413" s="9" t="s">
        <v>3387</v>
      </c>
      <c r="D1413" s="6">
        <v>319.81</v>
      </c>
      <c r="F1413">
        <v>100</v>
      </c>
    </row>
    <row r="1414" spans="1:6" x14ac:dyDescent="0.2">
      <c r="A1414" s="2" t="str">
        <f>"5997010304363"</f>
        <v>5997010304363</v>
      </c>
      <c r="B1414" s="1" t="s">
        <v>1411</v>
      </c>
      <c r="C1414" s="9" t="s">
        <v>3375</v>
      </c>
      <c r="D1414" s="6">
        <v>359.14</v>
      </c>
      <c r="F1414">
        <v>100</v>
      </c>
    </row>
    <row r="1415" spans="1:6" x14ac:dyDescent="0.2">
      <c r="A1415" s="2" t="str">
        <f>"5997010304936"</f>
        <v>5997010304936</v>
      </c>
      <c r="B1415" s="1" t="s">
        <v>1412</v>
      </c>
      <c r="C1415" s="9" t="s">
        <v>3375</v>
      </c>
      <c r="D1415" s="6">
        <v>356</v>
      </c>
      <c r="F1415">
        <v>100</v>
      </c>
    </row>
    <row r="1416" spans="1:6" x14ac:dyDescent="0.2">
      <c r="A1416" s="2" t="str">
        <f>"5997010310784"</f>
        <v>5997010310784</v>
      </c>
      <c r="B1416" s="1" t="s">
        <v>1413</v>
      </c>
      <c r="C1416" s="9" t="s">
        <v>3374</v>
      </c>
      <c r="D1416" s="6">
        <v>375.68</v>
      </c>
      <c r="F1416">
        <v>100</v>
      </c>
    </row>
    <row r="1417" spans="1:6" x14ac:dyDescent="0.2">
      <c r="A1417" s="2" t="str">
        <f>"3083681007640"</f>
        <v>3083681007640</v>
      </c>
      <c r="B1417" s="1" t="s">
        <v>1414</v>
      </c>
      <c r="C1417" s="9" t="s">
        <v>3374</v>
      </c>
      <c r="D1417" s="6">
        <v>425.83</v>
      </c>
      <c r="F1417">
        <v>100</v>
      </c>
    </row>
    <row r="1418" spans="1:6" x14ac:dyDescent="0.2">
      <c r="A1418" s="2" t="str">
        <f>"3083680026154"</f>
        <v>3083680026154</v>
      </c>
      <c r="B1418" s="1" t="s">
        <v>1415</v>
      </c>
      <c r="C1418" s="9" t="s">
        <v>3374</v>
      </c>
      <c r="D1418" s="6">
        <v>334.65</v>
      </c>
      <c r="F1418">
        <v>100</v>
      </c>
    </row>
    <row r="1419" spans="1:6" x14ac:dyDescent="0.2">
      <c r="A1419" s="2" t="str">
        <f>"3083680003841"</f>
        <v>3083680003841</v>
      </c>
      <c r="B1419" s="1" t="s">
        <v>1416</v>
      </c>
      <c r="C1419" s="9" t="s">
        <v>3374</v>
      </c>
      <c r="D1419" s="6">
        <v>356.53</v>
      </c>
      <c r="F1419">
        <v>100</v>
      </c>
    </row>
    <row r="1420" spans="1:6" x14ac:dyDescent="0.2">
      <c r="A1420" s="2" t="str">
        <f>"3083680015424"</f>
        <v>3083680015424</v>
      </c>
      <c r="B1420" s="1" t="s">
        <v>1417</v>
      </c>
      <c r="C1420" s="9" t="s">
        <v>3374</v>
      </c>
      <c r="D1420" s="6">
        <v>406.43</v>
      </c>
      <c r="F1420">
        <v>100</v>
      </c>
    </row>
    <row r="1421" spans="1:6" x14ac:dyDescent="0.2">
      <c r="A1421" s="2" t="str">
        <f>"3083680715409"</f>
        <v>3083680715409</v>
      </c>
      <c r="B1421" s="1" t="s">
        <v>1418</v>
      </c>
      <c r="C1421" s="9" t="s">
        <v>3374</v>
      </c>
      <c r="D1421" s="6">
        <v>314.22000000000003</v>
      </c>
      <c r="F1421">
        <v>100</v>
      </c>
    </row>
    <row r="1422" spans="1:6" x14ac:dyDescent="0.2">
      <c r="A1422" s="2" t="str">
        <f>"3083680715447"</f>
        <v>3083680715447</v>
      </c>
      <c r="B1422" s="1" t="s">
        <v>1419</v>
      </c>
      <c r="C1422" s="9" t="s">
        <v>3374</v>
      </c>
      <c r="D1422" s="6">
        <v>329.92</v>
      </c>
      <c r="F1422">
        <v>100</v>
      </c>
    </row>
    <row r="1423" spans="1:6" x14ac:dyDescent="0.2">
      <c r="A1423" s="2" t="str">
        <f>"3083681068481"</f>
        <v>3083681068481</v>
      </c>
      <c r="B1423" s="1" t="s">
        <v>1420</v>
      </c>
      <c r="C1423" s="9" t="s">
        <v>3374</v>
      </c>
      <c r="D1423" s="6">
        <v>324.95</v>
      </c>
      <c r="F1423">
        <v>100</v>
      </c>
    </row>
    <row r="1424" spans="1:6" x14ac:dyDescent="0.2">
      <c r="A1424" s="2" t="str">
        <f>"3083680483407"</f>
        <v>3083680483407</v>
      </c>
      <c r="B1424" s="1" t="s">
        <v>1421</v>
      </c>
      <c r="C1424" s="9" t="s">
        <v>3374</v>
      </c>
      <c r="D1424" s="6">
        <v>328.83</v>
      </c>
      <c r="F1424">
        <v>100</v>
      </c>
    </row>
    <row r="1425" spans="1:6" x14ac:dyDescent="0.2">
      <c r="A1425" s="2" t="str">
        <f>"3083680685542"</f>
        <v>3083680685542</v>
      </c>
      <c r="B1425" s="1" t="s">
        <v>1422</v>
      </c>
      <c r="C1425" s="9" t="s">
        <v>3374</v>
      </c>
      <c r="D1425" s="6">
        <v>307.48</v>
      </c>
      <c r="F1425">
        <v>100</v>
      </c>
    </row>
    <row r="1426" spans="1:6" x14ac:dyDescent="0.2">
      <c r="A1426" s="2" t="str">
        <f>"5999564094769"</f>
        <v>5999564094769</v>
      </c>
      <c r="B1426" s="1" t="s">
        <v>1423</v>
      </c>
      <c r="C1426" s="9" t="s">
        <v>3376</v>
      </c>
      <c r="D1426" s="6">
        <v>149.96</v>
      </c>
      <c r="F1426">
        <v>100</v>
      </c>
    </row>
    <row r="1427" spans="1:6" x14ac:dyDescent="0.2">
      <c r="A1427" s="2" t="str">
        <f>"5998324142931"</f>
        <v>5998324142931</v>
      </c>
      <c r="B1427" s="1" t="s">
        <v>1424</v>
      </c>
      <c r="C1427" s="9" t="s">
        <v>3376</v>
      </c>
      <c r="D1427" s="6">
        <v>338.28</v>
      </c>
      <c r="F1427">
        <v>100</v>
      </c>
    </row>
    <row r="1428" spans="1:6" x14ac:dyDescent="0.2">
      <c r="A1428" s="2" t="str">
        <f>"5999524035269"</f>
        <v>5999524035269</v>
      </c>
      <c r="B1428" s="1" t="s">
        <v>1425</v>
      </c>
      <c r="C1428" s="9" t="s">
        <v>3376</v>
      </c>
      <c r="D1428" s="6">
        <v>231.56</v>
      </c>
      <c r="F1428">
        <v>100</v>
      </c>
    </row>
    <row r="1429" spans="1:6" x14ac:dyDescent="0.2">
      <c r="A1429" s="2" t="str">
        <f>"5999524035412"</f>
        <v>5999524035412</v>
      </c>
      <c r="B1429" s="1" t="s">
        <v>1426</v>
      </c>
      <c r="C1429" s="9" t="s">
        <v>3376</v>
      </c>
      <c r="D1429" s="6">
        <v>229.03</v>
      </c>
      <c r="F1429">
        <v>100</v>
      </c>
    </row>
    <row r="1430" spans="1:6" x14ac:dyDescent="0.2">
      <c r="A1430" s="2" t="str">
        <f>"5999524035245"</f>
        <v>5999524035245</v>
      </c>
      <c r="B1430" s="1" t="s">
        <v>1427</v>
      </c>
      <c r="C1430" s="9" t="s">
        <v>3376</v>
      </c>
      <c r="D1430" s="6">
        <v>229.03</v>
      </c>
      <c r="F1430">
        <v>100</v>
      </c>
    </row>
    <row r="1431" spans="1:6" x14ac:dyDescent="0.2">
      <c r="A1431" s="2" t="str">
        <f>"5998304068374"</f>
        <v>5998304068374</v>
      </c>
      <c r="B1431" s="1" t="s">
        <v>1428</v>
      </c>
      <c r="C1431" s="9" t="s">
        <v>3376</v>
      </c>
      <c r="D1431" s="6">
        <v>275.62</v>
      </c>
      <c r="F1431">
        <v>100</v>
      </c>
    </row>
    <row r="1432" spans="1:6" x14ac:dyDescent="0.2">
      <c r="A1432" s="2" t="str">
        <f>"5997010311064"</f>
        <v>5997010311064</v>
      </c>
      <c r="B1432" s="1" t="s">
        <v>1429</v>
      </c>
      <c r="C1432" s="9" t="s">
        <v>3376</v>
      </c>
      <c r="D1432" s="6">
        <v>205.7</v>
      </c>
      <c r="F1432">
        <v>100</v>
      </c>
    </row>
    <row r="1433" spans="1:6" x14ac:dyDescent="0.2">
      <c r="A1433" s="2" t="str">
        <f>"5997403117181"</f>
        <v>5997403117181</v>
      </c>
      <c r="B1433" s="1" t="s">
        <v>1430</v>
      </c>
      <c r="C1433" s="9" t="s">
        <v>3376</v>
      </c>
      <c r="D1433" s="6">
        <v>292.16000000000003</v>
      </c>
      <c r="F1433">
        <v>100</v>
      </c>
    </row>
    <row r="1434" spans="1:6" x14ac:dyDescent="0.2">
      <c r="A1434" s="2" t="str">
        <f>"5999563071259"</f>
        <v>5999563071259</v>
      </c>
      <c r="B1434" s="1" t="s">
        <v>1431</v>
      </c>
      <c r="C1434" s="9" t="s">
        <v>3376</v>
      </c>
      <c r="D1434" s="6">
        <v>463.54</v>
      </c>
      <c r="F1434">
        <v>100</v>
      </c>
    </row>
    <row r="1435" spans="1:6" x14ac:dyDescent="0.2">
      <c r="A1435" s="2" t="str">
        <f>"8595139739720"</f>
        <v>8595139739720</v>
      </c>
      <c r="B1435" s="1" t="s">
        <v>1432</v>
      </c>
      <c r="C1435" s="9" t="s">
        <v>3416</v>
      </c>
      <c r="D1435" s="6">
        <v>142.33000000000001</v>
      </c>
      <c r="F1435">
        <v>100</v>
      </c>
    </row>
    <row r="1436" spans="1:6" x14ac:dyDescent="0.2">
      <c r="A1436" s="2" t="str">
        <f>"5998304069180"</f>
        <v>5998304069180</v>
      </c>
      <c r="B1436" s="1" t="s">
        <v>1433</v>
      </c>
      <c r="C1436" s="9" t="s">
        <v>3376</v>
      </c>
      <c r="D1436" s="6">
        <v>272.81</v>
      </c>
      <c r="F1436">
        <v>100</v>
      </c>
    </row>
    <row r="1437" spans="1:6" x14ac:dyDescent="0.2">
      <c r="A1437" s="2" t="str">
        <f>"5998324142634"</f>
        <v>5998324142634</v>
      </c>
      <c r="B1437" s="1" t="s">
        <v>1434</v>
      </c>
      <c r="C1437" s="9" t="s">
        <v>3376</v>
      </c>
      <c r="D1437" s="6">
        <v>260.89999999999998</v>
      </c>
      <c r="F1437">
        <v>100</v>
      </c>
    </row>
    <row r="1438" spans="1:6" x14ac:dyDescent="0.2">
      <c r="A1438" s="2" t="str">
        <f>"5999541440121"</f>
        <v>5999541440121</v>
      </c>
      <c r="B1438" s="1" t="s">
        <v>1435</v>
      </c>
      <c r="C1438" s="9" t="s">
        <v>3375</v>
      </c>
      <c r="D1438" s="6">
        <v>321.60000000000002</v>
      </c>
      <c r="F1438">
        <v>100</v>
      </c>
    </row>
    <row r="1439" spans="1:6" x14ac:dyDescent="0.2">
      <c r="A1439" s="2" t="str">
        <f>"5901713009449"</f>
        <v>5901713009449</v>
      </c>
      <c r="B1439" s="1" t="s">
        <v>1436</v>
      </c>
      <c r="C1439" s="9" t="s">
        <v>3374</v>
      </c>
      <c r="D1439" s="6">
        <v>221.69</v>
      </c>
      <c r="F1439">
        <v>100</v>
      </c>
    </row>
    <row r="1440" spans="1:6" x14ac:dyDescent="0.2">
      <c r="A1440" s="2" t="str">
        <f>"5901713003911"</f>
        <v>5901713003911</v>
      </c>
      <c r="B1440" s="1" t="s">
        <v>1437</v>
      </c>
      <c r="C1440" s="9" t="s">
        <v>3375</v>
      </c>
      <c r="D1440" s="6">
        <v>254.39</v>
      </c>
      <c r="F1440">
        <v>100</v>
      </c>
    </row>
    <row r="1441" spans="1:6" x14ac:dyDescent="0.2">
      <c r="A1441" s="2" t="str">
        <f>"5901713004192"</f>
        <v>5901713004192</v>
      </c>
      <c r="B1441" s="1" t="s">
        <v>1438</v>
      </c>
      <c r="C1441" s="9" t="s">
        <v>3374</v>
      </c>
      <c r="D1441" s="6">
        <v>160.99</v>
      </c>
      <c r="F1441">
        <v>100</v>
      </c>
    </row>
    <row r="1442" spans="1:6" x14ac:dyDescent="0.2">
      <c r="A1442" s="2" t="str">
        <f>"3850104042263"</f>
        <v>3850104042263</v>
      </c>
      <c r="B1442" s="1" t="s">
        <v>1439</v>
      </c>
      <c r="C1442" s="9" t="s">
        <v>3375</v>
      </c>
      <c r="D1442" s="6">
        <v>323.99</v>
      </c>
      <c r="F1442">
        <v>100</v>
      </c>
    </row>
    <row r="1443" spans="1:6" x14ac:dyDescent="0.2">
      <c r="A1443" s="2" t="str">
        <f>"5997476355893"</f>
        <v>5997476355893</v>
      </c>
      <c r="B1443" s="1" t="s">
        <v>1440</v>
      </c>
      <c r="C1443" s="9" t="s">
        <v>3374</v>
      </c>
      <c r="D1443" s="6">
        <v>288.49</v>
      </c>
      <c r="F1443">
        <v>100</v>
      </c>
    </row>
    <row r="1444" spans="1:6" x14ac:dyDescent="0.2">
      <c r="A1444" s="2" t="str">
        <f>"5997476343685"</f>
        <v>5997476343685</v>
      </c>
      <c r="B1444" s="1" t="s">
        <v>1441</v>
      </c>
      <c r="C1444" s="9" t="s">
        <v>3374</v>
      </c>
      <c r="D1444" s="6">
        <v>232.55</v>
      </c>
      <c r="F1444">
        <v>100</v>
      </c>
    </row>
    <row r="1445" spans="1:6" x14ac:dyDescent="0.2">
      <c r="A1445" s="2" t="str">
        <f>"5997476343913"</f>
        <v>5997476343913</v>
      </c>
      <c r="B1445" s="1" t="s">
        <v>1442</v>
      </c>
      <c r="C1445" s="9" t="s">
        <v>3374</v>
      </c>
      <c r="D1445" s="6">
        <v>169.76</v>
      </c>
      <c r="F1445">
        <v>100</v>
      </c>
    </row>
    <row r="1446" spans="1:6" x14ac:dyDescent="0.2">
      <c r="A1446" s="2" t="str">
        <f>"5997476341940"</f>
        <v>5997476341940</v>
      </c>
      <c r="B1446" s="1" t="s">
        <v>1443</v>
      </c>
      <c r="C1446" s="9" t="s">
        <v>3374</v>
      </c>
      <c r="D1446" s="6">
        <v>246.74</v>
      </c>
      <c r="F1446">
        <v>100</v>
      </c>
    </row>
    <row r="1447" spans="1:6" x14ac:dyDescent="0.2">
      <c r="A1447" s="2" t="str">
        <f>"3859888140004"</f>
        <v>3859888140004</v>
      </c>
      <c r="B1447" s="1" t="s">
        <v>1444</v>
      </c>
      <c r="C1447" s="9" t="s">
        <v>3374</v>
      </c>
      <c r="D1447" s="6">
        <v>266.01</v>
      </c>
      <c r="F1447">
        <v>100</v>
      </c>
    </row>
    <row r="1448" spans="1:6" x14ac:dyDescent="0.2">
      <c r="A1448" s="2" t="str">
        <f>"8594012798342"</f>
        <v>8594012798342</v>
      </c>
      <c r="B1448" s="1" t="s">
        <v>1445</v>
      </c>
      <c r="C1448" s="9" t="s">
        <v>3375</v>
      </c>
      <c r="D1448" s="6">
        <v>227.65</v>
      </c>
      <c r="F1448">
        <v>100</v>
      </c>
    </row>
    <row r="1449" spans="1:6" x14ac:dyDescent="0.2">
      <c r="A1449" s="2" t="str">
        <f>"8594012791763"</f>
        <v>8594012791763</v>
      </c>
      <c r="B1449" s="1" t="s">
        <v>1446</v>
      </c>
      <c r="C1449" s="9" t="s">
        <v>3374</v>
      </c>
      <c r="D1449" s="6">
        <v>377.33</v>
      </c>
      <c r="F1449">
        <v>100</v>
      </c>
    </row>
    <row r="1450" spans="1:6" x14ac:dyDescent="0.2">
      <c r="A1450" s="2" t="str">
        <f>"8594012794948"</f>
        <v>8594012794948</v>
      </c>
      <c r="B1450" s="1" t="s">
        <v>1447</v>
      </c>
      <c r="C1450" s="9" t="s">
        <v>3374</v>
      </c>
      <c r="D1450" s="6">
        <v>163.93</v>
      </c>
      <c r="F1450">
        <v>100</v>
      </c>
    </row>
    <row r="1451" spans="1:6" x14ac:dyDescent="0.2">
      <c r="A1451" s="2" t="str">
        <f>"8594012796539"</f>
        <v>8594012796539</v>
      </c>
      <c r="B1451" s="1" t="s">
        <v>1448</v>
      </c>
      <c r="C1451" s="9" t="s">
        <v>3375</v>
      </c>
      <c r="D1451" s="6">
        <v>383.04</v>
      </c>
      <c r="F1451">
        <v>100</v>
      </c>
    </row>
    <row r="1452" spans="1:6" x14ac:dyDescent="0.2">
      <c r="A1452" s="2" t="str">
        <f>"8594012795280"</f>
        <v>8594012795280</v>
      </c>
      <c r="B1452" s="1" t="s">
        <v>1449</v>
      </c>
      <c r="C1452" s="9" t="s">
        <v>3374</v>
      </c>
      <c r="D1452" s="6">
        <v>293.43</v>
      </c>
      <c r="F1452">
        <v>100</v>
      </c>
    </row>
    <row r="1453" spans="1:6" x14ac:dyDescent="0.2">
      <c r="A1453" s="2" t="str">
        <f>"8595139789855"</f>
        <v>8595139789855</v>
      </c>
      <c r="B1453" s="1" t="s">
        <v>1450</v>
      </c>
      <c r="C1453" s="9" t="s">
        <v>3374</v>
      </c>
      <c r="D1453" s="6">
        <v>755.08</v>
      </c>
      <c r="F1453">
        <v>100</v>
      </c>
    </row>
    <row r="1454" spans="1:6" x14ac:dyDescent="0.2">
      <c r="A1454" s="2" t="str">
        <f>"8595139789619"</f>
        <v>8595139789619</v>
      </c>
      <c r="B1454" s="1" t="s">
        <v>1451</v>
      </c>
      <c r="C1454" s="9" t="s">
        <v>3374</v>
      </c>
      <c r="D1454" s="6">
        <v>64.819999999999993</v>
      </c>
      <c r="F1454">
        <v>100</v>
      </c>
    </row>
    <row r="1455" spans="1:6" x14ac:dyDescent="0.2">
      <c r="A1455" s="2" t="str">
        <f>"8595139778446"</f>
        <v>8595139778446</v>
      </c>
      <c r="B1455" s="1" t="s">
        <v>1452</v>
      </c>
      <c r="C1455" s="9" t="s">
        <v>3374</v>
      </c>
      <c r="D1455" s="6">
        <v>308.18</v>
      </c>
      <c r="F1455">
        <v>100</v>
      </c>
    </row>
    <row r="1456" spans="1:6" x14ac:dyDescent="0.2">
      <c r="A1456" s="2" t="str">
        <f>"8595139789671"</f>
        <v>8595139789671</v>
      </c>
      <c r="B1456" s="1" t="s">
        <v>1453</v>
      </c>
      <c r="C1456" s="9" t="s">
        <v>3374</v>
      </c>
      <c r="D1456" s="6">
        <v>166.26</v>
      </c>
      <c r="F1456">
        <v>100</v>
      </c>
    </row>
    <row r="1457" spans="1:6" x14ac:dyDescent="0.2">
      <c r="A1457" s="2" t="str">
        <f>"8595139789909"</f>
        <v>8595139789909</v>
      </c>
      <c r="B1457" s="1" t="s">
        <v>1454</v>
      </c>
      <c r="C1457" s="9" t="s">
        <v>3374</v>
      </c>
      <c r="D1457" s="6">
        <v>338.53</v>
      </c>
      <c r="F1457">
        <v>100</v>
      </c>
    </row>
    <row r="1458" spans="1:6" x14ac:dyDescent="0.2">
      <c r="A1458" s="2" t="str">
        <f>"8595139789725"</f>
        <v>8595139789725</v>
      </c>
      <c r="B1458" s="1" t="s">
        <v>1455</v>
      </c>
      <c r="C1458" s="9" t="s">
        <v>3374</v>
      </c>
      <c r="D1458" s="6">
        <v>169.42</v>
      </c>
      <c r="F1458">
        <v>100</v>
      </c>
    </row>
    <row r="1459" spans="1:6" x14ac:dyDescent="0.2">
      <c r="A1459" s="2" t="str">
        <f>"8595139789732"</f>
        <v>8595139789732</v>
      </c>
      <c r="B1459" s="1" t="s">
        <v>1456</v>
      </c>
      <c r="C1459" s="9" t="s">
        <v>3374</v>
      </c>
      <c r="D1459" s="6">
        <v>168.24</v>
      </c>
      <c r="F1459">
        <v>100</v>
      </c>
    </row>
    <row r="1460" spans="1:6" x14ac:dyDescent="0.2">
      <c r="A1460" s="2" t="str">
        <f>"8595139793449"</f>
        <v>8595139793449</v>
      </c>
      <c r="B1460" s="1" t="s">
        <v>1457</v>
      </c>
      <c r="C1460" s="9" t="s">
        <v>3374</v>
      </c>
      <c r="D1460" s="6">
        <v>218.08</v>
      </c>
      <c r="F1460">
        <v>100</v>
      </c>
    </row>
    <row r="1461" spans="1:6" x14ac:dyDescent="0.2">
      <c r="A1461" s="2" t="str">
        <f>"8595139795115"</f>
        <v>8595139795115</v>
      </c>
      <c r="B1461" s="1" t="s">
        <v>1458</v>
      </c>
      <c r="C1461" s="9" t="s">
        <v>3374</v>
      </c>
      <c r="D1461" s="6">
        <v>96.02</v>
      </c>
      <c r="F1461">
        <v>100</v>
      </c>
    </row>
    <row r="1462" spans="1:6" x14ac:dyDescent="0.2">
      <c r="A1462" s="2" t="str">
        <f>"8595139778422"</f>
        <v>8595139778422</v>
      </c>
      <c r="B1462" s="1" t="s">
        <v>1459</v>
      </c>
      <c r="C1462" s="9" t="s">
        <v>3374</v>
      </c>
      <c r="D1462" s="6">
        <v>169.22</v>
      </c>
      <c r="F1462">
        <v>100</v>
      </c>
    </row>
    <row r="1463" spans="1:6" x14ac:dyDescent="0.2">
      <c r="A1463" s="2" t="str">
        <f>"8594001690640"</f>
        <v>8594001690640</v>
      </c>
      <c r="B1463" s="1" t="s">
        <v>1460</v>
      </c>
      <c r="C1463" s="9" t="s">
        <v>3374</v>
      </c>
      <c r="D1463" s="6">
        <v>309.42</v>
      </c>
      <c r="F1463">
        <v>100</v>
      </c>
    </row>
    <row r="1464" spans="1:6" x14ac:dyDescent="0.2">
      <c r="A1464" s="2" t="str">
        <f>"8595139720643"</f>
        <v>8595139720643</v>
      </c>
      <c r="B1464" s="1" t="s">
        <v>1461</v>
      </c>
      <c r="C1464" s="9" t="s">
        <v>3374</v>
      </c>
      <c r="D1464" s="6">
        <v>157.19</v>
      </c>
      <c r="F1464">
        <v>100</v>
      </c>
    </row>
    <row r="1465" spans="1:6" x14ac:dyDescent="0.2">
      <c r="A1465" s="2" t="str">
        <f>"8595139720681"</f>
        <v>8595139720681</v>
      </c>
      <c r="B1465" s="1" t="s">
        <v>1462</v>
      </c>
      <c r="C1465" s="9" t="s">
        <v>3374</v>
      </c>
      <c r="D1465" s="6">
        <v>163.93</v>
      </c>
      <c r="F1465">
        <v>100</v>
      </c>
    </row>
    <row r="1466" spans="1:6" x14ac:dyDescent="0.2">
      <c r="A1466" s="2" t="str">
        <f>"8595139719449"</f>
        <v>8595139719449</v>
      </c>
      <c r="B1466" s="1" t="s">
        <v>1463</v>
      </c>
      <c r="C1466" s="9" t="s">
        <v>3374</v>
      </c>
      <c r="D1466" s="6">
        <v>163.93</v>
      </c>
      <c r="F1466">
        <v>100</v>
      </c>
    </row>
    <row r="1467" spans="1:6" x14ac:dyDescent="0.2">
      <c r="A1467" s="2" t="str">
        <f>"8595139777555"</f>
        <v>8595139777555</v>
      </c>
      <c r="B1467" s="1" t="s">
        <v>1464</v>
      </c>
      <c r="C1467" s="9" t="s">
        <v>3374</v>
      </c>
      <c r="D1467" s="6">
        <v>357.92</v>
      </c>
      <c r="F1467">
        <v>100</v>
      </c>
    </row>
    <row r="1468" spans="1:6" x14ac:dyDescent="0.2">
      <c r="A1468" s="2" t="str">
        <f>"8595139795108"</f>
        <v>8595139795108</v>
      </c>
      <c r="B1468" s="1" t="s">
        <v>1465</v>
      </c>
      <c r="C1468" s="9" t="s">
        <v>3374</v>
      </c>
      <c r="D1468" s="6">
        <v>96.02</v>
      </c>
      <c r="F1468">
        <v>100</v>
      </c>
    </row>
    <row r="1469" spans="1:6" x14ac:dyDescent="0.2">
      <c r="A1469" s="2" t="str">
        <f>"9001466301596"</f>
        <v>9001466301596</v>
      </c>
      <c r="B1469" s="1" t="s">
        <v>1466</v>
      </c>
      <c r="C1469" s="9" t="s">
        <v>3376</v>
      </c>
      <c r="D1469" s="6">
        <v>372.43</v>
      </c>
      <c r="F1469">
        <v>100</v>
      </c>
    </row>
    <row r="1470" spans="1:6" x14ac:dyDescent="0.2">
      <c r="A1470" s="2" t="str">
        <f>"5998304067391"</f>
        <v>5998304067391</v>
      </c>
      <c r="B1470" s="1" t="s">
        <v>1467</v>
      </c>
      <c r="C1470" s="9" t="s">
        <v>3374</v>
      </c>
      <c r="D1470" s="6">
        <v>392.85</v>
      </c>
      <c r="F1470">
        <v>100</v>
      </c>
    </row>
    <row r="1471" spans="1:6" x14ac:dyDescent="0.2">
      <c r="A1471" s="2" t="str">
        <f>"5998304067247"</f>
        <v>5998304067247</v>
      </c>
      <c r="B1471" s="1" t="s">
        <v>1468</v>
      </c>
      <c r="C1471" s="9" t="s">
        <v>3374</v>
      </c>
      <c r="D1471" s="6">
        <v>406.43</v>
      </c>
      <c r="F1471">
        <v>100</v>
      </c>
    </row>
    <row r="1472" spans="1:6" x14ac:dyDescent="0.2">
      <c r="A1472" s="2" t="str">
        <f>"5000157073020"</f>
        <v>5000157073020</v>
      </c>
      <c r="B1472" s="1" t="s">
        <v>1469</v>
      </c>
      <c r="C1472" s="9" t="s">
        <v>3374</v>
      </c>
      <c r="D1472" s="6">
        <v>461.5</v>
      </c>
      <c r="F1472">
        <v>100</v>
      </c>
    </row>
    <row r="1473" spans="1:6" x14ac:dyDescent="0.2">
      <c r="A1473" s="2" t="str">
        <f>"8715700421322"</f>
        <v>8715700421322</v>
      </c>
      <c r="B1473" s="1" t="s">
        <v>1470</v>
      </c>
      <c r="C1473" s="9" t="s">
        <v>3374</v>
      </c>
      <c r="D1473" s="6">
        <v>553.91</v>
      </c>
      <c r="F1473">
        <v>100</v>
      </c>
    </row>
    <row r="1474" spans="1:6" x14ac:dyDescent="0.2">
      <c r="A1474" s="2" t="str">
        <f>"87157154     "</f>
        <v xml:space="preserve">87157154     </v>
      </c>
      <c r="B1474" s="1" t="s">
        <v>1471</v>
      </c>
      <c r="C1474" s="9" t="s">
        <v>3374</v>
      </c>
      <c r="D1474" s="6">
        <v>559.34</v>
      </c>
      <c r="F1474">
        <v>100</v>
      </c>
    </row>
    <row r="1475" spans="1:6" x14ac:dyDescent="0.2">
      <c r="A1475" s="2" t="str">
        <f>"5999541440206"</f>
        <v>5999541440206</v>
      </c>
      <c r="B1475" s="1" t="s">
        <v>1472</v>
      </c>
      <c r="C1475" s="9" t="s">
        <v>3375</v>
      </c>
      <c r="D1475" s="6">
        <v>273.60000000000002</v>
      </c>
      <c r="F1475">
        <v>100</v>
      </c>
    </row>
    <row r="1476" spans="1:6" x14ac:dyDescent="0.2">
      <c r="A1476" s="2" t="str">
        <f>"5999885577330"</f>
        <v>5999885577330</v>
      </c>
      <c r="B1476" s="1" t="s">
        <v>1473</v>
      </c>
      <c r="C1476" s="9" t="s">
        <v>3375</v>
      </c>
      <c r="D1476" s="6">
        <v>296.63</v>
      </c>
      <c r="F1476">
        <v>100</v>
      </c>
    </row>
    <row r="1477" spans="1:6" x14ac:dyDescent="0.2">
      <c r="A1477" s="2" t="str">
        <f>"5999885577279"</f>
        <v>5999885577279</v>
      </c>
      <c r="B1477" s="1" t="s">
        <v>1474</v>
      </c>
      <c r="C1477" s="9" t="s">
        <v>3375</v>
      </c>
      <c r="D1477" s="6">
        <v>300.88</v>
      </c>
      <c r="F1477">
        <v>100</v>
      </c>
    </row>
    <row r="1478" spans="1:6" x14ac:dyDescent="0.2">
      <c r="A1478" s="2" t="str">
        <f>"5998304620671"</f>
        <v>5998304620671</v>
      </c>
      <c r="B1478" s="1" t="s">
        <v>1475</v>
      </c>
      <c r="C1478" s="9" t="s">
        <v>3376</v>
      </c>
      <c r="D1478" s="6">
        <v>146.44</v>
      </c>
      <c r="F1478">
        <v>100</v>
      </c>
    </row>
    <row r="1479" spans="1:6" x14ac:dyDescent="0.2">
      <c r="A1479" s="2" t="str">
        <f>"5998304620664"</f>
        <v>5998304620664</v>
      </c>
      <c r="B1479" s="1" t="s">
        <v>1476</v>
      </c>
      <c r="C1479" s="9" t="s">
        <v>3376</v>
      </c>
      <c r="D1479" s="6">
        <v>147.07</v>
      </c>
      <c r="F1479">
        <v>100</v>
      </c>
    </row>
    <row r="1480" spans="1:6" x14ac:dyDescent="0.2">
      <c r="A1480" s="2" t="str">
        <f>"5999887518348"</f>
        <v>5999887518348</v>
      </c>
      <c r="B1480" s="1" t="s">
        <v>1477</v>
      </c>
      <c r="C1480" s="9" t="s">
        <v>3375</v>
      </c>
      <c r="D1480" s="6">
        <v>379.2</v>
      </c>
      <c r="F1480">
        <v>100</v>
      </c>
    </row>
    <row r="1481" spans="1:6" x14ac:dyDescent="0.2">
      <c r="A1481" s="2" t="str">
        <f>"5900300543380"</f>
        <v>5900300543380</v>
      </c>
      <c r="B1481" s="1" t="s">
        <v>1478</v>
      </c>
      <c r="C1481" s="9" t="s">
        <v>3374</v>
      </c>
      <c r="D1481" s="6">
        <v>571.33000000000004</v>
      </c>
      <c r="F1481">
        <v>100</v>
      </c>
    </row>
    <row r="1482" spans="1:6" x14ac:dyDescent="0.2">
      <c r="A1482" s="2" t="str">
        <f>"5900300545902"</f>
        <v>5900300545902</v>
      </c>
      <c r="B1482" s="1" t="s">
        <v>1479</v>
      </c>
      <c r="C1482" s="9" t="s">
        <v>3374</v>
      </c>
      <c r="D1482" s="6">
        <v>571.33000000000004</v>
      </c>
      <c r="F1482">
        <v>100</v>
      </c>
    </row>
    <row r="1483" spans="1:6" x14ac:dyDescent="0.2">
      <c r="A1483" s="2" t="str">
        <f>"8712100436659"</f>
        <v>8712100436659</v>
      </c>
      <c r="B1483" s="1" t="s">
        <v>1480</v>
      </c>
      <c r="C1483" s="9" t="s">
        <v>3374</v>
      </c>
      <c r="D1483" s="6">
        <v>229.66</v>
      </c>
      <c r="F1483">
        <v>100</v>
      </c>
    </row>
    <row r="1484" spans="1:6" x14ac:dyDescent="0.2">
      <c r="A1484" s="2" t="str">
        <f>"4006795361063"</f>
        <v>4006795361063</v>
      </c>
      <c r="B1484" s="1" t="s">
        <v>1481</v>
      </c>
      <c r="C1484" s="9" t="s">
        <v>3375</v>
      </c>
      <c r="D1484" s="6">
        <v>268.8</v>
      </c>
      <c r="F1484">
        <v>100</v>
      </c>
    </row>
    <row r="1485" spans="1:6" x14ac:dyDescent="0.2">
      <c r="A1485" s="2" t="str">
        <f>"4006795360066"</f>
        <v>4006795360066</v>
      </c>
      <c r="B1485" s="1" t="s">
        <v>1482</v>
      </c>
      <c r="C1485" s="9" t="s">
        <v>3375</v>
      </c>
      <c r="D1485" s="6">
        <v>350.41</v>
      </c>
      <c r="F1485">
        <v>100</v>
      </c>
    </row>
    <row r="1486" spans="1:6" x14ac:dyDescent="0.2">
      <c r="A1486" s="2" t="str">
        <f>"5999883409671"</f>
        <v>5999883409671</v>
      </c>
      <c r="B1486" s="1" t="s">
        <v>1483</v>
      </c>
      <c r="C1486" s="9" t="s">
        <v>3375</v>
      </c>
      <c r="D1486" s="6">
        <v>269.72000000000003</v>
      </c>
      <c r="F1486">
        <v>100</v>
      </c>
    </row>
    <row r="1487" spans="1:6" x14ac:dyDescent="0.2">
      <c r="A1487" s="2" t="str">
        <f>"8585002473578"</f>
        <v>8585002473578</v>
      </c>
      <c r="B1487" s="1" t="s">
        <v>1484</v>
      </c>
      <c r="C1487" s="9" t="s">
        <v>3374</v>
      </c>
      <c r="D1487" s="6">
        <v>384.07</v>
      </c>
      <c r="F1487">
        <v>100</v>
      </c>
    </row>
    <row r="1488" spans="1:6" x14ac:dyDescent="0.2">
      <c r="A1488" s="2" t="str">
        <f>"5999882542225"</f>
        <v>5999882542225</v>
      </c>
      <c r="B1488" s="1" t="s">
        <v>1485</v>
      </c>
      <c r="C1488" s="9" t="s">
        <v>3417</v>
      </c>
      <c r="D1488" s="6">
        <v>99</v>
      </c>
      <c r="F1488">
        <v>100</v>
      </c>
    </row>
    <row r="1489" spans="1:6" x14ac:dyDescent="0.2">
      <c r="A1489" s="2" t="str">
        <f>"5997015100557"</f>
        <v>5997015100557</v>
      </c>
      <c r="B1489" s="1" t="s">
        <v>1486</v>
      </c>
      <c r="C1489" s="9" t="s">
        <v>3375</v>
      </c>
      <c r="D1489" s="6">
        <v>315.83999999999997</v>
      </c>
      <c r="F1489">
        <v>100</v>
      </c>
    </row>
    <row r="1490" spans="1:6" x14ac:dyDescent="0.2">
      <c r="A1490" s="2" t="str">
        <f>"5997015101042"</f>
        <v>5997015101042</v>
      </c>
      <c r="B1490" s="1" t="s">
        <v>1487</v>
      </c>
      <c r="C1490" s="9" t="s">
        <v>3375</v>
      </c>
      <c r="D1490" s="6">
        <v>306.23</v>
      </c>
      <c r="F1490">
        <v>100</v>
      </c>
    </row>
    <row r="1491" spans="1:6" x14ac:dyDescent="0.2">
      <c r="A1491" s="2" t="str">
        <f>"5997015100533"</f>
        <v>5997015100533</v>
      </c>
      <c r="B1491" s="1" t="s">
        <v>1488</v>
      </c>
      <c r="C1491" s="9" t="s">
        <v>3375</v>
      </c>
      <c r="D1491" s="6">
        <v>316.82</v>
      </c>
      <c r="F1491">
        <v>100</v>
      </c>
    </row>
    <row r="1492" spans="1:6" x14ac:dyDescent="0.2">
      <c r="A1492" s="2" t="str">
        <f>"5998324181077"</f>
        <v>5998324181077</v>
      </c>
      <c r="B1492" s="1" t="s">
        <v>1489</v>
      </c>
      <c r="C1492" s="9" t="s">
        <v>3376</v>
      </c>
      <c r="D1492" s="6">
        <v>285.76</v>
      </c>
      <c r="F1492">
        <v>100</v>
      </c>
    </row>
    <row r="1493" spans="1:6" x14ac:dyDescent="0.2">
      <c r="A1493" s="2" t="str">
        <f>"5997010311163"</f>
        <v>5997010311163</v>
      </c>
      <c r="B1493" s="1" t="s">
        <v>1490</v>
      </c>
      <c r="C1493" s="9" t="s">
        <v>3376</v>
      </c>
      <c r="D1493" s="6">
        <v>242.94</v>
      </c>
      <c r="F1493">
        <v>100</v>
      </c>
    </row>
    <row r="1494" spans="1:6" x14ac:dyDescent="0.2">
      <c r="A1494" s="2" t="str">
        <f>"5999884383055"</f>
        <v>5999884383055</v>
      </c>
      <c r="B1494" s="1" t="s">
        <v>1491</v>
      </c>
      <c r="C1494" s="9" t="s">
        <v>3375</v>
      </c>
      <c r="D1494" s="6">
        <v>248.64</v>
      </c>
      <c r="F1494">
        <v>100</v>
      </c>
    </row>
    <row r="1495" spans="1:6" x14ac:dyDescent="0.2">
      <c r="A1495" s="2" t="str">
        <f>"5997004755614"</f>
        <v>5997004755614</v>
      </c>
      <c r="B1495" s="1" t="s">
        <v>1492</v>
      </c>
      <c r="C1495" s="9" t="s">
        <v>3376</v>
      </c>
      <c r="D1495" s="6">
        <v>82</v>
      </c>
      <c r="F1495">
        <v>100</v>
      </c>
    </row>
    <row r="1496" spans="1:6" x14ac:dyDescent="0.2">
      <c r="A1496" s="2" t="str">
        <f>"5998324111012"</f>
        <v>5998324111012</v>
      </c>
      <c r="B1496" s="1" t="s">
        <v>1493</v>
      </c>
      <c r="C1496" s="9" t="s">
        <v>3374</v>
      </c>
      <c r="D1496" s="6">
        <v>319.14</v>
      </c>
      <c r="F1496">
        <v>100</v>
      </c>
    </row>
    <row r="1497" spans="1:6" x14ac:dyDescent="0.2">
      <c r="A1497" s="2" t="str">
        <f>"5998324180056"</f>
        <v>5998324180056</v>
      </c>
      <c r="B1497" s="1" t="s">
        <v>1494</v>
      </c>
      <c r="C1497" s="9" t="s">
        <v>3374</v>
      </c>
      <c r="D1497" s="6">
        <v>316.13</v>
      </c>
      <c r="F1497">
        <v>100</v>
      </c>
    </row>
    <row r="1498" spans="1:6" x14ac:dyDescent="0.2">
      <c r="A1498" s="2" t="str">
        <f>"5998324155719"</f>
        <v>5998324155719</v>
      </c>
      <c r="B1498" s="1" t="s">
        <v>1495</v>
      </c>
      <c r="C1498" s="9" t="s">
        <v>3374</v>
      </c>
      <c r="D1498" s="6">
        <v>227.33</v>
      </c>
      <c r="F1498">
        <v>100</v>
      </c>
    </row>
    <row r="1499" spans="1:6" x14ac:dyDescent="0.2">
      <c r="A1499" s="2" t="str">
        <f>"5998324180186"</f>
        <v>5998324180186</v>
      </c>
      <c r="B1499" s="1" t="s">
        <v>1496</v>
      </c>
      <c r="C1499" s="9" t="s">
        <v>3374</v>
      </c>
      <c r="D1499" s="6">
        <v>338.18</v>
      </c>
      <c r="F1499">
        <v>100</v>
      </c>
    </row>
    <row r="1500" spans="1:6" x14ac:dyDescent="0.2">
      <c r="A1500" s="2" t="str">
        <f>"5998324112675"</f>
        <v>5998324112675</v>
      </c>
      <c r="B1500" s="1" t="s">
        <v>1497</v>
      </c>
      <c r="C1500" s="9" t="s">
        <v>3374</v>
      </c>
      <c r="D1500" s="6">
        <v>286.14</v>
      </c>
      <c r="F1500">
        <v>100</v>
      </c>
    </row>
    <row r="1501" spans="1:6" x14ac:dyDescent="0.2">
      <c r="A1501" s="2" t="str">
        <f>"5998324101068"</f>
        <v>5998324101068</v>
      </c>
      <c r="B1501" s="1" t="s">
        <v>1498</v>
      </c>
      <c r="C1501" s="9" t="s">
        <v>3374</v>
      </c>
      <c r="D1501" s="6">
        <v>423.46</v>
      </c>
      <c r="F1501">
        <v>100</v>
      </c>
    </row>
    <row r="1502" spans="1:6" x14ac:dyDescent="0.2">
      <c r="A1502" s="2" t="str">
        <f>"5998094513450"</f>
        <v>5998094513450</v>
      </c>
      <c r="B1502" s="1" t="s">
        <v>1499</v>
      </c>
      <c r="C1502" s="9" t="s">
        <v>3376</v>
      </c>
      <c r="D1502" s="6">
        <v>468</v>
      </c>
      <c r="F1502">
        <v>100</v>
      </c>
    </row>
    <row r="1503" spans="1:6" x14ac:dyDescent="0.2">
      <c r="A1503" s="2" t="str">
        <f>"5998094510961"</f>
        <v>5998094510961</v>
      </c>
      <c r="B1503" s="1" t="s">
        <v>1500</v>
      </c>
      <c r="C1503" s="9" t="s">
        <v>3375</v>
      </c>
      <c r="D1503" s="6">
        <v>494.4</v>
      </c>
      <c r="F1503">
        <v>100</v>
      </c>
    </row>
    <row r="1504" spans="1:6" x14ac:dyDescent="0.2">
      <c r="A1504" s="2" t="str">
        <f>"5998094550547"</f>
        <v>5998094550547</v>
      </c>
      <c r="B1504" s="1" t="s">
        <v>1501</v>
      </c>
      <c r="C1504" s="9" t="s">
        <v>3374</v>
      </c>
      <c r="D1504" s="6">
        <v>520.16999999999996</v>
      </c>
      <c r="F1504">
        <v>100</v>
      </c>
    </row>
    <row r="1505" spans="1:6" x14ac:dyDescent="0.2">
      <c r="A1505" s="2" t="str">
        <f>"5998304061825"</f>
        <v>5998304061825</v>
      </c>
      <c r="B1505" s="1" t="s">
        <v>1502</v>
      </c>
      <c r="C1505" s="9" t="s">
        <v>3376</v>
      </c>
      <c r="D1505" s="6">
        <v>121.37</v>
      </c>
      <c r="F1505">
        <v>100</v>
      </c>
    </row>
    <row r="1506" spans="1:6" x14ac:dyDescent="0.2">
      <c r="A1506" s="2" t="str">
        <f>"5998304058672"</f>
        <v>5998304058672</v>
      </c>
      <c r="B1506" s="1" t="s">
        <v>1503</v>
      </c>
      <c r="C1506" s="9" t="s">
        <v>3374</v>
      </c>
      <c r="D1506" s="6">
        <v>76.62</v>
      </c>
      <c r="F1506">
        <v>100</v>
      </c>
    </row>
    <row r="1507" spans="1:6" x14ac:dyDescent="0.2">
      <c r="A1507" s="2" t="str">
        <f>"8718144570601"</f>
        <v>8718144570601</v>
      </c>
      <c r="B1507" s="1" t="s">
        <v>1504</v>
      </c>
      <c r="C1507" s="9" t="s">
        <v>3375</v>
      </c>
      <c r="D1507" s="6">
        <v>263.26</v>
      </c>
      <c r="F1507">
        <v>100</v>
      </c>
    </row>
    <row r="1508" spans="1:6" x14ac:dyDescent="0.2">
      <c r="A1508" s="2" t="str">
        <f>"5941341035571"</f>
        <v>5941341035571</v>
      </c>
      <c r="B1508" s="1" t="s">
        <v>1505</v>
      </c>
      <c r="C1508" s="9" t="s">
        <v>3375</v>
      </c>
      <c r="D1508" s="6">
        <v>71.17</v>
      </c>
      <c r="F1508">
        <v>100</v>
      </c>
    </row>
    <row r="1509" spans="1:6" x14ac:dyDescent="0.2">
      <c r="A1509" s="2" t="str">
        <f>"5941341027668"</f>
        <v>5941341027668</v>
      </c>
      <c r="B1509" s="1" t="s">
        <v>1506</v>
      </c>
      <c r="C1509" s="9" t="s">
        <v>3375</v>
      </c>
      <c r="D1509" s="6">
        <v>254.39</v>
      </c>
      <c r="F1509">
        <v>100</v>
      </c>
    </row>
    <row r="1510" spans="1:6" x14ac:dyDescent="0.2">
      <c r="A1510" s="2" t="str">
        <f>"5941341033607"</f>
        <v>5941341033607</v>
      </c>
      <c r="B1510" s="1" t="s">
        <v>1507</v>
      </c>
      <c r="C1510" s="9" t="s">
        <v>3417</v>
      </c>
      <c r="D1510" s="6">
        <v>214.9</v>
      </c>
      <c r="F1510">
        <v>100</v>
      </c>
    </row>
    <row r="1511" spans="1:6" x14ac:dyDescent="0.2">
      <c r="A1511" s="2" t="str">
        <f>"4002359631870"</f>
        <v>4002359631870</v>
      </c>
      <c r="B1511" s="1" t="s">
        <v>1508</v>
      </c>
      <c r="C1511" s="9" t="s">
        <v>3374</v>
      </c>
      <c r="D1511" s="6">
        <v>522.83000000000004</v>
      </c>
      <c r="F1511">
        <v>100</v>
      </c>
    </row>
    <row r="1512" spans="1:6" x14ac:dyDescent="0.2">
      <c r="A1512" s="2" t="str">
        <f>"4002359009891"</f>
        <v>4002359009891</v>
      </c>
      <c r="B1512" s="1" t="s">
        <v>1509</v>
      </c>
      <c r="C1512" s="9" t="s">
        <v>3374</v>
      </c>
      <c r="D1512" s="6">
        <v>522.83000000000004</v>
      </c>
      <c r="F1512">
        <v>100</v>
      </c>
    </row>
    <row r="1513" spans="1:6" x14ac:dyDescent="0.2">
      <c r="A1513" s="2" t="str">
        <f>"4002359653032"</f>
        <v>4002359653032</v>
      </c>
      <c r="B1513" s="1" t="s">
        <v>1510</v>
      </c>
      <c r="C1513" s="9" t="s">
        <v>3374</v>
      </c>
      <c r="D1513" s="6">
        <v>522.83000000000004</v>
      </c>
      <c r="F1513">
        <v>100</v>
      </c>
    </row>
    <row r="1514" spans="1:6" x14ac:dyDescent="0.2">
      <c r="A1514" s="2" t="str">
        <f>"5997010301225"</f>
        <v>5997010301225</v>
      </c>
      <c r="B1514" s="1" t="s">
        <v>1511</v>
      </c>
      <c r="C1514" s="9" t="s">
        <v>3374</v>
      </c>
      <c r="D1514" s="6">
        <v>385.09</v>
      </c>
      <c r="F1514">
        <v>100</v>
      </c>
    </row>
    <row r="1515" spans="1:6" x14ac:dyDescent="0.2">
      <c r="A1515" s="2" t="str">
        <f>"5997010302031"</f>
        <v>5997010302031</v>
      </c>
      <c r="B1515" s="1" t="s">
        <v>1512</v>
      </c>
      <c r="C1515" s="9" t="s">
        <v>3387</v>
      </c>
      <c r="D1515" s="6">
        <v>319.10000000000002</v>
      </c>
      <c r="F1515">
        <v>100</v>
      </c>
    </row>
    <row r="1516" spans="1:6" x14ac:dyDescent="0.2">
      <c r="A1516" s="2" t="str">
        <f>"5997010310753"</f>
        <v>5997010310753</v>
      </c>
      <c r="B1516" s="1" t="s">
        <v>1513</v>
      </c>
      <c r="C1516" s="9" t="s">
        <v>3374</v>
      </c>
      <c r="D1516" s="6">
        <v>377.33</v>
      </c>
      <c r="F1516">
        <v>100</v>
      </c>
    </row>
    <row r="1517" spans="1:6" x14ac:dyDescent="0.2">
      <c r="A1517" s="2" t="str">
        <f>"8934561000327"</f>
        <v>8934561000327</v>
      </c>
      <c r="B1517" s="1" t="s">
        <v>1514</v>
      </c>
      <c r="C1517" s="9" t="s">
        <v>3382</v>
      </c>
      <c r="D1517" s="6">
        <v>72</v>
      </c>
      <c r="F1517">
        <v>100</v>
      </c>
    </row>
    <row r="1518" spans="1:6" x14ac:dyDescent="0.2">
      <c r="A1518" s="2" t="str">
        <f>"8934561000310"</f>
        <v>8934561000310</v>
      </c>
      <c r="B1518" s="1" t="s">
        <v>1515</v>
      </c>
      <c r="C1518" s="9" t="s">
        <v>3382</v>
      </c>
      <c r="D1518" s="6">
        <v>72</v>
      </c>
      <c r="F1518">
        <v>100</v>
      </c>
    </row>
    <row r="1519" spans="1:6" x14ac:dyDescent="0.2">
      <c r="A1519" s="2" t="str">
        <f>"8934561000259"</f>
        <v>8934561000259</v>
      </c>
      <c r="B1519" s="1" t="s">
        <v>1516</v>
      </c>
      <c r="C1519" s="9" t="s">
        <v>3382</v>
      </c>
      <c r="D1519" s="6">
        <v>72</v>
      </c>
      <c r="F1519">
        <v>100</v>
      </c>
    </row>
    <row r="1520" spans="1:6" x14ac:dyDescent="0.2">
      <c r="A1520" s="2" t="str">
        <f>"8588003643018"</f>
        <v>8588003643018</v>
      </c>
      <c r="B1520" s="1" t="s">
        <v>1517</v>
      </c>
      <c r="C1520" s="9" t="s">
        <v>3382</v>
      </c>
      <c r="D1520" s="6">
        <v>67.2</v>
      </c>
      <c r="F1520">
        <v>100</v>
      </c>
    </row>
    <row r="1521" spans="1:6" x14ac:dyDescent="0.2">
      <c r="A1521" s="2" t="str">
        <f>"8692730508011"</f>
        <v>8692730508011</v>
      </c>
      <c r="B1521" s="1" t="s">
        <v>1518</v>
      </c>
      <c r="C1521" s="9" t="s">
        <v>3418</v>
      </c>
      <c r="D1521" s="6">
        <v>337.48</v>
      </c>
      <c r="F1521">
        <v>100</v>
      </c>
    </row>
    <row r="1522" spans="1:6" x14ac:dyDescent="0.2">
      <c r="A1522" s="2" t="str">
        <f>"8692730508042"</f>
        <v>8692730508042</v>
      </c>
      <c r="B1522" s="1" t="s">
        <v>1519</v>
      </c>
      <c r="C1522" s="9" t="s">
        <v>3418</v>
      </c>
      <c r="D1522" s="6">
        <v>339</v>
      </c>
      <c r="F1522">
        <v>100</v>
      </c>
    </row>
    <row r="1523" spans="1:6" x14ac:dyDescent="0.2">
      <c r="A1523" s="2" t="str">
        <f>"8718951137677"</f>
        <v>8718951137677</v>
      </c>
      <c r="B1523" s="1" t="s">
        <v>1520</v>
      </c>
      <c r="C1523" s="9" t="s">
        <v>3418</v>
      </c>
      <c r="D1523" s="6">
        <v>285</v>
      </c>
      <c r="F1523">
        <v>100</v>
      </c>
    </row>
    <row r="1524" spans="1:6" x14ac:dyDescent="0.2">
      <c r="A1524" s="2" t="str">
        <f>"8710447467336"</f>
        <v>8710447467336</v>
      </c>
      <c r="B1524" s="1" t="s">
        <v>1521</v>
      </c>
      <c r="C1524" s="9" t="s">
        <v>3418</v>
      </c>
      <c r="D1524" s="6">
        <v>340.67</v>
      </c>
      <c r="F1524">
        <v>100</v>
      </c>
    </row>
    <row r="1525" spans="1:6" x14ac:dyDescent="0.2">
      <c r="A1525" s="2" t="str">
        <f>"5011321360990"</f>
        <v>5011321360990</v>
      </c>
      <c r="B1525" s="1" t="s">
        <v>1522</v>
      </c>
      <c r="C1525" s="9" t="s">
        <v>3389</v>
      </c>
      <c r="D1525" s="6">
        <v>0</v>
      </c>
      <c r="F1525">
        <v>100</v>
      </c>
    </row>
    <row r="1526" spans="1:6" x14ac:dyDescent="0.2">
      <c r="A1526" s="2" t="str">
        <f>"5011321656390"</f>
        <v>5011321656390</v>
      </c>
      <c r="B1526" s="1" t="s">
        <v>1523</v>
      </c>
      <c r="C1526" s="9" t="s">
        <v>3389</v>
      </c>
      <c r="D1526" s="6">
        <v>0</v>
      </c>
      <c r="F1526">
        <v>100</v>
      </c>
    </row>
    <row r="1527" spans="1:6" x14ac:dyDescent="0.2">
      <c r="A1527" s="2" t="str">
        <f>"4005900042286"</f>
        <v>4005900042286</v>
      </c>
      <c r="B1527" s="1" t="s">
        <v>1524</v>
      </c>
      <c r="C1527" s="9" t="s">
        <v>3418</v>
      </c>
      <c r="D1527" s="6">
        <v>966.65</v>
      </c>
      <c r="F1527">
        <v>100</v>
      </c>
    </row>
    <row r="1528" spans="1:6" x14ac:dyDescent="0.2">
      <c r="A1528" s="2" t="str">
        <f>"8710679144821"</f>
        <v>8710679144821</v>
      </c>
      <c r="B1528" s="1" t="s">
        <v>1525</v>
      </c>
      <c r="C1528" s="9" t="s">
        <v>3398</v>
      </c>
      <c r="D1528" s="6">
        <v>371.59</v>
      </c>
      <c r="F1528">
        <v>100</v>
      </c>
    </row>
    <row r="1529" spans="1:6" x14ac:dyDescent="0.2">
      <c r="A1529" s="2" t="str">
        <f>"8710438158311"</f>
        <v>8710438158311</v>
      </c>
      <c r="B1529" s="1" t="s">
        <v>1526</v>
      </c>
      <c r="C1529" s="9" t="s">
        <v>3398</v>
      </c>
      <c r="D1529" s="6">
        <v>429.25</v>
      </c>
      <c r="F1529">
        <v>100</v>
      </c>
    </row>
    <row r="1530" spans="1:6" x14ac:dyDescent="0.2">
      <c r="A1530" s="2" t="str">
        <f>"5998372352146"</f>
        <v>5998372352146</v>
      </c>
      <c r="B1530" s="1" t="s">
        <v>1527</v>
      </c>
      <c r="C1530" s="9" t="s">
        <v>3398</v>
      </c>
      <c r="D1530" s="6">
        <v>304.24</v>
      </c>
      <c r="F1530">
        <v>100</v>
      </c>
    </row>
    <row r="1531" spans="1:6" x14ac:dyDescent="0.2">
      <c r="A1531" s="2" t="str">
        <f>"5998372356021"</f>
        <v>5998372356021</v>
      </c>
      <c r="B1531" s="1" t="s">
        <v>1528</v>
      </c>
      <c r="C1531" s="9" t="s">
        <v>3398</v>
      </c>
      <c r="D1531" s="6">
        <v>386.54</v>
      </c>
      <c r="F1531">
        <v>100</v>
      </c>
    </row>
    <row r="1532" spans="1:6" x14ac:dyDescent="0.2">
      <c r="A1532" s="2" t="str">
        <f>"5998372352009"</f>
        <v>5998372352009</v>
      </c>
      <c r="B1532" s="1" t="s">
        <v>1529</v>
      </c>
      <c r="C1532" s="9" t="s">
        <v>3398</v>
      </c>
      <c r="D1532" s="6">
        <v>215.82</v>
      </c>
      <c r="F1532">
        <v>100</v>
      </c>
    </row>
    <row r="1533" spans="1:6" x14ac:dyDescent="0.2">
      <c r="A1533" s="2" t="str">
        <f>"5905009021870"</f>
        <v>5905009021870</v>
      </c>
      <c r="B1533" s="1" t="s">
        <v>1530</v>
      </c>
      <c r="C1533" s="9" t="s">
        <v>3398</v>
      </c>
      <c r="D1533" s="6">
        <v>238.08</v>
      </c>
      <c r="F1533">
        <v>100</v>
      </c>
    </row>
    <row r="1534" spans="1:6" x14ac:dyDescent="0.2">
      <c r="A1534" s="2" t="str">
        <f>"5998372350319"</f>
        <v>5998372350319</v>
      </c>
      <c r="B1534" s="1" t="s">
        <v>1531</v>
      </c>
      <c r="C1534" s="9" t="s">
        <v>3398</v>
      </c>
      <c r="D1534" s="6">
        <v>1242.25</v>
      </c>
      <c r="F1534">
        <v>100</v>
      </c>
    </row>
    <row r="1535" spans="1:6" x14ac:dyDescent="0.2">
      <c r="A1535" s="2" t="str">
        <f>"5990076936073"</f>
        <v>5990076936073</v>
      </c>
      <c r="B1535" s="1" t="s">
        <v>1532</v>
      </c>
      <c r="C1535" s="9" t="s">
        <v>3398</v>
      </c>
      <c r="D1535" s="6">
        <v>602.04</v>
      </c>
      <c r="F1535">
        <v>100</v>
      </c>
    </row>
    <row r="1536" spans="1:6" x14ac:dyDescent="0.2">
      <c r="A1536" s="2" t="str">
        <f>"5998372352122"</f>
        <v>5998372352122</v>
      </c>
      <c r="B1536" s="1" t="s">
        <v>1533</v>
      </c>
      <c r="C1536" s="9" t="s">
        <v>3398</v>
      </c>
      <c r="D1536" s="6">
        <v>163.83000000000001</v>
      </c>
      <c r="F1536">
        <v>100</v>
      </c>
    </row>
    <row r="1537" spans="1:6" x14ac:dyDescent="0.2">
      <c r="A1537" s="2" t="str">
        <f>"5998372352023"</f>
        <v>5998372352023</v>
      </c>
      <c r="B1537" s="1" t="s">
        <v>1534</v>
      </c>
      <c r="C1537" s="9" t="s">
        <v>3398</v>
      </c>
      <c r="D1537" s="6">
        <v>211.13</v>
      </c>
      <c r="F1537">
        <v>100</v>
      </c>
    </row>
    <row r="1538" spans="1:6" x14ac:dyDescent="0.2">
      <c r="A1538" s="2" t="str">
        <f>"5998372352016"</f>
        <v>5998372352016</v>
      </c>
      <c r="B1538" s="1" t="s">
        <v>1535</v>
      </c>
      <c r="C1538" s="9" t="s">
        <v>3398</v>
      </c>
      <c r="D1538" s="6">
        <v>491.83</v>
      </c>
      <c r="F1538">
        <v>100</v>
      </c>
    </row>
    <row r="1539" spans="1:6" x14ac:dyDescent="0.2">
      <c r="A1539" s="2" t="str">
        <f>"5998202962910"</f>
        <v>5998202962910</v>
      </c>
      <c r="B1539" s="1" t="s">
        <v>1536</v>
      </c>
      <c r="C1539" s="9" t="s">
        <v>3400</v>
      </c>
      <c r="D1539" s="6">
        <v>830.58</v>
      </c>
      <c r="F1539">
        <v>100</v>
      </c>
    </row>
    <row r="1540" spans="1:6" x14ac:dyDescent="0.2">
      <c r="A1540" s="2" t="str">
        <f>"5999564521036"</f>
        <v>5999564521036</v>
      </c>
      <c r="B1540" s="1" t="s">
        <v>1537</v>
      </c>
      <c r="C1540" s="9" t="s">
        <v>3398</v>
      </c>
      <c r="D1540" s="6">
        <v>619.23</v>
      </c>
      <c r="F1540">
        <v>100</v>
      </c>
    </row>
    <row r="1541" spans="1:6" x14ac:dyDescent="0.2">
      <c r="A1541" s="2" t="str">
        <f>"5998372352047"</f>
        <v>5998372352047</v>
      </c>
      <c r="B1541" s="1" t="s">
        <v>1538</v>
      </c>
      <c r="C1541" s="9" t="s">
        <v>3398</v>
      </c>
      <c r="D1541" s="6">
        <v>195.58</v>
      </c>
      <c r="F1541">
        <v>100</v>
      </c>
    </row>
    <row r="1542" spans="1:6" x14ac:dyDescent="0.2">
      <c r="A1542" s="2" t="str">
        <f>"5998372356014"</f>
        <v>5998372356014</v>
      </c>
      <c r="B1542" s="1" t="s">
        <v>1539</v>
      </c>
      <c r="C1542" s="9" t="s">
        <v>3398</v>
      </c>
      <c r="D1542" s="6">
        <v>372.81</v>
      </c>
      <c r="F1542">
        <v>100</v>
      </c>
    </row>
    <row r="1543" spans="1:6" x14ac:dyDescent="0.2">
      <c r="A1543" s="2" t="str">
        <f>"8710679138110"</f>
        <v>8710679138110</v>
      </c>
      <c r="B1543" s="1" t="s">
        <v>1540</v>
      </c>
      <c r="C1543" s="9" t="s">
        <v>3398</v>
      </c>
      <c r="D1543" s="6">
        <v>306.45</v>
      </c>
      <c r="F1543">
        <v>100</v>
      </c>
    </row>
    <row r="1544" spans="1:6" x14ac:dyDescent="0.2">
      <c r="A1544" s="2" t="str">
        <f>"5998202960640"</f>
        <v>5998202960640</v>
      </c>
      <c r="B1544" s="1" t="s">
        <v>1541</v>
      </c>
      <c r="C1544" s="9" t="s">
        <v>3398</v>
      </c>
      <c r="D1544" s="6">
        <v>686.5</v>
      </c>
      <c r="F1544">
        <v>100</v>
      </c>
    </row>
    <row r="1545" spans="1:6" x14ac:dyDescent="0.2">
      <c r="A1545" s="2" t="str">
        <f>"5998372360141"</f>
        <v>5998372360141</v>
      </c>
      <c r="B1545" s="1" t="s">
        <v>1542</v>
      </c>
      <c r="C1545" s="9" t="s">
        <v>3398</v>
      </c>
      <c r="D1545" s="6">
        <v>1048.95</v>
      </c>
      <c r="F1545">
        <v>100</v>
      </c>
    </row>
    <row r="1546" spans="1:6" x14ac:dyDescent="0.2">
      <c r="A1546" s="2" t="str">
        <f>"5998301124493"</f>
        <v>5998301124493</v>
      </c>
      <c r="B1546" s="1" t="s">
        <v>1543</v>
      </c>
      <c r="C1546" s="9" t="s">
        <v>3400</v>
      </c>
      <c r="D1546" s="6">
        <v>200.78</v>
      </c>
      <c r="F1546">
        <v>100</v>
      </c>
    </row>
    <row r="1547" spans="1:6" x14ac:dyDescent="0.2">
      <c r="A1547" s="2" t="str">
        <f>"5995910715036"</f>
        <v>5995910715036</v>
      </c>
      <c r="B1547" s="1" t="s">
        <v>1544</v>
      </c>
      <c r="C1547" s="9" t="s">
        <v>3398</v>
      </c>
      <c r="D1547" s="6">
        <v>1009.57</v>
      </c>
      <c r="F1547">
        <v>100</v>
      </c>
    </row>
    <row r="1548" spans="1:6" x14ac:dyDescent="0.2">
      <c r="A1548" s="2" t="str">
        <f>"5901537004743"</f>
        <v>5901537004743</v>
      </c>
      <c r="B1548" s="1" t="s">
        <v>1545</v>
      </c>
      <c r="C1548" s="9" t="s">
        <v>3398</v>
      </c>
      <c r="D1548" s="6">
        <v>447.28</v>
      </c>
      <c r="F1548">
        <v>100</v>
      </c>
    </row>
    <row r="1549" spans="1:6" x14ac:dyDescent="0.2">
      <c r="A1549" s="2" t="str">
        <f>"5998372352078"</f>
        <v>5998372352078</v>
      </c>
      <c r="B1549" s="1" t="s">
        <v>1546</v>
      </c>
      <c r="C1549" s="9" t="s">
        <v>3398</v>
      </c>
      <c r="D1549" s="6">
        <v>240.09</v>
      </c>
      <c r="F1549">
        <v>100</v>
      </c>
    </row>
    <row r="1550" spans="1:6" x14ac:dyDescent="0.2">
      <c r="A1550" s="2" t="str">
        <f>"5901537004767"</f>
        <v>5901537004767</v>
      </c>
      <c r="B1550" s="1" t="s">
        <v>1547</v>
      </c>
      <c r="C1550" s="9" t="s">
        <v>3398</v>
      </c>
      <c r="D1550" s="6">
        <v>447.28</v>
      </c>
      <c r="F1550">
        <v>100</v>
      </c>
    </row>
    <row r="1551" spans="1:6" x14ac:dyDescent="0.2">
      <c r="A1551" s="2" t="str">
        <f>"9008135240729"</f>
        <v>9008135240729</v>
      </c>
      <c r="B1551" s="1" t="s">
        <v>1548</v>
      </c>
      <c r="C1551" s="9" t="s">
        <v>3398</v>
      </c>
      <c r="D1551" s="6">
        <v>304.76</v>
      </c>
      <c r="F1551">
        <v>100</v>
      </c>
    </row>
    <row r="1552" spans="1:6" x14ac:dyDescent="0.2">
      <c r="A1552" s="2" t="str">
        <f>"5998372351033"</f>
        <v>5998372351033</v>
      </c>
      <c r="B1552" s="1" t="s">
        <v>1549</v>
      </c>
      <c r="C1552" s="9" t="s">
        <v>3398</v>
      </c>
      <c r="D1552" s="6">
        <v>1365.87</v>
      </c>
      <c r="F1552">
        <v>100</v>
      </c>
    </row>
    <row r="1553" spans="1:6" x14ac:dyDescent="0.2">
      <c r="A1553" s="2" t="str">
        <f>"5999566241079"</f>
        <v>5999566241079</v>
      </c>
      <c r="B1553" s="1" t="s">
        <v>1550</v>
      </c>
      <c r="C1553" s="9" t="s">
        <v>3400</v>
      </c>
      <c r="D1553" s="6">
        <v>675.37</v>
      </c>
      <c r="F1553">
        <v>100</v>
      </c>
    </row>
    <row r="1554" spans="1:6" x14ac:dyDescent="0.2">
      <c r="A1554" s="2" t="str">
        <f>"8716794011109"</f>
        <v>8716794011109</v>
      </c>
      <c r="B1554" s="1" t="s">
        <v>1551</v>
      </c>
      <c r="C1554" s="9" t="s">
        <v>3398</v>
      </c>
      <c r="D1554" s="6">
        <v>799.26</v>
      </c>
      <c r="F1554">
        <v>100</v>
      </c>
    </row>
    <row r="1555" spans="1:6" x14ac:dyDescent="0.2">
      <c r="A1555" s="2" t="str">
        <f>"5998372360035"</f>
        <v>5998372360035</v>
      </c>
      <c r="B1555" s="1" t="s">
        <v>1552</v>
      </c>
      <c r="C1555" s="9" t="s">
        <v>3398</v>
      </c>
      <c r="D1555" s="6">
        <v>540.94000000000005</v>
      </c>
      <c r="F1555">
        <v>100</v>
      </c>
    </row>
    <row r="1556" spans="1:6" x14ac:dyDescent="0.2">
      <c r="A1556" s="2" t="str">
        <f>"5999564521029"</f>
        <v>5999564521029</v>
      </c>
      <c r="B1556" s="1" t="s">
        <v>1553</v>
      </c>
      <c r="C1556" s="9" t="s">
        <v>3398</v>
      </c>
      <c r="D1556" s="6">
        <v>626.16999999999996</v>
      </c>
      <c r="F1556">
        <v>100</v>
      </c>
    </row>
    <row r="1557" spans="1:6" x14ac:dyDescent="0.2">
      <c r="A1557" s="2" t="str">
        <f>"5998372353044"</f>
        <v>5998372353044</v>
      </c>
      <c r="B1557" s="1" t="s">
        <v>1554</v>
      </c>
      <c r="C1557" s="9" t="s">
        <v>3398</v>
      </c>
      <c r="D1557" s="6">
        <v>262.56</v>
      </c>
      <c r="F1557">
        <v>100</v>
      </c>
    </row>
    <row r="1558" spans="1:6" x14ac:dyDescent="0.2">
      <c r="A1558" s="2" t="str">
        <f>"8588002816048"</f>
        <v>8588002816048</v>
      </c>
      <c r="B1558" s="1" t="s">
        <v>1555</v>
      </c>
      <c r="C1558" s="9" t="s">
        <v>3398</v>
      </c>
      <c r="D1558" s="6">
        <v>222</v>
      </c>
      <c r="F1558">
        <v>100</v>
      </c>
    </row>
    <row r="1559" spans="1:6" x14ac:dyDescent="0.2">
      <c r="A1559" s="2" t="str">
        <f>"5998372354041"</f>
        <v>5998372354041</v>
      </c>
      <c r="B1559" s="1" t="s">
        <v>1556</v>
      </c>
      <c r="C1559" s="9" t="s">
        <v>3398</v>
      </c>
      <c r="D1559" s="6">
        <v>324.55</v>
      </c>
      <c r="F1559">
        <v>100</v>
      </c>
    </row>
    <row r="1560" spans="1:6" x14ac:dyDescent="0.2">
      <c r="A1560" s="2" t="str">
        <f>"5998372353051"</f>
        <v>5998372353051</v>
      </c>
      <c r="B1560" s="1" t="s">
        <v>1557</v>
      </c>
      <c r="C1560" s="9" t="s">
        <v>3398</v>
      </c>
      <c r="D1560" s="6">
        <v>245.35</v>
      </c>
      <c r="F1560">
        <v>100</v>
      </c>
    </row>
    <row r="1561" spans="1:6" x14ac:dyDescent="0.2">
      <c r="A1561" s="2" t="str">
        <f>"5998372350173"</f>
        <v>5998372350173</v>
      </c>
      <c r="B1561" s="1" t="s">
        <v>1558</v>
      </c>
      <c r="C1561" s="9" t="s">
        <v>3398</v>
      </c>
      <c r="D1561" s="6">
        <v>1084.45</v>
      </c>
      <c r="F1561">
        <v>100</v>
      </c>
    </row>
    <row r="1562" spans="1:6" x14ac:dyDescent="0.2">
      <c r="A1562" s="2" t="str">
        <f>"5998372353075"</f>
        <v>5998372353075</v>
      </c>
      <c r="B1562" s="1" t="s">
        <v>1559</v>
      </c>
      <c r="C1562" s="9" t="s">
        <v>3398</v>
      </c>
      <c r="D1562" s="6">
        <v>395.84</v>
      </c>
      <c r="F1562">
        <v>100</v>
      </c>
    </row>
    <row r="1563" spans="1:6" x14ac:dyDescent="0.2">
      <c r="A1563" s="2" t="str">
        <f>"5998372358018"</f>
        <v>5998372358018</v>
      </c>
      <c r="B1563" s="1" t="s">
        <v>1560</v>
      </c>
      <c r="C1563" s="9" t="s">
        <v>3398</v>
      </c>
      <c r="D1563" s="6">
        <v>272.55</v>
      </c>
      <c r="F1563">
        <v>100</v>
      </c>
    </row>
    <row r="1564" spans="1:6" x14ac:dyDescent="0.2">
      <c r="A1564" s="2" t="str">
        <f>"5995885702352"</f>
        <v>5995885702352</v>
      </c>
      <c r="B1564" s="1" t="s">
        <v>1561</v>
      </c>
      <c r="C1564" s="9" t="s">
        <v>3398</v>
      </c>
      <c r="D1564" s="6">
        <v>540.73</v>
      </c>
      <c r="F1564">
        <v>100</v>
      </c>
    </row>
    <row r="1565" spans="1:6" x14ac:dyDescent="0.2">
      <c r="A1565" s="2" t="str">
        <f>"5997888325378"</f>
        <v>5997888325378</v>
      </c>
      <c r="B1565" s="1" t="s">
        <v>1562</v>
      </c>
      <c r="C1565" s="9" t="s">
        <v>3398</v>
      </c>
      <c r="D1565" s="6">
        <v>626.64</v>
      </c>
      <c r="F1565">
        <v>100</v>
      </c>
    </row>
    <row r="1566" spans="1:6" x14ac:dyDescent="0.2">
      <c r="A1566" s="2" t="str">
        <f>"5998202960473"</f>
        <v>5998202960473</v>
      </c>
      <c r="B1566" s="1" t="s">
        <v>1563</v>
      </c>
      <c r="C1566" s="9" t="s">
        <v>3398</v>
      </c>
      <c r="D1566" s="6">
        <v>686.5</v>
      </c>
      <c r="F1566">
        <v>100</v>
      </c>
    </row>
    <row r="1567" spans="1:6" x14ac:dyDescent="0.2">
      <c r="A1567" s="2" t="str">
        <f>"5998372351040"</f>
        <v>5998372351040</v>
      </c>
      <c r="B1567" s="1" t="s">
        <v>1564</v>
      </c>
      <c r="C1567" s="9" t="s">
        <v>3398</v>
      </c>
      <c r="D1567" s="6">
        <v>1375.99</v>
      </c>
      <c r="F1567">
        <v>100</v>
      </c>
    </row>
    <row r="1568" spans="1:6" x14ac:dyDescent="0.2">
      <c r="A1568" s="2" t="str">
        <f>"5998202962927"</f>
        <v>5998202962927</v>
      </c>
      <c r="B1568" s="1" t="s">
        <v>1565</v>
      </c>
      <c r="C1568" s="9" t="s">
        <v>3400</v>
      </c>
      <c r="D1568" s="6">
        <v>986.64</v>
      </c>
      <c r="F1568">
        <v>100</v>
      </c>
    </row>
    <row r="1569" spans="1:6" x14ac:dyDescent="0.2">
      <c r="A1569" s="2" t="str">
        <f>"5998301121478"</f>
        <v>5998301121478</v>
      </c>
      <c r="B1569" s="1" t="s">
        <v>1566</v>
      </c>
      <c r="C1569" s="9" t="s">
        <v>3400</v>
      </c>
      <c r="D1569" s="6">
        <v>220.98</v>
      </c>
      <c r="F1569">
        <v>100</v>
      </c>
    </row>
    <row r="1570" spans="1:6" x14ac:dyDescent="0.2">
      <c r="A1570" s="2" t="str">
        <f>"5998301133662"</f>
        <v>5998301133662</v>
      </c>
      <c r="B1570" s="1" t="s">
        <v>1567</v>
      </c>
      <c r="C1570" s="9" t="s">
        <v>3400</v>
      </c>
      <c r="D1570" s="6">
        <v>192.16</v>
      </c>
      <c r="F1570">
        <v>100</v>
      </c>
    </row>
    <row r="1571" spans="1:6" x14ac:dyDescent="0.2">
      <c r="A1571" s="2" t="str">
        <f>"5998372352054"</f>
        <v>5998372352054</v>
      </c>
      <c r="B1571" s="1" t="s">
        <v>1568</v>
      </c>
      <c r="C1571" s="9" t="s">
        <v>3398</v>
      </c>
      <c r="D1571" s="6">
        <v>191.83</v>
      </c>
      <c r="F1571">
        <v>100</v>
      </c>
    </row>
    <row r="1572" spans="1:6" x14ac:dyDescent="0.2">
      <c r="A1572" s="2" t="str">
        <f>"5998372353006"</f>
        <v>5998372353006</v>
      </c>
      <c r="B1572" s="1" t="s">
        <v>1569</v>
      </c>
      <c r="C1572" s="9" t="s">
        <v>3398</v>
      </c>
      <c r="D1572" s="6">
        <v>399.61</v>
      </c>
      <c r="F1572">
        <v>100</v>
      </c>
    </row>
    <row r="1573" spans="1:6" x14ac:dyDescent="0.2">
      <c r="A1573" s="2" t="str">
        <f>"5998372352085"</f>
        <v>5998372352085</v>
      </c>
      <c r="B1573" s="1" t="s">
        <v>1570</v>
      </c>
      <c r="C1573" s="9" t="s">
        <v>3398</v>
      </c>
      <c r="D1573" s="6">
        <v>179.77</v>
      </c>
      <c r="F1573">
        <v>100</v>
      </c>
    </row>
    <row r="1574" spans="1:6" x14ac:dyDescent="0.2">
      <c r="A1574" s="2" t="str">
        <f>"8710679892302"</f>
        <v>8710679892302</v>
      </c>
      <c r="B1574" s="1" t="s">
        <v>1571</v>
      </c>
      <c r="C1574" s="9" t="s">
        <v>3398</v>
      </c>
      <c r="D1574" s="6">
        <v>318.25</v>
      </c>
      <c r="F1574">
        <v>100</v>
      </c>
    </row>
    <row r="1575" spans="1:6" x14ac:dyDescent="0.2">
      <c r="A1575" s="2" t="str">
        <f>"26           "</f>
        <v xml:space="preserve">26           </v>
      </c>
      <c r="B1575" s="1" t="s">
        <v>1572</v>
      </c>
      <c r="C1575" s="9" t="s">
        <v>3398</v>
      </c>
      <c r="D1575" s="6">
        <v>421.07</v>
      </c>
      <c r="F1575">
        <v>100</v>
      </c>
    </row>
    <row r="1576" spans="1:6" x14ac:dyDescent="0.2">
      <c r="A1576" s="2" t="str">
        <f>"5995885810767"</f>
        <v>5995885810767</v>
      </c>
      <c r="B1576" s="1" t="s">
        <v>1573</v>
      </c>
      <c r="C1576" s="9" t="s">
        <v>3398</v>
      </c>
      <c r="D1576" s="6">
        <v>318.52</v>
      </c>
      <c r="F1576">
        <v>100</v>
      </c>
    </row>
    <row r="1577" spans="1:6" x14ac:dyDescent="0.2">
      <c r="A1577" s="2" t="str">
        <f>"5997451300238"</f>
        <v>5997451300238</v>
      </c>
      <c r="B1577" s="1" t="s">
        <v>1574</v>
      </c>
      <c r="C1577" s="9" t="s">
        <v>3398</v>
      </c>
      <c r="D1577" s="6">
        <v>407.53</v>
      </c>
      <c r="F1577">
        <v>100</v>
      </c>
    </row>
    <row r="1578" spans="1:6" x14ac:dyDescent="0.2">
      <c r="A1578" s="2" t="str">
        <f>"5999882742281"</f>
        <v>5999882742281</v>
      </c>
      <c r="B1578" s="1" t="s">
        <v>1575</v>
      </c>
      <c r="C1578" s="9" t="s">
        <v>3398</v>
      </c>
      <c r="D1578" s="6">
        <v>529.57000000000005</v>
      </c>
      <c r="F1578">
        <v>100</v>
      </c>
    </row>
    <row r="1579" spans="1:6" x14ac:dyDescent="0.2">
      <c r="A1579" s="2" t="str">
        <f>"5990076936080"</f>
        <v>5990076936080</v>
      </c>
      <c r="B1579" s="1" t="s">
        <v>1576</v>
      </c>
      <c r="C1579" s="9" t="s">
        <v>3398</v>
      </c>
      <c r="D1579" s="6">
        <v>686.16</v>
      </c>
      <c r="F1579">
        <v>100</v>
      </c>
    </row>
    <row r="1580" spans="1:6" x14ac:dyDescent="0.2">
      <c r="A1580" s="2" t="str">
        <f>"5998501325027"</f>
        <v>5998501325027</v>
      </c>
      <c r="B1580" s="1" t="s">
        <v>1577</v>
      </c>
      <c r="C1580" s="9" t="s">
        <v>3419</v>
      </c>
      <c r="D1580" s="6">
        <v>199</v>
      </c>
      <c r="F1580">
        <v>100</v>
      </c>
    </row>
    <row r="1581" spans="1:6" x14ac:dyDescent="0.2">
      <c r="A1581" s="2" t="str">
        <f>"5999526830213"</f>
        <v>5999526830213</v>
      </c>
      <c r="B1581" s="1" t="s">
        <v>1578</v>
      </c>
      <c r="C1581" s="9" t="s">
        <v>3389</v>
      </c>
      <c r="D1581" s="6">
        <v>77.739999999999995</v>
      </c>
      <c r="F1581">
        <v>100</v>
      </c>
    </row>
    <row r="1582" spans="1:6" x14ac:dyDescent="0.2">
      <c r="A1582" s="2" t="str">
        <f>"5997587362292"</f>
        <v>5997587362292</v>
      </c>
      <c r="B1582" s="1" t="s">
        <v>1579</v>
      </c>
      <c r="C1582" s="9" t="s">
        <v>3376</v>
      </c>
      <c r="D1582" s="6">
        <v>125.89</v>
      </c>
      <c r="F1582">
        <v>100</v>
      </c>
    </row>
    <row r="1583" spans="1:6" x14ac:dyDescent="0.2">
      <c r="A1583" s="2" t="str">
        <f>"5997132505006"</f>
        <v>5997132505006</v>
      </c>
      <c r="B1583" s="1" t="s">
        <v>1580</v>
      </c>
      <c r="C1583" s="9" t="s">
        <v>3376</v>
      </c>
      <c r="D1583" s="6">
        <v>132.44999999999999</v>
      </c>
      <c r="F1583">
        <v>100</v>
      </c>
    </row>
    <row r="1584" spans="1:6" x14ac:dyDescent="0.2">
      <c r="A1584" s="2" t="str">
        <f>"5997003581139"</f>
        <v>5997003581139</v>
      </c>
      <c r="B1584" s="1" t="s">
        <v>1581</v>
      </c>
      <c r="C1584" s="9" t="s">
        <v>3376</v>
      </c>
      <c r="D1584" s="6">
        <v>479.44</v>
      </c>
      <c r="F1584">
        <v>100</v>
      </c>
    </row>
    <row r="1585" spans="1:6" x14ac:dyDescent="0.2">
      <c r="A1585" s="2" t="str">
        <f>"5998017555437"</f>
        <v>5998017555437</v>
      </c>
      <c r="B1585" s="1" t="s">
        <v>1582</v>
      </c>
      <c r="C1585" s="9" t="s">
        <v>3376</v>
      </c>
      <c r="D1585" s="6">
        <v>331.34</v>
      </c>
      <c r="F1585">
        <v>100</v>
      </c>
    </row>
    <row r="1586" spans="1:6" x14ac:dyDescent="0.2">
      <c r="A1586" s="2" t="str">
        <f>"5998400562240"</f>
        <v>5998400562240</v>
      </c>
      <c r="B1586" s="1" t="s">
        <v>1583</v>
      </c>
      <c r="C1586" s="9" t="s">
        <v>3376</v>
      </c>
      <c r="D1586" s="6">
        <v>189.89</v>
      </c>
      <c r="F1586">
        <v>100</v>
      </c>
    </row>
    <row r="1587" spans="1:6" x14ac:dyDescent="0.2">
      <c r="A1587" s="2" t="str">
        <f>"5998501340068"</f>
        <v>5998501340068</v>
      </c>
      <c r="B1587" s="1" t="s">
        <v>1584</v>
      </c>
      <c r="C1587" s="9" t="s">
        <v>3376</v>
      </c>
      <c r="D1587" s="6">
        <v>197.73</v>
      </c>
      <c r="F1587">
        <v>100</v>
      </c>
    </row>
    <row r="1588" spans="1:6" x14ac:dyDescent="0.2">
      <c r="A1588" s="2" t="str">
        <f>"5998017500987"</f>
        <v>5998017500987</v>
      </c>
      <c r="B1588" s="1" t="s">
        <v>1585</v>
      </c>
      <c r="C1588" s="9" t="s">
        <v>3419</v>
      </c>
      <c r="D1588" s="6">
        <v>339</v>
      </c>
      <c r="F1588">
        <v>100</v>
      </c>
    </row>
    <row r="1589" spans="1:6" x14ac:dyDescent="0.2">
      <c r="A1589" s="2" t="str">
        <f>"5999524035450"</f>
        <v>5999524035450</v>
      </c>
      <c r="B1589" s="1" t="s">
        <v>1586</v>
      </c>
      <c r="C1589" s="9" t="s">
        <v>3376</v>
      </c>
      <c r="D1589" s="6">
        <v>141.27000000000001</v>
      </c>
      <c r="F1589">
        <v>100</v>
      </c>
    </row>
    <row r="1590" spans="1:6" x14ac:dyDescent="0.2">
      <c r="A1590" s="2" t="str">
        <f>"8594006880664"</f>
        <v>8594006880664</v>
      </c>
      <c r="B1590" s="1" t="s">
        <v>1587</v>
      </c>
      <c r="C1590" s="9" t="s">
        <v>3382</v>
      </c>
      <c r="D1590" s="6">
        <v>139.19999999999999</v>
      </c>
      <c r="F1590">
        <v>100</v>
      </c>
    </row>
    <row r="1591" spans="1:6" x14ac:dyDescent="0.2">
      <c r="A1591" s="2" t="str">
        <f>"8595054904685"</f>
        <v>8595054904685</v>
      </c>
      <c r="B1591" s="1" t="s">
        <v>1588</v>
      </c>
      <c r="C1591" s="9" t="s">
        <v>3382</v>
      </c>
      <c r="D1591" s="6">
        <v>142.02000000000001</v>
      </c>
      <c r="F1591">
        <v>100</v>
      </c>
    </row>
    <row r="1592" spans="1:6" x14ac:dyDescent="0.2">
      <c r="A1592" s="2" t="str">
        <f>"5998017500291"</f>
        <v>5998017500291</v>
      </c>
      <c r="B1592" s="1" t="s">
        <v>1589</v>
      </c>
      <c r="C1592" s="9" t="s">
        <v>3376</v>
      </c>
      <c r="D1592" s="6">
        <v>388.36</v>
      </c>
      <c r="F1592">
        <v>100</v>
      </c>
    </row>
    <row r="1593" spans="1:6" x14ac:dyDescent="0.2">
      <c r="A1593" s="2" t="str">
        <f>"5995265865936"</f>
        <v>5995265865936</v>
      </c>
      <c r="B1593" s="1" t="s">
        <v>1590</v>
      </c>
      <c r="C1593" s="9" t="s">
        <v>3376</v>
      </c>
      <c r="D1593" s="6">
        <v>149.47</v>
      </c>
      <c r="F1593">
        <v>100</v>
      </c>
    </row>
    <row r="1594" spans="1:6" x14ac:dyDescent="0.2">
      <c r="A1594" s="2" t="str">
        <f>"5999524030103"</f>
        <v>5999524030103</v>
      </c>
      <c r="B1594" s="1" t="s">
        <v>1591</v>
      </c>
      <c r="C1594" s="9" t="s">
        <v>3376</v>
      </c>
      <c r="D1594" s="6">
        <v>131.26</v>
      </c>
      <c r="F1594">
        <v>100</v>
      </c>
    </row>
    <row r="1595" spans="1:6" x14ac:dyDescent="0.2">
      <c r="A1595" s="2" t="str">
        <f>"5998017555239"</f>
        <v>5998017555239</v>
      </c>
      <c r="B1595" s="1" t="s">
        <v>1592</v>
      </c>
      <c r="C1595" s="9" t="s">
        <v>3376</v>
      </c>
      <c r="D1595" s="6">
        <v>381.77</v>
      </c>
      <c r="F1595">
        <v>100</v>
      </c>
    </row>
    <row r="1596" spans="1:6" x14ac:dyDescent="0.2">
      <c r="A1596" s="2" t="str">
        <f>"5997576121046"</f>
        <v>5997576121046</v>
      </c>
      <c r="B1596" s="1" t="s">
        <v>1593</v>
      </c>
      <c r="C1596" s="9" t="s">
        <v>3376</v>
      </c>
      <c r="D1596" s="6">
        <v>115.33</v>
      </c>
      <c r="F1596">
        <v>100</v>
      </c>
    </row>
    <row r="1597" spans="1:6" x14ac:dyDescent="0.2">
      <c r="A1597" s="2" t="str">
        <f>"7613036401937"</f>
        <v>7613036401937</v>
      </c>
      <c r="B1597" s="1" t="s">
        <v>1594</v>
      </c>
      <c r="C1597" s="9" t="s">
        <v>3374</v>
      </c>
      <c r="D1597" s="6">
        <v>101.89</v>
      </c>
      <c r="F1597">
        <v>100</v>
      </c>
    </row>
    <row r="1598" spans="1:6" x14ac:dyDescent="0.2">
      <c r="A1598" s="2" t="str">
        <f>"5997003581108"</f>
        <v>5997003581108</v>
      </c>
      <c r="B1598" s="1" t="s">
        <v>1595</v>
      </c>
      <c r="C1598" s="9" t="s">
        <v>3376</v>
      </c>
      <c r="D1598" s="6">
        <v>956.84</v>
      </c>
      <c r="F1598">
        <v>100</v>
      </c>
    </row>
    <row r="1599" spans="1:6" x14ac:dyDescent="0.2">
      <c r="A1599" s="2" t="str">
        <f>"5998571525020"</f>
        <v>5998571525020</v>
      </c>
      <c r="B1599" s="1" t="s">
        <v>1596</v>
      </c>
      <c r="C1599" s="9" t="s">
        <v>3420</v>
      </c>
      <c r="D1599" s="6">
        <v>199</v>
      </c>
      <c r="F1599">
        <v>100</v>
      </c>
    </row>
    <row r="1600" spans="1:6" x14ac:dyDescent="0.2">
      <c r="A1600" s="2" t="str">
        <f>"5998571551142"</f>
        <v>5998571551142</v>
      </c>
      <c r="B1600" s="1" t="s">
        <v>1597</v>
      </c>
      <c r="C1600" s="9" t="s">
        <v>3376</v>
      </c>
      <c r="D1600" s="6">
        <v>176.28</v>
      </c>
      <c r="F1600">
        <v>100</v>
      </c>
    </row>
    <row r="1601" spans="1:6" x14ac:dyDescent="0.2">
      <c r="A1601" s="2" t="str">
        <f>"5998400562271"</f>
        <v>5998400562271</v>
      </c>
      <c r="B1601" s="1" t="s">
        <v>1598</v>
      </c>
      <c r="C1601" s="9" t="s">
        <v>3376</v>
      </c>
      <c r="D1601" s="6">
        <v>219.75</v>
      </c>
      <c r="F1601">
        <v>100</v>
      </c>
    </row>
    <row r="1602" spans="1:6" x14ac:dyDescent="0.2">
      <c r="A1602" s="2" t="str">
        <f>"5997465300033"</f>
        <v>5997465300033</v>
      </c>
      <c r="B1602" s="1" t="s">
        <v>1599</v>
      </c>
      <c r="C1602" s="9" t="s">
        <v>3374</v>
      </c>
      <c r="D1602" s="6">
        <v>177.56</v>
      </c>
      <c r="F1602">
        <v>100</v>
      </c>
    </row>
    <row r="1603" spans="1:6" x14ac:dyDescent="0.2">
      <c r="A1603" s="2" t="str">
        <f>"5998578130173"</f>
        <v>5998578130173</v>
      </c>
      <c r="B1603" s="1" t="s">
        <v>1600</v>
      </c>
      <c r="C1603" s="9" t="s">
        <v>3382</v>
      </c>
      <c r="D1603" s="6">
        <v>106.57</v>
      </c>
      <c r="F1603">
        <v>100</v>
      </c>
    </row>
    <row r="1604" spans="1:6" x14ac:dyDescent="0.2">
      <c r="A1604" s="2" t="str">
        <f>"5998400305830"</f>
        <v>5998400305830</v>
      </c>
      <c r="B1604" s="1" t="s">
        <v>1601</v>
      </c>
      <c r="C1604" s="9" t="s">
        <v>3374</v>
      </c>
      <c r="D1604" s="6">
        <v>286.2</v>
      </c>
      <c r="F1604">
        <v>100</v>
      </c>
    </row>
    <row r="1605" spans="1:6" x14ac:dyDescent="0.2">
      <c r="A1605" s="2" t="str">
        <f>"5998017555444"</f>
        <v>5998017555444</v>
      </c>
      <c r="B1605" s="1" t="s">
        <v>1602</v>
      </c>
      <c r="C1605" s="9" t="s">
        <v>3376</v>
      </c>
      <c r="D1605" s="6">
        <v>638.64</v>
      </c>
      <c r="F1605">
        <v>100</v>
      </c>
    </row>
    <row r="1606" spans="1:6" x14ac:dyDescent="0.2">
      <c r="A1606" s="2" t="str">
        <f>"9001411222006"</f>
        <v>9001411222006</v>
      </c>
      <c r="B1606" s="1" t="s">
        <v>1603</v>
      </c>
      <c r="C1606" s="9" t="s">
        <v>3375</v>
      </c>
      <c r="D1606" s="6">
        <v>160.31</v>
      </c>
      <c r="F1606">
        <v>100</v>
      </c>
    </row>
    <row r="1607" spans="1:6" x14ac:dyDescent="0.2">
      <c r="A1607" s="2" t="str">
        <f>"5999525681113"</f>
        <v>5999525681113</v>
      </c>
      <c r="B1607" s="1" t="s">
        <v>1604</v>
      </c>
      <c r="C1607" s="9" t="s">
        <v>3374</v>
      </c>
      <c r="D1607" s="6">
        <v>280.33</v>
      </c>
      <c r="F1607">
        <v>100</v>
      </c>
    </row>
    <row r="1608" spans="1:6" x14ac:dyDescent="0.2">
      <c r="A1608" s="2" t="str">
        <f>"5999885485161"</f>
        <v>5999885485161</v>
      </c>
      <c r="B1608" s="1" t="s">
        <v>1605</v>
      </c>
      <c r="C1608" s="9" t="s">
        <v>3375</v>
      </c>
      <c r="D1608" s="6">
        <v>123.83</v>
      </c>
      <c r="F1608">
        <v>100</v>
      </c>
    </row>
    <row r="1609" spans="1:6" x14ac:dyDescent="0.2">
      <c r="A1609" s="2" t="str">
        <f>"8594006880701"</f>
        <v>8594006880701</v>
      </c>
      <c r="B1609" s="1" t="s">
        <v>1606</v>
      </c>
      <c r="C1609" s="9" t="s">
        <v>3382</v>
      </c>
      <c r="D1609" s="6">
        <v>180.56</v>
      </c>
      <c r="F1609">
        <v>100</v>
      </c>
    </row>
    <row r="1610" spans="1:6" x14ac:dyDescent="0.2">
      <c r="A1610" s="2" t="str">
        <f>"5997587361073"</f>
        <v>5997587361073</v>
      </c>
      <c r="B1610" s="1" t="s">
        <v>1607</v>
      </c>
      <c r="C1610" s="9" t="s">
        <v>3376</v>
      </c>
      <c r="D1610" s="6">
        <v>153.19999999999999</v>
      </c>
      <c r="F1610">
        <v>100</v>
      </c>
    </row>
    <row r="1611" spans="1:6" x14ac:dyDescent="0.2">
      <c r="A1611" s="2" t="str">
        <f>"5998324142047"</f>
        <v>5998324142047</v>
      </c>
      <c r="B1611" s="1" t="s">
        <v>1608</v>
      </c>
      <c r="C1611" s="9" t="s">
        <v>3376</v>
      </c>
      <c r="D1611" s="6">
        <v>297.86</v>
      </c>
      <c r="F1611">
        <v>100</v>
      </c>
    </row>
    <row r="1612" spans="1:6" x14ac:dyDescent="0.2">
      <c r="A1612" s="2" t="str">
        <f>"5997576121039"</f>
        <v>5997576121039</v>
      </c>
      <c r="B1612" s="1" t="s">
        <v>1609</v>
      </c>
      <c r="C1612" s="9" t="s">
        <v>3376</v>
      </c>
      <c r="D1612" s="6">
        <v>120</v>
      </c>
      <c r="F1612">
        <v>100</v>
      </c>
    </row>
    <row r="1613" spans="1:6" x14ac:dyDescent="0.2">
      <c r="A1613" s="2" t="str">
        <f>"5997708300721"</f>
        <v>5997708300721</v>
      </c>
      <c r="B1613" s="1" t="s">
        <v>1610</v>
      </c>
      <c r="C1613" s="9" t="s">
        <v>3375</v>
      </c>
      <c r="D1613" s="6">
        <v>234.09</v>
      </c>
      <c r="F1613">
        <v>100</v>
      </c>
    </row>
    <row r="1614" spans="1:6" x14ac:dyDescent="0.2">
      <c r="A1614" s="2" t="str">
        <f>"9001397501492"</f>
        <v>9001397501492</v>
      </c>
      <c r="B1614" s="1" t="s">
        <v>1611</v>
      </c>
      <c r="C1614" s="9" t="s">
        <v>3375</v>
      </c>
      <c r="D1614" s="6">
        <v>536.64</v>
      </c>
      <c r="F1614">
        <v>100</v>
      </c>
    </row>
    <row r="1615" spans="1:6" x14ac:dyDescent="0.2">
      <c r="A1615" s="2" t="str">
        <f>"4038700118097"</f>
        <v>4038700118097</v>
      </c>
      <c r="B1615" s="1" t="s">
        <v>1612</v>
      </c>
      <c r="C1615" s="9" t="s">
        <v>3374</v>
      </c>
      <c r="D1615" s="6">
        <v>409.79</v>
      </c>
      <c r="F1615">
        <v>100</v>
      </c>
    </row>
    <row r="1616" spans="1:6" x14ac:dyDescent="0.2">
      <c r="A1616" s="2" t="str">
        <f>"5998501351057"</f>
        <v>5998501351057</v>
      </c>
      <c r="B1616" s="1" t="s">
        <v>1613</v>
      </c>
      <c r="C1616" s="9" t="s">
        <v>3376</v>
      </c>
      <c r="D1616" s="6">
        <v>175.81</v>
      </c>
      <c r="F1616">
        <v>100</v>
      </c>
    </row>
    <row r="1617" spans="1:6" x14ac:dyDescent="0.2">
      <c r="A1617" s="2" t="str">
        <f>"8594004494498"</f>
        <v>8594004494498</v>
      </c>
      <c r="B1617" s="1" t="s">
        <v>1614</v>
      </c>
      <c r="C1617" s="9" t="s">
        <v>3374</v>
      </c>
      <c r="D1617" s="6">
        <v>134.84</v>
      </c>
      <c r="F1617">
        <v>100</v>
      </c>
    </row>
    <row r="1618" spans="1:6" x14ac:dyDescent="0.2">
      <c r="A1618" s="2" t="str">
        <f>"5997465300798"</f>
        <v>5997465300798</v>
      </c>
      <c r="B1618" s="1" t="s">
        <v>1615</v>
      </c>
      <c r="C1618" s="9" t="s">
        <v>3374</v>
      </c>
      <c r="D1618" s="6">
        <v>247.29</v>
      </c>
      <c r="F1618">
        <v>100</v>
      </c>
    </row>
    <row r="1619" spans="1:6" x14ac:dyDescent="0.2">
      <c r="A1619" s="2" t="str">
        <f>"5998143111910"</f>
        <v>5998143111910</v>
      </c>
      <c r="B1619" s="1" t="s">
        <v>1616</v>
      </c>
      <c r="C1619" s="9" t="s">
        <v>3374</v>
      </c>
      <c r="D1619" s="6">
        <v>150.36000000000001</v>
      </c>
      <c r="F1619">
        <v>100</v>
      </c>
    </row>
    <row r="1620" spans="1:6" x14ac:dyDescent="0.2">
      <c r="A1620" s="2" t="str">
        <f>"9001372000491"</f>
        <v>9001372000491</v>
      </c>
      <c r="B1620" s="1" t="s">
        <v>1617</v>
      </c>
      <c r="C1620" s="9" t="s">
        <v>3376</v>
      </c>
      <c r="D1620" s="6">
        <v>133.81</v>
      </c>
      <c r="F1620">
        <v>100</v>
      </c>
    </row>
    <row r="1621" spans="1:6" x14ac:dyDescent="0.2">
      <c r="A1621" s="2" t="str">
        <f>"5999524033920"</f>
        <v>5999524033920</v>
      </c>
      <c r="B1621" s="1" t="s">
        <v>1618</v>
      </c>
      <c r="C1621" s="9" t="s">
        <v>3376</v>
      </c>
      <c r="D1621" s="6">
        <v>337.93</v>
      </c>
      <c r="F1621">
        <v>100</v>
      </c>
    </row>
    <row r="1622" spans="1:6" x14ac:dyDescent="0.2">
      <c r="A1622" s="2" t="str">
        <f>"5998428700013"</f>
        <v>5998428700013</v>
      </c>
      <c r="B1622" s="1" t="s">
        <v>1619</v>
      </c>
      <c r="C1622" s="9" t="s">
        <v>3376</v>
      </c>
      <c r="D1622" s="6">
        <v>288.94</v>
      </c>
      <c r="F1622">
        <v>100</v>
      </c>
    </row>
    <row r="1623" spans="1:6" x14ac:dyDescent="0.2">
      <c r="A1623" s="2" t="str">
        <f>"5997381359511"</f>
        <v>5997381359511</v>
      </c>
      <c r="B1623" s="1" t="s">
        <v>1620</v>
      </c>
      <c r="C1623" s="9" t="s">
        <v>3374</v>
      </c>
      <c r="D1623" s="6">
        <v>233.25</v>
      </c>
      <c r="F1623">
        <v>100</v>
      </c>
    </row>
    <row r="1624" spans="1:6" x14ac:dyDescent="0.2">
      <c r="A1624" s="2" t="str">
        <f>"5997381359504"</f>
        <v>5997381359504</v>
      </c>
      <c r="B1624" s="1" t="s">
        <v>1621</v>
      </c>
      <c r="C1624" s="9" t="s">
        <v>3375</v>
      </c>
      <c r="D1624" s="6">
        <v>250.94</v>
      </c>
      <c r="F1624">
        <v>100</v>
      </c>
    </row>
    <row r="1625" spans="1:6" x14ac:dyDescent="0.2">
      <c r="A1625" s="2" t="str">
        <f>"8595054904449"</f>
        <v>8595054904449</v>
      </c>
      <c r="B1625" s="1" t="s">
        <v>1622</v>
      </c>
      <c r="C1625" s="9" t="s">
        <v>3382</v>
      </c>
      <c r="D1625" s="6">
        <v>123.84</v>
      </c>
      <c r="F1625">
        <v>100</v>
      </c>
    </row>
    <row r="1626" spans="1:6" x14ac:dyDescent="0.2">
      <c r="A1626" s="2" t="str">
        <f>"5201050111042"</f>
        <v>5201050111042</v>
      </c>
      <c r="B1626" s="1" t="s">
        <v>1623</v>
      </c>
      <c r="C1626" s="9" t="s">
        <v>3374</v>
      </c>
      <c r="D1626" s="6">
        <v>192.04</v>
      </c>
      <c r="F1626">
        <v>100</v>
      </c>
    </row>
    <row r="1627" spans="1:6" x14ac:dyDescent="0.2">
      <c r="A1627" s="2" t="str">
        <f>"5999538093071"</f>
        <v>5999538093071</v>
      </c>
      <c r="B1627" s="1" t="s">
        <v>1624</v>
      </c>
      <c r="C1627" s="9" t="s">
        <v>3374</v>
      </c>
      <c r="D1627" s="6">
        <v>192.51</v>
      </c>
      <c r="F1627">
        <v>100</v>
      </c>
    </row>
    <row r="1628" spans="1:6" x14ac:dyDescent="0.2">
      <c r="A1628" s="2" t="str">
        <f>"8594004495815"</f>
        <v>8594004495815</v>
      </c>
      <c r="B1628" s="1" t="s">
        <v>1625</v>
      </c>
      <c r="C1628" s="9" t="s">
        <v>3374</v>
      </c>
      <c r="D1628" s="6">
        <v>280.33</v>
      </c>
      <c r="F1628">
        <v>100</v>
      </c>
    </row>
    <row r="1629" spans="1:6" x14ac:dyDescent="0.2">
      <c r="A1629" s="2" t="str">
        <f>"8585002483454"</f>
        <v>8585002483454</v>
      </c>
      <c r="B1629" s="1" t="s">
        <v>1626</v>
      </c>
      <c r="C1629" s="9" t="s">
        <v>3374</v>
      </c>
      <c r="D1629" s="6">
        <v>364.87</v>
      </c>
      <c r="F1629">
        <v>100</v>
      </c>
    </row>
    <row r="1630" spans="1:6" x14ac:dyDescent="0.2">
      <c r="A1630" s="2" t="str">
        <f>"5997975319976"</f>
        <v>5997975319976</v>
      </c>
      <c r="B1630" s="1" t="s">
        <v>1627</v>
      </c>
      <c r="C1630" s="9" t="s">
        <v>3388</v>
      </c>
      <c r="D1630" s="6">
        <v>295</v>
      </c>
      <c r="F1630">
        <v>100</v>
      </c>
    </row>
    <row r="1631" spans="1:6" x14ac:dyDescent="0.2">
      <c r="A1631" s="2" t="str">
        <f>"5997505310282"</f>
        <v>5997505310282</v>
      </c>
      <c r="B1631" s="1" t="s">
        <v>1628</v>
      </c>
      <c r="C1631" s="9" t="s">
        <v>3374</v>
      </c>
      <c r="D1631" s="6">
        <v>103.09</v>
      </c>
      <c r="F1631">
        <v>100</v>
      </c>
    </row>
    <row r="1632" spans="1:6" x14ac:dyDescent="0.2">
      <c r="A1632" s="2" t="str">
        <f>"9001880931140"</f>
        <v>9001880931140</v>
      </c>
      <c r="B1632" s="1" t="s">
        <v>1629</v>
      </c>
      <c r="C1632" s="9" t="s">
        <v>3376</v>
      </c>
      <c r="D1632" s="6">
        <v>171.75</v>
      </c>
      <c r="F1632">
        <v>100</v>
      </c>
    </row>
    <row r="1633" spans="1:6" x14ac:dyDescent="0.2">
      <c r="A1633" s="2" t="str">
        <f>"5997003583034"</f>
        <v>5997003583034</v>
      </c>
      <c r="B1633" s="1" t="s">
        <v>1630</v>
      </c>
      <c r="C1633" s="9" t="s">
        <v>3376</v>
      </c>
      <c r="D1633" s="6">
        <v>490.81</v>
      </c>
      <c r="F1633">
        <v>100</v>
      </c>
    </row>
    <row r="1634" spans="1:6" x14ac:dyDescent="0.2">
      <c r="A1634" s="2" t="str">
        <f>"5998428700020"</f>
        <v>5998428700020</v>
      </c>
      <c r="B1634" s="1" t="s">
        <v>1631</v>
      </c>
      <c r="C1634" s="9" t="s">
        <v>3376</v>
      </c>
      <c r="D1634" s="6">
        <v>313.10000000000002</v>
      </c>
      <c r="F1634">
        <v>100</v>
      </c>
    </row>
    <row r="1635" spans="1:6" x14ac:dyDescent="0.2">
      <c r="A1635" s="2" t="str">
        <f>"5997490121108"</f>
        <v>5997490121108</v>
      </c>
      <c r="B1635" s="1" t="s">
        <v>1632</v>
      </c>
      <c r="C1635" s="9" t="s">
        <v>3376</v>
      </c>
      <c r="D1635" s="6">
        <v>168.2</v>
      </c>
      <c r="F1635">
        <v>100</v>
      </c>
    </row>
    <row r="1636" spans="1:6" x14ac:dyDescent="0.2">
      <c r="A1636" s="2" t="str">
        <f>"5999524032732"</f>
        <v>5999524032732</v>
      </c>
      <c r="B1636" s="1" t="s">
        <v>1633</v>
      </c>
      <c r="C1636" s="9" t="s">
        <v>3376</v>
      </c>
      <c r="D1636" s="6">
        <v>1060.77</v>
      </c>
      <c r="F1636">
        <v>100</v>
      </c>
    </row>
    <row r="1637" spans="1:6" x14ac:dyDescent="0.2">
      <c r="A1637" s="2" t="str">
        <f>"5997975343124"</f>
        <v>5997975343124</v>
      </c>
      <c r="B1637" s="1" t="s">
        <v>1634</v>
      </c>
      <c r="C1637" s="9" t="s">
        <v>3376</v>
      </c>
      <c r="D1637" s="6">
        <v>333.25</v>
      </c>
      <c r="F1637">
        <v>100</v>
      </c>
    </row>
    <row r="1638" spans="1:6" x14ac:dyDescent="0.2">
      <c r="A1638" s="2" t="str">
        <f>"5999524033012"</f>
        <v>5999524033012</v>
      </c>
      <c r="B1638" s="1" t="s">
        <v>1635</v>
      </c>
      <c r="C1638" s="9" t="s">
        <v>3376</v>
      </c>
      <c r="D1638" s="6">
        <v>624.03</v>
      </c>
      <c r="F1638">
        <v>100</v>
      </c>
    </row>
    <row r="1639" spans="1:6" x14ac:dyDescent="0.2">
      <c r="A1639" s="2" t="str">
        <f>"5997381356428"</f>
        <v>5997381356428</v>
      </c>
      <c r="B1639" s="1" t="s">
        <v>1636</v>
      </c>
      <c r="C1639" s="9" t="s">
        <v>3374</v>
      </c>
      <c r="D1639" s="6">
        <v>218.58</v>
      </c>
      <c r="F1639">
        <v>100</v>
      </c>
    </row>
    <row r="1640" spans="1:6" x14ac:dyDescent="0.2">
      <c r="A1640" s="2" t="str">
        <f>"5997753500299"</f>
        <v>5997753500299</v>
      </c>
      <c r="B1640" s="1" t="s">
        <v>1637</v>
      </c>
      <c r="C1640" s="9" t="s">
        <v>3376</v>
      </c>
      <c r="D1640" s="6">
        <v>138.43</v>
      </c>
      <c r="F1640">
        <v>100</v>
      </c>
    </row>
    <row r="1641" spans="1:6" x14ac:dyDescent="0.2">
      <c r="A1641" s="2" t="str">
        <f>"5997003581122"</f>
        <v>5997003581122</v>
      </c>
      <c r="B1641" s="1" t="s">
        <v>1638</v>
      </c>
      <c r="C1641" s="9" t="s">
        <v>3376</v>
      </c>
      <c r="D1641" s="6">
        <v>529.04</v>
      </c>
      <c r="F1641">
        <v>100</v>
      </c>
    </row>
    <row r="1642" spans="1:6" x14ac:dyDescent="0.2">
      <c r="A1642" s="2" t="str">
        <f>"5997956700977"</f>
        <v>5997956700977</v>
      </c>
      <c r="B1642" s="1" t="s">
        <v>1639</v>
      </c>
      <c r="C1642" s="9" t="s">
        <v>3417</v>
      </c>
      <c r="D1642" s="6">
        <v>255.99</v>
      </c>
      <c r="F1642">
        <v>100</v>
      </c>
    </row>
    <row r="1643" spans="1:6" x14ac:dyDescent="0.2">
      <c r="A1643" s="2" t="str">
        <f>"5997956700632"</f>
        <v>5997956700632</v>
      </c>
      <c r="B1643" s="1" t="s">
        <v>1640</v>
      </c>
      <c r="C1643" s="9" t="s">
        <v>3417</v>
      </c>
      <c r="D1643" s="6">
        <v>111</v>
      </c>
      <c r="F1643">
        <v>100</v>
      </c>
    </row>
    <row r="1644" spans="1:6" x14ac:dyDescent="0.2">
      <c r="A1644" s="2" t="str">
        <f>"8594004491107"</f>
        <v>8594004491107</v>
      </c>
      <c r="B1644" s="1" t="s">
        <v>1641</v>
      </c>
      <c r="C1644" s="9" t="s">
        <v>3375</v>
      </c>
      <c r="D1644" s="6">
        <v>254.4</v>
      </c>
      <c r="F1644">
        <v>100</v>
      </c>
    </row>
    <row r="1645" spans="1:6" x14ac:dyDescent="0.2">
      <c r="A1645" s="2" t="str">
        <f>"7613036827270"</f>
        <v>7613036827270</v>
      </c>
      <c r="B1645" s="1" t="s">
        <v>1642</v>
      </c>
      <c r="C1645" s="9" t="s">
        <v>3374</v>
      </c>
      <c r="D1645" s="6">
        <v>96.02</v>
      </c>
      <c r="F1645">
        <v>100</v>
      </c>
    </row>
    <row r="1646" spans="1:6" x14ac:dyDescent="0.2">
      <c r="A1646" s="2" t="str">
        <f>"7613036407038"</f>
        <v>7613036407038</v>
      </c>
      <c r="B1646" s="1" t="s">
        <v>1643</v>
      </c>
      <c r="C1646" s="9" t="s">
        <v>3374</v>
      </c>
      <c r="D1646" s="6">
        <v>98.62</v>
      </c>
      <c r="F1646">
        <v>100</v>
      </c>
    </row>
    <row r="1647" spans="1:6" x14ac:dyDescent="0.2">
      <c r="A1647" s="2" t="str">
        <f>"8585002484215"</f>
        <v>8585002484215</v>
      </c>
      <c r="B1647" s="1" t="s">
        <v>1644</v>
      </c>
      <c r="C1647" s="9" t="s">
        <v>3374</v>
      </c>
      <c r="D1647" s="6">
        <v>367.64</v>
      </c>
      <c r="F1647">
        <v>100</v>
      </c>
    </row>
    <row r="1648" spans="1:6" x14ac:dyDescent="0.2">
      <c r="A1648" s="2" t="str">
        <f>"8585002483478"</f>
        <v>8585002483478</v>
      </c>
      <c r="B1648" s="1" t="s">
        <v>1645</v>
      </c>
      <c r="C1648" s="9" t="s">
        <v>3374</v>
      </c>
      <c r="D1648" s="6">
        <v>366.15</v>
      </c>
      <c r="F1648">
        <v>100</v>
      </c>
    </row>
    <row r="1649" spans="1:6" x14ac:dyDescent="0.2">
      <c r="A1649" s="2" t="str">
        <f>"5997465370159"</f>
        <v>5997465370159</v>
      </c>
      <c r="B1649" s="1" t="s">
        <v>1646</v>
      </c>
      <c r="C1649" s="9" t="s">
        <v>3374</v>
      </c>
      <c r="D1649" s="6">
        <v>244.99</v>
      </c>
      <c r="F1649">
        <v>100</v>
      </c>
    </row>
    <row r="1650" spans="1:6" x14ac:dyDescent="0.2">
      <c r="A1650" s="2" t="str">
        <f>"5999860299059"</f>
        <v>5999860299059</v>
      </c>
      <c r="B1650" s="1" t="s">
        <v>1647</v>
      </c>
      <c r="C1650" s="9" t="s">
        <v>3376</v>
      </c>
      <c r="D1650" s="6">
        <v>186.79</v>
      </c>
      <c r="F1650">
        <v>100</v>
      </c>
    </row>
    <row r="1651" spans="1:6" x14ac:dyDescent="0.2">
      <c r="A1651" s="2" t="str">
        <f>"5999881300529"</f>
        <v>5999881300529</v>
      </c>
      <c r="B1651" s="1" t="s">
        <v>1648</v>
      </c>
      <c r="C1651" s="9" t="s">
        <v>3376</v>
      </c>
      <c r="D1651" s="6">
        <v>141.11000000000001</v>
      </c>
      <c r="F1651">
        <v>100</v>
      </c>
    </row>
    <row r="1652" spans="1:6" x14ac:dyDescent="0.2">
      <c r="A1652" s="2" t="str">
        <f>"8586014352240"</f>
        <v>8586014352240</v>
      </c>
      <c r="B1652" s="1" t="s">
        <v>1649</v>
      </c>
      <c r="C1652" s="9" t="s">
        <v>3374</v>
      </c>
      <c r="D1652" s="6">
        <v>25.13</v>
      </c>
      <c r="F1652">
        <v>100</v>
      </c>
    </row>
    <row r="1653" spans="1:6" x14ac:dyDescent="0.2">
      <c r="A1653" s="2" t="str">
        <f>"5997010309085"</f>
        <v>5997010309085</v>
      </c>
      <c r="B1653" s="1" t="s">
        <v>1650</v>
      </c>
      <c r="C1653" s="9" t="s">
        <v>3387</v>
      </c>
      <c r="D1653" s="6">
        <v>430.48</v>
      </c>
      <c r="F1653">
        <v>100</v>
      </c>
    </row>
    <row r="1654" spans="1:6" x14ac:dyDescent="0.2">
      <c r="A1654" s="2" t="str">
        <f>"9001880931164"</f>
        <v>9001880931164</v>
      </c>
      <c r="B1654" s="1" t="s">
        <v>1651</v>
      </c>
      <c r="C1654" s="9" t="s">
        <v>3376</v>
      </c>
      <c r="D1654" s="6">
        <v>187.08</v>
      </c>
      <c r="F1654">
        <v>100</v>
      </c>
    </row>
    <row r="1655" spans="1:6" x14ac:dyDescent="0.2">
      <c r="A1655" s="2" t="str">
        <f>"9001458065260"</f>
        <v>9001458065260</v>
      </c>
      <c r="B1655" s="1" t="s">
        <v>1652</v>
      </c>
      <c r="C1655" s="9" t="s">
        <v>3376</v>
      </c>
      <c r="D1655" s="6">
        <v>509.53</v>
      </c>
      <c r="F1655">
        <v>100</v>
      </c>
    </row>
    <row r="1656" spans="1:6" x14ac:dyDescent="0.2">
      <c r="A1656" s="2" t="str">
        <f>"5997975348570"</f>
        <v>5997975348570</v>
      </c>
      <c r="B1656" s="1" t="s">
        <v>1653</v>
      </c>
      <c r="C1656" s="9" t="s">
        <v>3376</v>
      </c>
      <c r="D1656" s="6">
        <v>290.81</v>
      </c>
      <c r="F1656">
        <v>100</v>
      </c>
    </row>
    <row r="1657" spans="1:6" x14ac:dyDescent="0.2">
      <c r="A1657" s="2" t="str">
        <f>"9001372000507"</f>
        <v>9001372000507</v>
      </c>
      <c r="B1657" s="1" t="s">
        <v>1654</v>
      </c>
      <c r="C1657" s="9" t="s">
        <v>3382</v>
      </c>
      <c r="D1657" s="6">
        <v>132.5</v>
      </c>
      <c r="F1657">
        <v>100</v>
      </c>
    </row>
    <row r="1658" spans="1:6" x14ac:dyDescent="0.2">
      <c r="A1658" s="2" t="str">
        <f>"5999038509256"</f>
        <v>5999038509256</v>
      </c>
      <c r="B1658" s="1" t="s">
        <v>1655</v>
      </c>
      <c r="C1658" s="9" t="s">
        <v>3376</v>
      </c>
      <c r="D1658" s="6">
        <v>88.57</v>
      </c>
      <c r="F1658">
        <v>100</v>
      </c>
    </row>
    <row r="1659" spans="1:6" x14ac:dyDescent="0.2">
      <c r="A1659" s="2" t="str">
        <f>"5907707058837"</f>
        <v>5907707058837</v>
      </c>
      <c r="B1659" s="1" t="s">
        <v>1656</v>
      </c>
      <c r="C1659" s="9" t="s">
        <v>3374</v>
      </c>
      <c r="D1659" s="6">
        <v>183.34</v>
      </c>
      <c r="F1659">
        <v>100</v>
      </c>
    </row>
    <row r="1660" spans="1:6" x14ac:dyDescent="0.2">
      <c r="A1660" s="2" t="str">
        <f>"5997381366175"</f>
        <v>5997381366175</v>
      </c>
      <c r="B1660" s="1" t="s">
        <v>1657</v>
      </c>
      <c r="C1660" s="9" t="s">
        <v>3374</v>
      </c>
      <c r="D1660" s="6">
        <v>218.2</v>
      </c>
      <c r="F1660">
        <v>100</v>
      </c>
    </row>
    <row r="1661" spans="1:6" x14ac:dyDescent="0.2">
      <c r="A1661" s="2" t="str">
        <f>"8594012795471"</f>
        <v>8594012795471</v>
      </c>
      <c r="B1661" s="1" t="s">
        <v>1658</v>
      </c>
      <c r="C1661" s="9" t="s">
        <v>3374</v>
      </c>
      <c r="D1661" s="6">
        <v>1348.63</v>
      </c>
      <c r="F1661">
        <v>100</v>
      </c>
    </row>
    <row r="1662" spans="1:6" x14ac:dyDescent="0.2">
      <c r="A1662" s="2" t="str">
        <f>"8711200405879"</f>
        <v>8711200405879</v>
      </c>
      <c r="B1662" s="1" t="s">
        <v>1659</v>
      </c>
      <c r="C1662" s="9" t="s">
        <v>3374</v>
      </c>
      <c r="D1662" s="6">
        <v>469</v>
      </c>
      <c r="F1662">
        <v>100</v>
      </c>
    </row>
    <row r="1663" spans="1:6" x14ac:dyDescent="0.2">
      <c r="A1663" s="2" t="str">
        <f>"5997010310869"</f>
        <v>5997010310869</v>
      </c>
      <c r="B1663" s="1" t="s">
        <v>1660</v>
      </c>
      <c r="C1663" s="9" t="s">
        <v>3374</v>
      </c>
      <c r="D1663" s="6">
        <v>293.91000000000003</v>
      </c>
      <c r="F1663">
        <v>100</v>
      </c>
    </row>
    <row r="1664" spans="1:6" x14ac:dyDescent="0.2">
      <c r="A1664" s="2" t="str">
        <f>"5997010310876"</f>
        <v>5997010310876</v>
      </c>
      <c r="B1664" s="1" t="s">
        <v>1661</v>
      </c>
      <c r="C1664" s="9" t="s">
        <v>3374</v>
      </c>
      <c r="D1664" s="6">
        <v>270.64</v>
      </c>
      <c r="F1664">
        <v>100</v>
      </c>
    </row>
    <row r="1665" spans="1:6" x14ac:dyDescent="0.2">
      <c r="A1665" s="2" t="str">
        <f>"4038700118066"</f>
        <v>4038700118066</v>
      </c>
      <c r="B1665" s="1" t="s">
        <v>1662</v>
      </c>
      <c r="C1665" s="9" t="s">
        <v>3374</v>
      </c>
      <c r="D1665" s="6">
        <v>412.25</v>
      </c>
      <c r="F1665">
        <v>100</v>
      </c>
    </row>
    <row r="1666" spans="1:6" x14ac:dyDescent="0.2">
      <c r="A1666" s="2" t="str">
        <f>"8594004495013"</f>
        <v>8594004495013</v>
      </c>
      <c r="B1666" s="1" t="s">
        <v>1663</v>
      </c>
      <c r="C1666" s="9" t="s">
        <v>3374</v>
      </c>
      <c r="D1666" s="6">
        <v>173.19</v>
      </c>
      <c r="F1666">
        <v>100</v>
      </c>
    </row>
    <row r="1667" spans="1:6" x14ac:dyDescent="0.2">
      <c r="A1667" s="2" t="str">
        <f>"8594004496133"</f>
        <v>8594004496133</v>
      </c>
      <c r="B1667" s="1" t="s">
        <v>1664</v>
      </c>
      <c r="C1667" s="9" t="s">
        <v>3374</v>
      </c>
      <c r="D1667" s="6">
        <v>212.43</v>
      </c>
      <c r="F1667">
        <v>100</v>
      </c>
    </row>
    <row r="1668" spans="1:6" x14ac:dyDescent="0.2">
      <c r="A1668" s="2" t="str">
        <f>"8585002483799"</f>
        <v>8585002483799</v>
      </c>
      <c r="B1668" s="1" t="s">
        <v>1665</v>
      </c>
      <c r="C1668" s="9" t="s">
        <v>3374</v>
      </c>
      <c r="D1668" s="6">
        <v>367.64</v>
      </c>
      <c r="F1668">
        <v>100</v>
      </c>
    </row>
    <row r="1669" spans="1:6" x14ac:dyDescent="0.2">
      <c r="A1669" s="2" t="str">
        <f>"5998035100268"</f>
        <v>5998035100268</v>
      </c>
      <c r="B1669" s="1" t="s">
        <v>1666</v>
      </c>
      <c r="C1669" s="9" t="s">
        <v>3382</v>
      </c>
      <c r="D1669" s="6">
        <v>709.44</v>
      </c>
      <c r="F1669">
        <v>100</v>
      </c>
    </row>
    <row r="1670" spans="1:6" x14ac:dyDescent="0.2">
      <c r="A1670" s="2" t="str">
        <f>"5998400562400"</f>
        <v>5998400562400</v>
      </c>
      <c r="B1670" s="1" t="s">
        <v>1667</v>
      </c>
      <c r="C1670" s="9" t="s">
        <v>3376</v>
      </c>
      <c r="D1670" s="6">
        <v>217.11</v>
      </c>
      <c r="F1670">
        <v>100</v>
      </c>
    </row>
    <row r="1671" spans="1:6" x14ac:dyDescent="0.2">
      <c r="A1671" s="2" t="str">
        <f>"5201050600263"</f>
        <v>5201050600263</v>
      </c>
      <c r="B1671" s="1" t="s">
        <v>1668</v>
      </c>
      <c r="C1671" s="9" t="s">
        <v>3375</v>
      </c>
      <c r="D1671" s="6">
        <v>152.63999999999999</v>
      </c>
      <c r="F1671">
        <v>100</v>
      </c>
    </row>
    <row r="1672" spans="1:6" x14ac:dyDescent="0.2">
      <c r="A1672" s="2" t="str">
        <f>"8586001080446"</f>
        <v>8586001080446</v>
      </c>
      <c r="B1672" s="1" t="s">
        <v>1669</v>
      </c>
      <c r="C1672" s="9" t="s">
        <v>3389</v>
      </c>
      <c r="D1672" s="6">
        <v>138.77000000000001</v>
      </c>
      <c r="F1672">
        <v>100</v>
      </c>
    </row>
    <row r="1673" spans="1:6" x14ac:dyDescent="0.2">
      <c r="A1673" s="2" t="str">
        <f>"5997465300354"</f>
        <v>5997465300354</v>
      </c>
      <c r="B1673" s="1" t="s">
        <v>1670</v>
      </c>
      <c r="C1673" s="9" t="s">
        <v>3374</v>
      </c>
      <c r="D1673" s="6">
        <v>149.44</v>
      </c>
      <c r="F1673">
        <v>100</v>
      </c>
    </row>
    <row r="1674" spans="1:6" x14ac:dyDescent="0.2">
      <c r="A1674" s="2" t="str">
        <f>"5997465370142"</f>
        <v>5997465370142</v>
      </c>
      <c r="B1674" s="1" t="s">
        <v>1671</v>
      </c>
      <c r="C1674" s="9" t="s">
        <v>3374</v>
      </c>
      <c r="D1674" s="6">
        <v>261.27</v>
      </c>
      <c r="F1674">
        <v>100</v>
      </c>
    </row>
    <row r="1675" spans="1:6" x14ac:dyDescent="0.2">
      <c r="A1675" s="2" t="str">
        <f>"5997465370128"</f>
        <v>5997465370128</v>
      </c>
      <c r="B1675" s="1" t="s">
        <v>1672</v>
      </c>
      <c r="C1675" s="9" t="s">
        <v>3374</v>
      </c>
      <c r="D1675" s="6">
        <v>202.73</v>
      </c>
      <c r="F1675">
        <v>100</v>
      </c>
    </row>
    <row r="1676" spans="1:6" x14ac:dyDescent="0.2">
      <c r="A1676" s="2" t="str">
        <f>"5997505310237"</f>
        <v>5997505310237</v>
      </c>
      <c r="B1676" s="1" t="s">
        <v>1673</v>
      </c>
      <c r="C1676" s="9" t="s">
        <v>3374</v>
      </c>
      <c r="D1676" s="6">
        <v>94.49</v>
      </c>
      <c r="F1676">
        <v>100</v>
      </c>
    </row>
    <row r="1677" spans="1:6" x14ac:dyDescent="0.2">
      <c r="A1677" s="2" t="str">
        <f>"8001860239953"</f>
        <v>8001860239953</v>
      </c>
      <c r="B1677" s="1" t="s">
        <v>1674</v>
      </c>
      <c r="C1677" s="9" t="s">
        <v>3376</v>
      </c>
      <c r="D1677" s="6">
        <v>292.14</v>
      </c>
      <c r="F1677">
        <v>100</v>
      </c>
    </row>
    <row r="1678" spans="1:6" x14ac:dyDescent="0.2">
      <c r="A1678" s="2" t="str">
        <f>"5999860299141"</f>
        <v>5999860299141</v>
      </c>
      <c r="B1678" s="1" t="s">
        <v>1675</v>
      </c>
      <c r="C1678" s="9" t="s">
        <v>3376</v>
      </c>
      <c r="D1678" s="6">
        <v>191.8</v>
      </c>
      <c r="F1678">
        <v>100</v>
      </c>
    </row>
    <row r="1679" spans="1:6" x14ac:dyDescent="0.2">
      <c r="A1679" s="2" t="str">
        <f>"5410673800039"</f>
        <v>5410673800039</v>
      </c>
      <c r="B1679" s="1" t="s">
        <v>1676</v>
      </c>
      <c r="C1679" s="9" t="s">
        <v>3376</v>
      </c>
      <c r="D1679" s="6">
        <v>321.43</v>
      </c>
      <c r="F1679">
        <v>100</v>
      </c>
    </row>
    <row r="1680" spans="1:6" x14ac:dyDescent="0.2">
      <c r="A1680" s="2" t="str">
        <f>"5998571570433"</f>
        <v>5998571570433</v>
      </c>
      <c r="B1680" s="1" t="s">
        <v>1677</v>
      </c>
      <c r="C1680" s="9" t="s">
        <v>3376</v>
      </c>
      <c r="D1680" s="6">
        <v>184.16</v>
      </c>
      <c r="F1680">
        <v>100</v>
      </c>
    </row>
    <row r="1681" spans="1:6" x14ac:dyDescent="0.2">
      <c r="A1681" s="2" t="str">
        <f>"5900020007315"</f>
        <v>5900020007315</v>
      </c>
      <c r="B1681" s="1" t="s">
        <v>1678</v>
      </c>
      <c r="C1681" s="9" t="s">
        <v>3374</v>
      </c>
      <c r="D1681" s="6">
        <v>402.55</v>
      </c>
      <c r="F1681">
        <v>100</v>
      </c>
    </row>
    <row r="1682" spans="1:6" x14ac:dyDescent="0.2">
      <c r="A1682" s="2" t="str">
        <f>"6932802418759"</f>
        <v>6932802418759</v>
      </c>
      <c r="B1682" s="1" t="s">
        <v>1679</v>
      </c>
      <c r="C1682" s="9" t="s">
        <v>3389</v>
      </c>
      <c r="D1682" s="6">
        <v>0</v>
      </c>
      <c r="F1682">
        <v>100</v>
      </c>
    </row>
    <row r="1683" spans="1:6" x14ac:dyDescent="0.2">
      <c r="A1683" s="2" t="str">
        <f>"6            "</f>
        <v xml:space="preserve">6            </v>
      </c>
      <c r="B1683" s="1" t="s">
        <v>1680</v>
      </c>
      <c r="C1683" s="9" t="s">
        <v>3390</v>
      </c>
      <c r="D1683" s="6">
        <v>1</v>
      </c>
      <c r="F1683">
        <v>100</v>
      </c>
    </row>
    <row r="1684" spans="1:6" x14ac:dyDescent="0.2">
      <c r="A1684" s="2" t="str">
        <f>"1000         "</f>
        <v xml:space="preserve">1000         </v>
      </c>
      <c r="B1684" s="1" t="s">
        <v>1681</v>
      </c>
      <c r="C1684" s="9" t="s">
        <v>3390</v>
      </c>
      <c r="D1684" s="6">
        <v>4</v>
      </c>
      <c r="F1684">
        <v>100</v>
      </c>
    </row>
    <row r="1685" spans="1:6" x14ac:dyDescent="0.2">
      <c r="A1685" s="2" t="str">
        <f>"59911463     "</f>
        <v xml:space="preserve">59911463     </v>
      </c>
      <c r="B1685" s="1" t="s">
        <v>1682</v>
      </c>
      <c r="C1685" s="9" t="s">
        <v>3376</v>
      </c>
      <c r="D1685" s="6">
        <v>10.68</v>
      </c>
      <c r="F1685">
        <v>100</v>
      </c>
    </row>
    <row r="1686" spans="1:6" x14ac:dyDescent="0.2">
      <c r="A1686" s="2" t="str">
        <f>"5999887323058"</f>
        <v>5999887323058</v>
      </c>
      <c r="B1686" s="1" t="s">
        <v>1683</v>
      </c>
      <c r="C1686" s="9" t="s">
        <v>3389</v>
      </c>
      <c r="D1686" s="6">
        <v>0</v>
      </c>
      <c r="F1686">
        <v>100</v>
      </c>
    </row>
    <row r="1687" spans="1:6" x14ac:dyDescent="0.2">
      <c r="A1687" s="2" t="str">
        <f>"5999561860008"</f>
        <v>5999561860008</v>
      </c>
      <c r="B1687" s="1" t="s">
        <v>1684</v>
      </c>
      <c r="C1687" s="9" t="s">
        <v>3389</v>
      </c>
      <c r="D1687" s="6">
        <v>177.8</v>
      </c>
      <c r="F1687">
        <v>100</v>
      </c>
    </row>
    <row r="1688" spans="1:6" x14ac:dyDescent="0.2">
      <c r="A1688" s="2" t="str">
        <f>"5997842508168"</f>
        <v>5997842508168</v>
      </c>
      <c r="B1688" s="1" t="s">
        <v>1685</v>
      </c>
      <c r="C1688" s="9" t="s">
        <v>3379</v>
      </c>
      <c r="D1688" s="6">
        <v>134.58000000000001</v>
      </c>
      <c r="F1688">
        <v>100</v>
      </c>
    </row>
    <row r="1689" spans="1:6" x14ac:dyDescent="0.2">
      <c r="A1689" s="2" t="str">
        <f>"1237         "</f>
        <v xml:space="preserve">1237         </v>
      </c>
      <c r="B1689" s="1" t="s">
        <v>1686</v>
      </c>
      <c r="C1689" s="9" t="s">
        <v>3421</v>
      </c>
      <c r="D1689" s="6">
        <v>10.01</v>
      </c>
      <c r="F1689">
        <v>100</v>
      </c>
    </row>
    <row r="1690" spans="1:6" x14ac:dyDescent="0.2">
      <c r="A1690" s="2" t="str">
        <f>"5997515010097"</f>
        <v>5997515010097</v>
      </c>
      <c r="B1690" s="1" t="s">
        <v>1687</v>
      </c>
      <c r="C1690" s="9" t="s">
        <v>3410</v>
      </c>
      <c r="D1690" s="6">
        <v>113.16</v>
      </c>
      <c r="F1690">
        <v>100</v>
      </c>
    </row>
    <row r="1691" spans="1:6" x14ac:dyDescent="0.2">
      <c r="A1691" s="2" t="str">
        <f>"1261         "</f>
        <v xml:space="preserve">1261         </v>
      </c>
      <c r="B1691" s="1" t="s">
        <v>1688</v>
      </c>
      <c r="C1691" s="9" t="s">
        <v>3410</v>
      </c>
      <c r="D1691" s="6">
        <v>5.32</v>
      </c>
      <c r="F1691">
        <v>100</v>
      </c>
    </row>
    <row r="1692" spans="1:6" x14ac:dyDescent="0.2">
      <c r="A1692" s="2" t="str">
        <f>"4026700366907"</f>
        <v>4026700366907</v>
      </c>
      <c r="B1692" s="1" t="s">
        <v>1689</v>
      </c>
      <c r="C1692" s="9" t="s">
        <v>3380</v>
      </c>
      <c r="D1692" s="6">
        <v>252.73</v>
      </c>
      <c r="F1692">
        <v>100</v>
      </c>
    </row>
    <row r="1693" spans="1:6" x14ac:dyDescent="0.2">
      <c r="A1693" s="2" t="str">
        <f>"5999887323027"</f>
        <v>5999887323027</v>
      </c>
      <c r="B1693" s="1" t="s">
        <v>1690</v>
      </c>
      <c r="C1693" s="9" t="s">
        <v>3389</v>
      </c>
      <c r="D1693" s="6">
        <v>0</v>
      </c>
      <c r="F1693">
        <v>100</v>
      </c>
    </row>
    <row r="1694" spans="1:6" x14ac:dyDescent="0.2">
      <c r="A1694" s="2" t="str">
        <f>"6970041951903"</f>
        <v>6970041951903</v>
      </c>
      <c r="B1694" s="1" t="s">
        <v>1691</v>
      </c>
      <c r="C1694" s="9" t="s">
        <v>3389</v>
      </c>
      <c r="D1694" s="6">
        <v>184.15</v>
      </c>
      <c r="F1694">
        <v>100</v>
      </c>
    </row>
    <row r="1695" spans="1:6" x14ac:dyDescent="0.2">
      <c r="A1695" s="2" t="str">
        <f>"1260         "</f>
        <v xml:space="preserve">1260         </v>
      </c>
      <c r="B1695" s="1" t="s">
        <v>1692</v>
      </c>
      <c r="C1695" s="9" t="s">
        <v>3410</v>
      </c>
      <c r="D1695" s="6">
        <v>3.59</v>
      </c>
      <c r="F1695">
        <v>100</v>
      </c>
    </row>
    <row r="1696" spans="1:6" x14ac:dyDescent="0.2">
      <c r="A1696" s="2" t="str">
        <f>"5999561860152"</f>
        <v>5999561860152</v>
      </c>
      <c r="B1696" s="1" t="s">
        <v>1693</v>
      </c>
      <c r="C1696" s="9" t="s">
        <v>3389</v>
      </c>
      <c r="D1696" s="6">
        <v>107.95</v>
      </c>
      <c r="F1696">
        <v>100</v>
      </c>
    </row>
    <row r="1697" spans="1:6" x14ac:dyDescent="0.2">
      <c r="A1697" s="2" t="str">
        <f>"5999548884423"</f>
        <v>5999548884423</v>
      </c>
      <c r="B1697" s="1" t="s">
        <v>1694</v>
      </c>
      <c r="C1697" s="9" t="s">
        <v>3418</v>
      </c>
      <c r="D1697" s="6">
        <v>30.68</v>
      </c>
      <c r="F1697">
        <v>100</v>
      </c>
    </row>
    <row r="1698" spans="1:6" x14ac:dyDescent="0.2">
      <c r="A1698" s="2" t="str">
        <f>"5997844301033"</f>
        <v>5997844301033</v>
      </c>
      <c r="B1698" s="1" t="s">
        <v>1695</v>
      </c>
      <c r="C1698" s="9" t="s">
        <v>3379</v>
      </c>
      <c r="D1698" s="6">
        <v>109.99</v>
      </c>
      <c r="F1698">
        <v>100</v>
      </c>
    </row>
    <row r="1699" spans="1:6" x14ac:dyDescent="0.2">
      <c r="A1699" s="2" t="str">
        <f>"5997844301019"</f>
        <v>5997844301019</v>
      </c>
      <c r="B1699" s="1" t="s">
        <v>1696</v>
      </c>
      <c r="C1699" s="9" t="s">
        <v>3421</v>
      </c>
      <c r="D1699" s="6">
        <v>109.89</v>
      </c>
      <c r="F1699">
        <v>100</v>
      </c>
    </row>
    <row r="1700" spans="1:6" x14ac:dyDescent="0.2">
      <c r="A1700" s="2" t="str">
        <f>"5998624102949"</f>
        <v>5998624102949</v>
      </c>
      <c r="B1700" s="1" t="s">
        <v>1697</v>
      </c>
      <c r="C1700" s="9" t="s">
        <v>3421</v>
      </c>
      <c r="D1700" s="6">
        <v>136.86000000000001</v>
      </c>
      <c r="F1700">
        <v>100</v>
      </c>
    </row>
    <row r="1701" spans="1:6" x14ac:dyDescent="0.2">
      <c r="A1701" s="2" t="str">
        <f>"8013656001163"</f>
        <v>8013656001163</v>
      </c>
      <c r="B1701" s="1" t="s">
        <v>1698</v>
      </c>
      <c r="C1701" s="9" t="s">
        <v>3421</v>
      </c>
      <c r="D1701" s="6">
        <v>185</v>
      </c>
      <c r="F1701">
        <v>100</v>
      </c>
    </row>
    <row r="1702" spans="1:6" x14ac:dyDescent="0.2">
      <c r="A1702" s="2" t="str">
        <f>"8013656211005"</f>
        <v>8013656211005</v>
      </c>
      <c r="B1702" s="1" t="s">
        <v>1699</v>
      </c>
      <c r="C1702" s="9" t="s">
        <v>3421</v>
      </c>
      <c r="D1702" s="6">
        <v>119.99</v>
      </c>
      <c r="F1702">
        <v>100</v>
      </c>
    </row>
    <row r="1703" spans="1:6" x14ac:dyDescent="0.2">
      <c r="A1703" s="2" t="str">
        <f>"5999883955710"</f>
        <v>5999883955710</v>
      </c>
      <c r="B1703" s="1" t="s">
        <v>1700</v>
      </c>
      <c r="C1703" s="9" t="s">
        <v>3376</v>
      </c>
      <c r="D1703" s="6">
        <v>356.29</v>
      </c>
      <c r="F1703">
        <v>100</v>
      </c>
    </row>
    <row r="1704" spans="1:6" x14ac:dyDescent="0.2">
      <c r="A1704" s="2" t="str">
        <f>"5998624102741"</f>
        <v>5998624102741</v>
      </c>
      <c r="B1704" s="1" t="s">
        <v>1701</v>
      </c>
      <c r="C1704" s="9" t="s">
        <v>3421</v>
      </c>
      <c r="D1704" s="6">
        <v>151.33000000000001</v>
      </c>
      <c r="F1704">
        <v>100</v>
      </c>
    </row>
    <row r="1705" spans="1:6" x14ac:dyDescent="0.2">
      <c r="A1705" s="2" t="str">
        <f>"5997412759020"</f>
        <v>5997412759020</v>
      </c>
      <c r="B1705" s="1" t="s">
        <v>1702</v>
      </c>
      <c r="C1705" s="9" t="s">
        <v>3380</v>
      </c>
      <c r="D1705" s="6">
        <v>65.19</v>
      </c>
      <c r="F1705">
        <v>100</v>
      </c>
    </row>
    <row r="1706" spans="1:6" x14ac:dyDescent="0.2">
      <c r="A1706" s="2" t="str">
        <f>"8595159802428"</f>
        <v>8595159802428</v>
      </c>
      <c r="B1706" s="1" t="s">
        <v>1703</v>
      </c>
      <c r="C1706" s="9" t="s">
        <v>3380</v>
      </c>
      <c r="D1706" s="6">
        <v>100.33</v>
      </c>
      <c r="F1706">
        <v>100</v>
      </c>
    </row>
    <row r="1707" spans="1:6" x14ac:dyDescent="0.2">
      <c r="A1707" s="2" t="str">
        <f>"5997844301040"</f>
        <v>5997844301040</v>
      </c>
      <c r="B1707" s="1" t="s">
        <v>1704</v>
      </c>
      <c r="C1707" s="9" t="s">
        <v>3379</v>
      </c>
      <c r="D1707" s="6">
        <v>109.99</v>
      </c>
      <c r="F1707">
        <v>100</v>
      </c>
    </row>
    <row r="1708" spans="1:6" x14ac:dyDescent="0.2">
      <c r="A1708" s="2" t="str">
        <f>"5997842532019"</f>
        <v>5997842532019</v>
      </c>
      <c r="B1708" s="1" t="s">
        <v>1705</v>
      </c>
      <c r="C1708" s="9" t="s">
        <v>3421</v>
      </c>
      <c r="D1708" s="6">
        <v>130.01</v>
      </c>
      <c r="F1708">
        <v>100</v>
      </c>
    </row>
    <row r="1709" spans="1:6" x14ac:dyDescent="0.2">
      <c r="A1709" s="2" t="str">
        <f>"6948122308694"</f>
        <v>6948122308694</v>
      </c>
      <c r="B1709" s="1" t="s">
        <v>1706</v>
      </c>
      <c r="C1709" s="9" t="s">
        <v>3389</v>
      </c>
      <c r="D1709" s="6">
        <v>0</v>
      </c>
      <c r="F1709">
        <v>100</v>
      </c>
    </row>
    <row r="1710" spans="1:6" x14ac:dyDescent="0.2">
      <c r="A1710" s="2" t="str">
        <f>"6948122308014"</f>
        <v>6948122308014</v>
      </c>
      <c r="B1710" s="1" t="s">
        <v>1707</v>
      </c>
      <c r="C1710" s="9" t="s">
        <v>3389</v>
      </c>
      <c r="D1710" s="6">
        <v>0</v>
      </c>
      <c r="F1710">
        <v>100</v>
      </c>
    </row>
    <row r="1711" spans="1:6" x14ac:dyDescent="0.2">
      <c r="A1711" s="2" t="str">
        <f>"5998624102871"</f>
        <v>5998624102871</v>
      </c>
      <c r="B1711" s="1" t="s">
        <v>1708</v>
      </c>
      <c r="C1711" s="9" t="s">
        <v>3421</v>
      </c>
      <c r="D1711" s="6">
        <v>273.99</v>
      </c>
      <c r="F1711">
        <v>100</v>
      </c>
    </row>
    <row r="1712" spans="1:6" x14ac:dyDescent="0.2">
      <c r="A1712" s="2" t="str">
        <f>"5997515102617"</f>
        <v>5997515102617</v>
      </c>
      <c r="B1712" s="1" t="s">
        <v>1709</v>
      </c>
      <c r="C1712" s="9" t="s">
        <v>3410</v>
      </c>
      <c r="D1712" s="6">
        <v>72.58</v>
      </c>
      <c r="F1712">
        <v>100</v>
      </c>
    </row>
    <row r="1713" spans="1:6" x14ac:dyDescent="0.2">
      <c r="A1713" s="2" t="str">
        <f>"8414034603427"</f>
        <v>8414034603427</v>
      </c>
      <c r="B1713" s="1" t="s">
        <v>1710</v>
      </c>
      <c r="C1713" s="9" t="s">
        <v>3410</v>
      </c>
      <c r="D1713" s="6">
        <v>40.64</v>
      </c>
      <c r="F1713">
        <v>100</v>
      </c>
    </row>
    <row r="1714" spans="1:6" x14ac:dyDescent="0.2">
      <c r="A1714" s="2" t="str">
        <f>"5904345000433"</f>
        <v>5904345000433</v>
      </c>
      <c r="B1714" s="1" t="s">
        <v>1711</v>
      </c>
      <c r="C1714" s="9" t="s">
        <v>3421</v>
      </c>
      <c r="D1714" s="6">
        <v>182.55</v>
      </c>
      <c r="F1714">
        <v>100</v>
      </c>
    </row>
    <row r="1715" spans="1:6" x14ac:dyDescent="0.2">
      <c r="A1715" s="2" t="str">
        <f>"4901660143877"</f>
        <v>4901660143877</v>
      </c>
      <c r="B1715" s="1" t="s">
        <v>1712</v>
      </c>
      <c r="C1715" s="9" t="s">
        <v>3380</v>
      </c>
      <c r="D1715" s="6">
        <v>115.81</v>
      </c>
      <c r="F1715">
        <v>100</v>
      </c>
    </row>
    <row r="1716" spans="1:6" x14ac:dyDescent="0.2">
      <c r="A1716" s="2" t="str">
        <f>"4901660143181"</f>
        <v>4901660143181</v>
      </c>
      <c r="B1716" s="1" t="s">
        <v>1713</v>
      </c>
      <c r="C1716" s="9" t="s">
        <v>3380</v>
      </c>
      <c r="D1716" s="6">
        <v>548.99</v>
      </c>
      <c r="F1716">
        <v>100</v>
      </c>
    </row>
    <row r="1717" spans="1:6" x14ac:dyDescent="0.2">
      <c r="A1717" s="2" t="str">
        <f>"4901660143129"</f>
        <v>4901660143129</v>
      </c>
      <c r="B1717" s="1" t="s">
        <v>1714</v>
      </c>
      <c r="C1717" s="9" t="s">
        <v>3380</v>
      </c>
      <c r="D1717" s="6">
        <v>543.04</v>
      </c>
      <c r="F1717">
        <v>100</v>
      </c>
    </row>
    <row r="1718" spans="1:6" x14ac:dyDescent="0.2">
      <c r="A1718" s="2" t="str">
        <f>"6941328422744"</f>
        <v>6941328422744</v>
      </c>
      <c r="B1718" s="1" t="s">
        <v>1715</v>
      </c>
      <c r="C1718" s="9" t="s">
        <v>3389</v>
      </c>
      <c r="D1718" s="6">
        <v>0</v>
      </c>
      <c r="F1718">
        <v>100</v>
      </c>
    </row>
    <row r="1719" spans="1:6" x14ac:dyDescent="0.2">
      <c r="A1719" s="2" t="str">
        <f>"5999887323034"</f>
        <v>5999887323034</v>
      </c>
      <c r="B1719" s="1" t="s">
        <v>1716</v>
      </c>
      <c r="C1719" s="9" t="s">
        <v>3389</v>
      </c>
      <c r="D1719" s="6">
        <v>0</v>
      </c>
      <c r="F1719">
        <v>100</v>
      </c>
    </row>
    <row r="1720" spans="1:6" x14ac:dyDescent="0.2">
      <c r="A1720" s="2" t="str">
        <f>"5998624102932"</f>
        <v>5998624102932</v>
      </c>
      <c r="B1720" s="1" t="s">
        <v>1717</v>
      </c>
      <c r="C1720" s="9" t="s">
        <v>3379</v>
      </c>
      <c r="D1720" s="6">
        <v>116.77</v>
      </c>
      <c r="F1720">
        <v>100</v>
      </c>
    </row>
    <row r="1721" spans="1:6" x14ac:dyDescent="0.2">
      <c r="A1721" s="2" t="str">
        <f>"5998624102888"</f>
        <v>5998624102888</v>
      </c>
      <c r="B1721" s="1" t="s">
        <v>1718</v>
      </c>
      <c r="C1721" s="9" t="s">
        <v>3421</v>
      </c>
      <c r="D1721" s="6">
        <v>370.39</v>
      </c>
      <c r="F1721">
        <v>100</v>
      </c>
    </row>
    <row r="1722" spans="1:6" x14ac:dyDescent="0.2">
      <c r="A1722" s="2" t="str">
        <f>"5997844301125"</f>
        <v>5997844301125</v>
      </c>
      <c r="B1722" s="1" t="s">
        <v>1719</v>
      </c>
      <c r="C1722" s="9" t="s">
        <v>3379</v>
      </c>
      <c r="D1722" s="6">
        <v>116</v>
      </c>
      <c r="F1722">
        <v>100</v>
      </c>
    </row>
    <row r="1723" spans="1:6" x14ac:dyDescent="0.2">
      <c r="A1723" s="2" t="str">
        <f>"5997515114757"</f>
        <v>5997515114757</v>
      </c>
      <c r="B1723" s="1" t="s">
        <v>1720</v>
      </c>
      <c r="C1723" s="9" t="s">
        <v>3410</v>
      </c>
      <c r="D1723" s="6">
        <v>48.26</v>
      </c>
      <c r="F1723">
        <v>100</v>
      </c>
    </row>
    <row r="1724" spans="1:6" x14ac:dyDescent="0.2">
      <c r="A1724" s="2" t="str">
        <f>"5997515114764"</f>
        <v>5997515114764</v>
      </c>
      <c r="B1724" s="1" t="s">
        <v>1721</v>
      </c>
      <c r="C1724" s="9" t="s">
        <v>3410</v>
      </c>
      <c r="D1724" s="6">
        <v>37.61</v>
      </c>
      <c r="F1724">
        <v>100</v>
      </c>
    </row>
    <row r="1725" spans="1:6" x14ac:dyDescent="0.2">
      <c r="A1725" s="2" t="str">
        <f>"5992550121005"</f>
        <v>5992550121005</v>
      </c>
      <c r="B1725" s="1" t="s">
        <v>1722</v>
      </c>
      <c r="C1725" s="9" t="s">
        <v>3390</v>
      </c>
      <c r="D1725" s="6">
        <v>47.86</v>
      </c>
      <c r="F1725">
        <v>100</v>
      </c>
    </row>
    <row r="1726" spans="1:6" x14ac:dyDescent="0.2">
      <c r="A1726" s="2" t="str">
        <f>"3031444331877"</f>
        <v>3031444331877</v>
      </c>
      <c r="B1726" s="1" t="s">
        <v>1723</v>
      </c>
      <c r="C1726" s="9" t="s">
        <v>3421</v>
      </c>
      <c r="D1726" s="6">
        <v>326</v>
      </c>
      <c r="F1726">
        <v>100</v>
      </c>
    </row>
    <row r="1727" spans="1:6" x14ac:dyDescent="0.2">
      <c r="A1727" s="2" t="str">
        <f>"4901660142979"</f>
        <v>4901660142979</v>
      </c>
      <c r="B1727" s="1" t="s">
        <v>1724</v>
      </c>
      <c r="C1727" s="9" t="s">
        <v>3380</v>
      </c>
      <c r="D1727" s="6">
        <v>626</v>
      </c>
      <c r="F1727">
        <v>100</v>
      </c>
    </row>
    <row r="1728" spans="1:6" x14ac:dyDescent="0.2">
      <c r="A1728" s="2" t="str">
        <f>"8595159802398"</f>
        <v>8595159802398</v>
      </c>
      <c r="B1728" s="1" t="s">
        <v>1725</v>
      </c>
      <c r="C1728" s="9" t="s">
        <v>3380</v>
      </c>
      <c r="D1728" s="6">
        <v>100.34</v>
      </c>
      <c r="F1728">
        <v>100</v>
      </c>
    </row>
    <row r="1729" spans="1:6" x14ac:dyDescent="0.2">
      <c r="A1729" s="2" t="str">
        <f>"8595159802404"</f>
        <v>8595159802404</v>
      </c>
      <c r="B1729" s="1" t="s">
        <v>1726</v>
      </c>
      <c r="C1729" s="9" t="s">
        <v>3380</v>
      </c>
      <c r="D1729" s="6">
        <v>100.33</v>
      </c>
      <c r="F1729">
        <v>100</v>
      </c>
    </row>
    <row r="1730" spans="1:6" x14ac:dyDescent="0.2">
      <c r="A1730" s="2" t="str">
        <f>"5997844301088"</f>
        <v>5997844301088</v>
      </c>
      <c r="B1730" s="1" t="s">
        <v>1727</v>
      </c>
      <c r="C1730" s="9" t="s">
        <v>3421</v>
      </c>
      <c r="D1730" s="6">
        <v>111.84</v>
      </c>
      <c r="F1730">
        <v>100</v>
      </c>
    </row>
    <row r="1731" spans="1:6" x14ac:dyDescent="0.2">
      <c r="A1731" s="2" t="str">
        <f>"5997515114788"</f>
        <v>5997515114788</v>
      </c>
      <c r="B1731" s="1" t="s">
        <v>1728</v>
      </c>
      <c r="C1731" s="9" t="s">
        <v>3410</v>
      </c>
      <c r="D1731" s="6">
        <v>204.52</v>
      </c>
      <c r="F1731">
        <v>100</v>
      </c>
    </row>
    <row r="1732" spans="1:6" x14ac:dyDescent="0.2">
      <c r="A1732" s="2" t="str">
        <f>"6938247111347"</f>
        <v>6938247111347</v>
      </c>
      <c r="B1732" s="1" t="s">
        <v>1715</v>
      </c>
      <c r="C1732" s="9" t="s">
        <v>3389</v>
      </c>
      <c r="D1732" s="6">
        <v>0</v>
      </c>
      <c r="F1732">
        <v>100</v>
      </c>
    </row>
    <row r="1733" spans="1:6" x14ac:dyDescent="0.2">
      <c r="A1733" s="2" t="str">
        <f>"5994100247937"</f>
        <v>5994100247937</v>
      </c>
      <c r="B1733" s="1" t="s">
        <v>1729</v>
      </c>
      <c r="C1733" s="9" t="s">
        <v>3380</v>
      </c>
      <c r="D1733" s="6">
        <v>227.99</v>
      </c>
      <c r="F1733">
        <v>100</v>
      </c>
    </row>
    <row r="1734" spans="1:6" x14ac:dyDescent="0.2">
      <c r="A1734" s="2" t="str">
        <f>"5994100247913"</f>
        <v>5994100247913</v>
      </c>
      <c r="B1734" s="1" t="s">
        <v>1730</v>
      </c>
      <c r="C1734" s="9" t="s">
        <v>3380</v>
      </c>
      <c r="D1734" s="6">
        <v>227.33</v>
      </c>
      <c r="F1734">
        <v>100</v>
      </c>
    </row>
    <row r="1735" spans="1:6" x14ac:dyDescent="0.2">
      <c r="A1735" s="2" t="str">
        <f>"5994100247883"</f>
        <v>5994100247883</v>
      </c>
      <c r="B1735" s="1" t="s">
        <v>1731</v>
      </c>
      <c r="C1735" s="9" t="s">
        <v>3380</v>
      </c>
      <c r="D1735" s="6">
        <v>227.33</v>
      </c>
      <c r="F1735">
        <v>100</v>
      </c>
    </row>
    <row r="1736" spans="1:6" x14ac:dyDescent="0.2">
      <c r="A1736" s="2" t="str">
        <f>"5900095000105"</f>
        <v>5900095000105</v>
      </c>
      <c r="B1736" s="1" t="s">
        <v>1732</v>
      </c>
      <c r="C1736" s="9" t="s">
        <v>3418</v>
      </c>
      <c r="D1736" s="6">
        <v>189</v>
      </c>
      <c r="F1736">
        <v>100</v>
      </c>
    </row>
    <row r="1737" spans="1:6" x14ac:dyDescent="0.2">
      <c r="A1737" s="2" t="str">
        <f>"5992819111365"</f>
        <v>5992819111365</v>
      </c>
      <c r="B1737" s="1" t="s">
        <v>1733</v>
      </c>
      <c r="C1737" s="9" t="s">
        <v>3421</v>
      </c>
      <c r="D1737" s="6">
        <v>116.7</v>
      </c>
      <c r="F1737">
        <v>100</v>
      </c>
    </row>
    <row r="1738" spans="1:6" x14ac:dyDescent="0.2">
      <c r="A1738" s="2" t="str">
        <f>"5998624102864"</f>
        <v>5998624102864</v>
      </c>
      <c r="B1738" s="1" t="s">
        <v>1734</v>
      </c>
      <c r="C1738" s="9" t="s">
        <v>3421</v>
      </c>
      <c r="D1738" s="6">
        <v>235.82</v>
      </c>
      <c r="F1738">
        <v>100</v>
      </c>
    </row>
    <row r="1739" spans="1:6" x14ac:dyDescent="0.2">
      <c r="A1739" s="2" t="str">
        <f>"5998624102710"</f>
        <v>5998624102710</v>
      </c>
      <c r="B1739" s="1" t="s">
        <v>1735</v>
      </c>
      <c r="C1739" s="9" t="s">
        <v>3421</v>
      </c>
      <c r="D1739" s="6">
        <v>204.94</v>
      </c>
      <c r="F1739">
        <v>100</v>
      </c>
    </row>
    <row r="1740" spans="1:6" x14ac:dyDescent="0.2">
      <c r="A1740" s="2" t="str">
        <f>"5998624102727"</f>
        <v>5998624102727</v>
      </c>
      <c r="B1740" s="1" t="s">
        <v>1736</v>
      </c>
      <c r="C1740" s="9" t="s">
        <v>3421</v>
      </c>
      <c r="D1740" s="6">
        <v>368.01</v>
      </c>
      <c r="F1740">
        <v>100</v>
      </c>
    </row>
    <row r="1741" spans="1:6" x14ac:dyDescent="0.2">
      <c r="A1741" s="2" t="str">
        <f>"5999880114202"</f>
        <v>5999880114202</v>
      </c>
      <c r="B1741" s="1" t="s">
        <v>1737</v>
      </c>
      <c r="C1741" s="9" t="s">
        <v>3421</v>
      </c>
      <c r="D1741" s="6">
        <v>634.66999999999996</v>
      </c>
      <c r="F1741">
        <v>100</v>
      </c>
    </row>
    <row r="1742" spans="1:6" x14ac:dyDescent="0.2">
      <c r="A1742" s="2" t="str">
        <f>"5997515006205"</f>
        <v>5997515006205</v>
      </c>
      <c r="B1742" s="1" t="s">
        <v>1738</v>
      </c>
      <c r="C1742" s="9" t="s">
        <v>3410</v>
      </c>
      <c r="D1742" s="6">
        <v>37.18</v>
      </c>
      <c r="F1742">
        <v>100</v>
      </c>
    </row>
    <row r="1743" spans="1:6" x14ac:dyDescent="0.2">
      <c r="A1743" s="2" t="str">
        <f>"8680534832203"</f>
        <v>8680534832203</v>
      </c>
      <c r="B1743" s="1" t="s">
        <v>1739</v>
      </c>
      <c r="C1743" s="9" t="s">
        <v>3421</v>
      </c>
      <c r="D1743" s="6">
        <v>158</v>
      </c>
      <c r="F1743">
        <v>100</v>
      </c>
    </row>
    <row r="1744" spans="1:6" x14ac:dyDescent="0.2">
      <c r="A1744" s="2" t="str">
        <f>"5906615103165"</f>
        <v>5906615103165</v>
      </c>
      <c r="B1744" s="1" t="s">
        <v>1740</v>
      </c>
      <c r="C1744" s="9" t="s">
        <v>3421</v>
      </c>
      <c r="D1744" s="6">
        <v>122</v>
      </c>
      <c r="F1744">
        <v>100</v>
      </c>
    </row>
    <row r="1745" spans="1:6" x14ac:dyDescent="0.2">
      <c r="A1745" s="2" t="str">
        <f>"5999548881651"</f>
        <v>5999548881651</v>
      </c>
      <c r="B1745" s="1" t="s">
        <v>1741</v>
      </c>
      <c r="C1745" s="9" t="s">
        <v>3379</v>
      </c>
      <c r="D1745" s="6">
        <v>131</v>
      </c>
      <c r="F1745">
        <v>100</v>
      </c>
    </row>
    <row r="1746" spans="1:6" x14ac:dyDescent="0.2">
      <c r="A1746" s="2" t="str">
        <f>"59912781     "</f>
        <v xml:space="preserve">59912781     </v>
      </c>
      <c r="B1746" s="1" t="s">
        <v>1742</v>
      </c>
      <c r="C1746" s="9" t="s">
        <v>3376</v>
      </c>
      <c r="D1746" s="6">
        <v>58.89</v>
      </c>
      <c r="F1746">
        <v>100</v>
      </c>
    </row>
    <row r="1747" spans="1:6" x14ac:dyDescent="0.2">
      <c r="A1747" s="2" t="str">
        <f>"5998918730025"</f>
        <v>5998918730025</v>
      </c>
      <c r="B1747" s="1" t="s">
        <v>1743</v>
      </c>
      <c r="C1747" s="9" t="s">
        <v>3379</v>
      </c>
      <c r="D1747" s="6">
        <v>328.29</v>
      </c>
      <c r="F1747">
        <v>100</v>
      </c>
    </row>
    <row r="1748" spans="1:6" x14ac:dyDescent="0.2">
      <c r="A1748" s="2" t="str">
        <f>"5999545710596"</f>
        <v>5999545710596</v>
      </c>
      <c r="B1748" s="1" t="s">
        <v>1744</v>
      </c>
      <c r="C1748" s="9" t="s">
        <v>3379</v>
      </c>
      <c r="D1748" s="6">
        <v>302.01</v>
      </c>
      <c r="F1748">
        <v>100</v>
      </c>
    </row>
    <row r="1749" spans="1:6" x14ac:dyDescent="0.2">
      <c r="A1749" s="2" t="str">
        <f>"5999545710510"</f>
        <v>5999545710510</v>
      </c>
      <c r="B1749" s="1" t="s">
        <v>1745</v>
      </c>
      <c r="C1749" s="9" t="s">
        <v>3379</v>
      </c>
      <c r="D1749" s="6">
        <v>132.99</v>
      </c>
      <c r="F1749">
        <v>100</v>
      </c>
    </row>
    <row r="1750" spans="1:6" x14ac:dyDescent="0.2">
      <c r="A1750" s="2" t="str">
        <f>"4901660133052"</f>
        <v>4901660133052</v>
      </c>
      <c r="B1750" s="1" t="s">
        <v>1746</v>
      </c>
      <c r="C1750" s="9" t="s">
        <v>3380</v>
      </c>
      <c r="D1750" s="6">
        <v>161.78</v>
      </c>
      <c r="F1750">
        <v>100</v>
      </c>
    </row>
    <row r="1751" spans="1:6" x14ac:dyDescent="0.2">
      <c r="A1751" s="2" t="str">
        <f>"4901660133199"</f>
        <v>4901660133199</v>
      </c>
      <c r="B1751" s="1" t="s">
        <v>1747</v>
      </c>
      <c r="C1751" s="9" t="s">
        <v>3380</v>
      </c>
      <c r="D1751" s="6">
        <v>163.41</v>
      </c>
      <c r="F1751">
        <v>100</v>
      </c>
    </row>
    <row r="1752" spans="1:6" x14ac:dyDescent="0.2">
      <c r="A1752" s="2" t="str">
        <f>"4901660117670"</f>
        <v>4901660117670</v>
      </c>
      <c r="B1752" s="1" t="s">
        <v>1748</v>
      </c>
      <c r="C1752" s="9" t="s">
        <v>3380</v>
      </c>
      <c r="D1752" s="6">
        <v>328.47</v>
      </c>
      <c r="F1752">
        <v>100</v>
      </c>
    </row>
    <row r="1753" spans="1:6" x14ac:dyDescent="0.2">
      <c r="A1753" s="2" t="str">
        <f>"4901660116536"</f>
        <v>4901660116536</v>
      </c>
      <c r="B1753" s="1" t="s">
        <v>1749</v>
      </c>
      <c r="C1753" s="9" t="s">
        <v>3380</v>
      </c>
      <c r="D1753" s="6">
        <v>198.24</v>
      </c>
      <c r="F1753">
        <v>100</v>
      </c>
    </row>
    <row r="1754" spans="1:6" x14ac:dyDescent="0.2">
      <c r="A1754" s="2" t="str">
        <f>"5998624103021"</f>
        <v>5998624103021</v>
      </c>
      <c r="B1754" s="1" t="s">
        <v>1750</v>
      </c>
      <c r="C1754" s="9" t="s">
        <v>3421</v>
      </c>
      <c r="D1754" s="6">
        <v>434</v>
      </c>
      <c r="F1754">
        <v>100</v>
      </c>
    </row>
    <row r="1755" spans="1:6" x14ac:dyDescent="0.2">
      <c r="A1755" s="2" t="str">
        <f>"6930358810102"</f>
        <v>6930358810102</v>
      </c>
      <c r="B1755" s="1" t="s">
        <v>1679</v>
      </c>
      <c r="C1755" s="9" t="s">
        <v>3389</v>
      </c>
      <c r="D1755" s="6">
        <v>0</v>
      </c>
      <c r="F1755">
        <v>100</v>
      </c>
    </row>
    <row r="1756" spans="1:6" x14ac:dyDescent="0.2">
      <c r="A1756" s="2" t="str">
        <f>"5994100256526"</f>
        <v>5994100256526</v>
      </c>
      <c r="B1756" s="1" t="s">
        <v>1751</v>
      </c>
      <c r="C1756" s="9" t="s">
        <v>3380</v>
      </c>
      <c r="D1756" s="6">
        <v>228.99</v>
      </c>
      <c r="F1756">
        <v>100</v>
      </c>
    </row>
    <row r="1757" spans="1:6" x14ac:dyDescent="0.2">
      <c r="A1757" s="2" t="str">
        <f>"5994100256519"</f>
        <v>5994100256519</v>
      </c>
      <c r="B1757" s="1" t="s">
        <v>1752</v>
      </c>
      <c r="C1757" s="9" t="s">
        <v>3380</v>
      </c>
      <c r="D1757" s="6">
        <v>228.48</v>
      </c>
      <c r="F1757">
        <v>100</v>
      </c>
    </row>
    <row r="1758" spans="1:6" x14ac:dyDescent="0.2">
      <c r="A1758" s="2" t="str">
        <f>"4026700367003"</f>
        <v>4026700367003</v>
      </c>
      <c r="B1758" s="1" t="s">
        <v>1753</v>
      </c>
      <c r="C1758" s="9" t="s">
        <v>3380</v>
      </c>
      <c r="D1758" s="6">
        <v>225.54</v>
      </c>
      <c r="F1758">
        <v>100</v>
      </c>
    </row>
    <row r="1759" spans="1:6" x14ac:dyDescent="0.2">
      <c r="A1759" s="2" t="str">
        <f>"5999887092206"</f>
        <v>5999887092206</v>
      </c>
      <c r="B1759" s="1" t="s">
        <v>1754</v>
      </c>
      <c r="C1759" s="9" t="s">
        <v>3380</v>
      </c>
      <c r="D1759" s="6">
        <v>474.98</v>
      </c>
      <c r="F1759">
        <v>100</v>
      </c>
    </row>
    <row r="1760" spans="1:6" x14ac:dyDescent="0.2">
      <c r="A1760" s="2" t="str">
        <f>"8000798001106"</f>
        <v>8000798001106</v>
      </c>
      <c r="B1760" s="1" t="s">
        <v>1755</v>
      </c>
      <c r="C1760" s="9" t="s">
        <v>3421</v>
      </c>
      <c r="D1760" s="6">
        <v>136.99</v>
      </c>
      <c r="F1760">
        <v>100</v>
      </c>
    </row>
    <row r="1761" spans="1:6" x14ac:dyDescent="0.2">
      <c r="A1761" s="2" t="str">
        <f>"5998918730018"</f>
        <v>5998918730018</v>
      </c>
      <c r="B1761" s="1" t="s">
        <v>1756</v>
      </c>
      <c r="C1761" s="9" t="s">
        <v>3379</v>
      </c>
      <c r="D1761" s="6">
        <v>181.29</v>
      </c>
      <c r="F1761">
        <v>100</v>
      </c>
    </row>
    <row r="1762" spans="1:6" x14ac:dyDescent="0.2">
      <c r="A1762" s="2" t="str">
        <f>"5998624106121"</f>
        <v>5998624106121</v>
      </c>
      <c r="B1762" s="1" t="s">
        <v>1757</v>
      </c>
      <c r="C1762" s="9" t="s">
        <v>3421</v>
      </c>
      <c r="D1762" s="6">
        <v>70.91</v>
      </c>
      <c r="F1762">
        <v>100</v>
      </c>
    </row>
    <row r="1763" spans="1:6" x14ac:dyDescent="0.2">
      <c r="A1763" s="2" t="str">
        <f>"8431250711477"</f>
        <v>8431250711477</v>
      </c>
      <c r="B1763" s="1" t="s">
        <v>1758</v>
      </c>
      <c r="C1763" s="9" t="s">
        <v>3421</v>
      </c>
      <c r="D1763" s="6">
        <v>590.22</v>
      </c>
      <c r="F1763">
        <v>100</v>
      </c>
    </row>
    <row r="1764" spans="1:6" x14ac:dyDescent="0.2">
      <c r="A1764" s="2" t="str">
        <f>"5998624102840"</f>
        <v>5998624102840</v>
      </c>
      <c r="B1764" s="1" t="s">
        <v>1759</v>
      </c>
      <c r="C1764" s="9" t="s">
        <v>3421</v>
      </c>
      <c r="D1764" s="6">
        <v>269.44</v>
      </c>
      <c r="F1764">
        <v>100</v>
      </c>
    </row>
    <row r="1765" spans="1:6" x14ac:dyDescent="0.2">
      <c r="A1765" s="2" t="str">
        <f>"5998624102956"</f>
        <v>5998624102956</v>
      </c>
      <c r="B1765" s="1" t="s">
        <v>1760</v>
      </c>
      <c r="C1765" s="9" t="s">
        <v>3421</v>
      </c>
      <c r="D1765" s="6">
        <v>149.65</v>
      </c>
      <c r="F1765">
        <v>100</v>
      </c>
    </row>
    <row r="1766" spans="1:6" x14ac:dyDescent="0.2">
      <c r="A1766" s="2" t="str">
        <f>"5999535407864"</f>
        <v>5999535407864</v>
      </c>
      <c r="B1766" s="1" t="s">
        <v>1761</v>
      </c>
      <c r="C1766" s="9" t="s">
        <v>3376</v>
      </c>
      <c r="D1766" s="6">
        <v>136.88999999999999</v>
      </c>
      <c r="F1766">
        <v>100</v>
      </c>
    </row>
    <row r="1767" spans="1:6" x14ac:dyDescent="0.2">
      <c r="A1767" s="2" t="str">
        <f>"8000798000833"</f>
        <v>8000798000833</v>
      </c>
      <c r="B1767" s="1" t="s">
        <v>1762</v>
      </c>
      <c r="C1767" s="9" t="s">
        <v>3421</v>
      </c>
      <c r="D1767" s="6">
        <v>311.31</v>
      </c>
      <c r="F1767">
        <v>100</v>
      </c>
    </row>
    <row r="1768" spans="1:6" x14ac:dyDescent="0.2">
      <c r="A1768" s="2" t="str">
        <f>"5999538550499"</f>
        <v>5999538550499</v>
      </c>
      <c r="B1768" s="1" t="s">
        <v>1763</v>
      </c>
      <c r="C1768" s="9" t="s">
        <v>3379</v>
      </c>
      <c r="D1768" s="6">
        <v>266</v>
      </c>
      <c r="F1768">
        <v>100</v>
      </c>
    </row>
    <row r="1769" spans="1:6" x14ac:dyDescent="0.2">
      <c r="A1769" s="2" t="str">
        <f>"8435462460499"</f>
        <v>8435462460499</v>
      </c>
      <c r="B1769" s="1" t="s">
        <v>1764</v>
      </c>
      <c r="C1769" s="9" t="s">
        <v>3389</v>
      </c>
      <c r="D1769" s="6">
        <v>0</v>
      </c>
      <c r="F1769">
        <v>100</v>
      </c>
    </row>
    <row r="1770" spans="1:6" x14ac:dyDescent="0.2">
      <c r="A1770" s="2" t="str">
        <f>"5998624102963"</f>
        <v>5998624102963</v>
      </c>
      <c r="B1770" s="1" t="s">
        <v>1765</v>
      </c>
      <c r="C1770" s="9" t="s">
        <v>3421</v>
      </c>
      <c r="D1770" s="6">
        <v>159.81</v>
      </c>
      <c r="F1770">
        <v>100</v>
      </c>
    </row>
    <row r="1771" spans="1:6" x14ac:dyDescent="0.2">
      <c r="A1771" s="2" t="str">
        <f>"8697633820116"</f>
        <v>8697633820116</v>
      </c>
      <c r="B1771" s="1" t="s">
        <v>1766</v>
      </c>
      <c r="C1771" s="9" t="s">
        <v>3421</v>
      </c>
      <c r="D1771" s="6">
        <v>211</v>
      </c>
      <c r="F1771">
        <v>100</v>
      </c>
    </row>
    <row r="1772" spans="1:6" x14ac:dyDescent="0.2">
      <c r="A1772" s="2" t="str">
        <f>"5997844300050"</f>
        <v>5997844300050</v>
      </c>
      <c r="B1772" s="1" t="s">
        <v>1767</v>
      </c>
      <c r="C1772" s="9" t="s">
        <v>3421</v>
      </c>
      <c r="D1772" s="6">
        <v>420</v>
      </c>
      <c r="F1772">
        <v>100</v>
      </c>
    </row>
    <row r="1773" spans="1:6" x14ac:dyDescent="0.2">
      <c r="A1773" s="2" t="str">
        <f>"5998624101300"</f>
        <v>5998624101300</v>
      </c>
      <c r="B1773" s="1" t="s">
        <v>1768</v>
      </c>
      <c r="C1773" s="9" t="s">
        <v>3421</v>
      </c>
      <c r="D1773" s="6">
        <v>657.01</v>
      </c>
      <c r="F1773">
        <v>100</v>
      </c>
    </row>
    <row r="1774" spans="1:6" x14ac:dyDescent="0.2">
      <c r="A1774" s="2" t="str">
        <f>"5998624101195"</f>
        <v>5998624101195</v>
      </c>
      <c r="B1774" s="1" t="s">
        <v>1769</v>
      </c>
      <c r="C1774" s="9" t="s">
        <v>3379</v>
      </c>
      <c r="D1774" s="6">
        <v>353.84</v>
      </c>
      <c r="F1774">
        <v>100</v>
      </c>
    </row>
    <row r="1775" spans="1:6" x14ac:dyDescent="0.2">
      <c r="A1775" s="2" t="str">
        <f>"8000798251303"</f>
        <v>8000798251303</v>
      </c>
      <c r="B1775" s="1" t="s">
        <v>1770</v>
      </c>
      <c r="C1775" s="9" t="s">
        <v>3421</v>
      </c>
      <c r="D1775" s="6">
        <v>134</v>
      </c>
      <c r="F1775">
        <v>100</v>
      </c>
    </row>
    <row r="1776" spans="1:6" x14ac:dyDescent="0.2">
      <c r="A1776" s="2" t="str">
        <f>"5997515100170"</f>
        <v>5997515100170</v>
      </c>
      <c r="B1776" s="1" t="s">
        <v>1771</v>
      </c>
      <c r="C1776" s="9" t="s">
        <v>3410</v>
      </c>
      <c r="D1776" s="6">
        <v>37.82</v>
      </c>
      <c r="F1776">
        <v>100</v>
      </c>
    </row>
    <row r="1777" spans="1:6" x14ac:dyDescent="0.2">
      <c r="A1777" s="2" t="str">
        <f>"8680534832548"</f>
        <v>8680534832548</v>
      </c>
      <c r="B1777" s="1" t="s">
        <v>1772</v>
      </c>
      <c r="C1777" s="9" t="s">
        <v>3421</v>
      </c>
      <c r="D1777" s="6">
        <v>138.15</v>
      </c>
      <c r="F1777">
        <v>100</v>
      </c>
    </row>
    <row r="1778" spans="1:6" x14ac:dyDescent="0.2">
      <c r="A1778" s="2" t="str">
        <f>"5998060700471"</f>
        <v>5998060700471</v>
      </c>
      <c r="B1778" s="1" t="s">
        <v>1773</v>
      </c>
      <c r="C1778" s="9" t="s">
        <v>3421</v>
      </c>
      <c r="D1778" s="6">
        <v>100</v>
      </c>
      <c r="F1778">
        <v>100</v>
      </c>
    </row>
    <row r="1779" spans="1:6" x14ac:dyDescent="0.2">
      <c r="A1779" s="2" t="str">
        <f>"5998624106015"</f>
        <v>5998624106015</v>
      </c>
      <c r="B1779" s="1" t="s">
        <v>1774</v>
      </c>
      <c r="C1779" s="9" t="s">
        <v>3379</v>
      </c>
      <c r="D1779" s="6">
        <v>59</v>
      </c>
      <c r="F1779">
        <v>100</v>
      </c>
    </row>
    <row r="1780" spans="1:6" x14ac:dyDescent="0.2">
      <c r="A1780" s="2" t="str">
        <f>"8000798399555"</f>
        <v>8000798399555</v>
      </c>
      <c r="B1780" s="1" t="s">
        <v>1775</v>
      </c>
      <c r="C1780" s="9" t="s">
        <v>3421</v>
      </c>
      <c r="D1780" s="6">
        <v>453.36</v>
      </c>
      <c r="F1780">
        <v>100</v>
      </c>
    </row>
    <row r="1781" spans="1:6" x14ac:dyDescent="0.2">
      <c r="A1781" s="2" t="str">
        <f>"4019042010324"</f>
        <v>4019042010324</v>
      </c>
      <c r="B1781" s="1" t="s">
        <v>1776</v>
      </c>
      <c r="C1781" s="9" t="s">
        <v>3380</v>
      </c>
      <c r="D1781" s="6">
        <v>252.73</v>
      </c>
      <c r="F1781">
        <v>100</v>
      </c>
    </row>
    <row r="1782" spans="1:6" x14ac:dyDescent="0.2">
      <c r="A1782" s="2" t="str">
        <f>"8013656008551"</f>
        <v>8013656008551</v>
      </c>
      <c r="B1782" s="1" t="s">
        <v>1777</v>
      </c>
      <c r="C1782" s="9" t="s">
        <v>3421</v>
      </c>
      <c r="D1782" s="6">
        <v>234</v>
      </c>
      <c r="F1782">
        <v>100</v>
      </c>
    </row>
    <row r="1783" spans="1:6" x14ac:dyDescent="0.2">
      <c r="A1783" s="2" t="str">
        <f>"5999883955413"</f>
        <v>5999883955413</v>
      </c>
      <c r="B1783" s="1" t="s">
        <v>1778</v>
      </c>
      <c r="C1783" s="9" t="s">
        <v>3376</v>
      </c>
      <c r="D1783" s="6">
        <v>346.06</v>
      </c>
      <c r="F1783">
        <v>100</v>
      </c>
    </row>
    <row r="1784" spans="1:6" x14ac:dyDescent="0.2">
      <c r="A1784" s="2" t="str">
        <f>"5999071000307"</f>
        <v>5999071000307</v>
      </c>
      <c r="B1784" s="1" t="s">
        <v>1779</v>
      </c>
      <c r="C1784" s="9" t="s">
        <v>3389</v>
      </c>
      <c r="D1784" s="6">
        <v>0</v>
      </c>
      <c r="F1784">
        <v>100</v>
      </c>
    </row>
    <row r="1785" spans="1:6" x14ac:dyDescent="0.2">
      <c r="A1785" s="2" t="str">
        <f>"5999071000840"</f>
        <v>5999071000840</v>
      </c>
      <c r="B1785" s="1" t="s">
        <v>1779</v>
      </c>
      <c r="C1785" s="9" t="s">
        <v>3389</v>
      </c>
      <c r="D1785" s="6">
        <v>0</v>
      </c>
      <c r="F1785">
        <v>100</v>
      </c>
    </row>
    <row r="1786" spans="1:6" x14ac:dyDescent="0.2">
      <c r="A1786" s="2" t="str">
        <f>"8718951181298"</f>
        <v>8718951181298</v>
      </c>
      <c r="B1786" s="1" t="s">
        <v>1780</v>
      </c>
      <c r="C1786" s="9" t="s">
        <v>3418</v>
      </c>
      <c r="D1786" s="6">
        <v>296.16000000000003</v>
      </c>
      <c r="F1786">
        <v>100</v>
      </c>
    </row>
    <row r="1787" spans="1:6" x14ac:dyDescent="0.2">
      <c r="A1787" s="2" t="str">
        <f>"5997270740086"</f>
        <v>5997270740086</v>
      </c>
      <c r="B1787" s="1" t="s">
        <v>1781</v>
      </c>
      <c r="C1787" s="9" t="s">
        <v>3379</v>
      </c>
      <c r="D1787" s="6">
        <v>131.91</v>
      </c>
      <c r="F1787">
        <v>100</v>
      </c>
    </row>
    <row r="1788" spans="1:6" x14ac:dyDescent="0.2">
      <c r="A1788" s="2" t="str">
        <f>"5997270780990"</f>
        <v>5997270780990</v>
      </c>
      <c r="B1788" s="1" t="s">
        <v>1782</v>
      </c>
      <c r="C1788" s="9" t="s">
        <v>3379</v>
      </c>
      <c r="D1788" s="6">
        <v>285</v>
      </c>
      <c r="F1788">
        <v>100</v>
      </c>
    </row>
    <row r="1789" spans="1:6" x14ac:dyDescent="0.2">
      <c r="A1789" s="2" t="str">
        <f>"5997270750269"</f>
        <v>5997270750269</v>
      </c>
      <c r="B1789" s="1" t="s">
        <v>1783</v>
      </c>
      <c r="C1789" s="9" t="s">
        <v>3379</v>
      </c>
      <c r="D1789" s="6">
        <v>118</v>
      </c>
      <c r="F1789">
        <v>100</v>
      </c>
    </row>
    <row r="1790" spans="1:6" x14ac:dyDescent="0.2">
      <c r="A1790" s="2" t="str">
        <f>"5999072500370"</f>
        <v>5999072500370</v>
      </c>
      <c r="B1790" s="1" t="s">
        <v>1784</v>
      </c>
      <c r="C1790" s="9" t="s">
        <v>3379</v>
      </c>
      <c r="D1790" s="6">
        <v>109.99</v>
      </c>
      <c r="F1790">
        <v>100</v>
      </c>
    </row>
    <row r="1791" spans="1:6" x14ac:dyDescent="0.2">
      <c r="A1791" s="2" t="str">
        <f>"5998624106114"</f>
        <v>5998624106114</v>
      </c>
      <c r="B1791" s="1" t="s">
        <v>1785</v>
      </c>
      <c r="C1791" s="9" t="s">
        <v>3421</v>
      </c>
      <c r="D1791" s="6">
        <v>48.82</v>
      </c>
      <c r="F1791">
        <v>100</v>
      </c>
    </row>
    <row r="1792" spans="1:6" x14ac:dyDescent="0.2">
      <c r="A1792" s="2" t="str">
        <f>"7640114035135"</f>
        <v>7640114035135</v>
      </c>
      <c r="B1792" s="1" t="s">
        <v>1786</v>
      </c>
      <c r="C1792" s="9" t="s">
        <v>3421</v>
      </c>
      <c r="D1792" s="6">
        <v>1992.89</v>
      </c>
      <c r="F1792">
        <v>100</v>
      </c>
    </row>
    <row r="1793" spans="1:6" x14ac:dyDescent="0.2">
      <c r="A1793" s="2" t="str">
        <f>"5995637553003"</f>
        <v>5995637553003</v>
      </c>
      <c r="B1793" s="1" t="s">
        <v>1787</v>
      </c>
      <c r="C1793" s="9" t="s">
        <v>3421</v>
      </c>
      <c r="D1793" s="6">
        <v>100</v>
      </c>
      <c r="F1793">
        <v>100</v>
      </c>
    </row>
    <row r="1794" spans="1:6" x14ac:dyDescent="0.2">
      <c r="A1794" s="2" t="str">
        <f>"4901660133076"</f>
        <v>4901660133076</v>
      </c>
      <c r="B1794" s="1" t="s">
        <v>1788</v>
      </c>
      <c r="C1794" s="9" t="s">
        <v>3380</v>
      </c>
      <c r="D1794" s="6">
        <v>162.15</v>
      </c>
      <c r="F1794">
        <v>100</v>
      </c>
    </row>
    <row r="1795" spans="1:6" x14ac:dyDescent="0.2">
      <c r="A1795" s="2" t="str">
        <f>"4901660117687"</f>
        <v>4901660117687</v>
      </c>
      <c r="B1795" s="1" t="s">
        <v>1789</v>
      </c>
      <c r="C1795" s="9" t="s">
        <v>3380</v>
      </c>
      <c r="D1795" s="6">
        <v>276.87</v>
      </c>
      <c r="F1795">
        <v>100</v>
      </c>
    </row>
    <row r="1796" spans="1:6" x14ac:dyDescent="0.2">
      <c r="A1796" s="2" t="str">
        <f>"5999527880019"</f>
        <v>5999527880019</v>
      </c>
      <c r="B1796" s="1" t="s">
        <v>1790</v>
      </c>
      <c r="C1796" s="9" t="s">
        <v>3421</v>
      </c>
      <c r="D1796" s="6">
        <v>190.34</v>
      </c>
      <c r="F1796">
        <v>100</v>
      </c>
    </row>
    <row r="1797" spans="1:6" x14ac:dyDescent="0.2">
      <c r="A1797" s="2" t="str">
        <f>"8994006112121"</f>
        <v>8994006112121</v>
      </c>
      <c r="B1797" s="1" t="s">
        <v>1715</v>
      </c>
      <c r="C1797" s="9" t="s">
        <v>3389</v>
      </c>
      <c r="D1797" s="6">
        <v>0</v>
      </c>
      <c r="F1797">
        <v>100</v>
      </c>
    </row>
    <row r="1798" spans="1:6" x14ac:dyDescent="0.2">
      <c r="A1798" s="2" t="str">
        <f>"6948910088388"</f>
        <v>6948910088388</v>
      </c>
      <c r="B1798" s="1" t="s">
        <v>1679</v>
      </c>
      <c r="C1798" s="9" t="s">
        <v>3389</v>
      </c>
      <c r="D1798" s="6">
        <v>0</v>
      </c>
      <c r="F1798">
        <v>100</v>
      </c>
    </row>
    <row r="1799" spans="1:6" x14ac:dyDescent="0.2">
      <c r="A1799" s="2" t="str">
        <f>"6971513558408"</f>
        <v>6971513558408</v>
      </c>
      <c r="B1799" s="1" t="s">
        <v>1679</v>
      </c>
      <c r="C1799" s="9" t="s">
        <v>3389</v>
      </c>
      <c r="D1799" s="6">
        <v>0</v>
      </c>
      <c r="F1799">
        <v>100</v>
      </c>
    </row>
    <row r="1800" spans="1:6" x14ac:dyDescent="0.2">
      <c r="A1800" s="2" t="str">
        <f>"6948910010082"</f>
        <v>6948910010082</v>
      </c>
      <c r="B1800" s="1" t="s">
        <v>1679</v>
      </c>
      <c r="C1800" s="9" t="s">
        <v>3389</v>
      </c>
      <c r="D1800" s="6">
        <v>0</v>
      </c>
      <c r="F1800">
        <v>100</v>
      </c>
    </row>
    <row r="1801" spans="1:6" x14ac:dyDescent="0.2">
      <c r="A1801" s="2" t="str">
        <f>"5994100256502"</f>
        <v>5994100256502</v>
      </c>
      <c r="B1801" s="1" t="s">
        <v>1791</v>
      </c>
      <c r="C1801" s="9" t="s">
        <v>3380</v>
      </c>
      <c r="D1801" s="6">
        <v>227.33</v>
      </c>
      <c r="F1801">
        <v>100</v>
      </c>
    </row>
    <row r="1802" spans="1:6" x14ac:dyDescent="0.2">
      <c r="A1802" s="2" t="str">
        <f>"6970041951477"</f>
        <v>6970041951477</v>
      </c>
      <c r="B1802" s="1" t="s">
        <v>1792</v>
      </c>
      <c r="C1802" s="9" t="s">
        <v>3389</v>
      </c>
      <c r="D1802" s="6">
        <v>387.35</v>
      </c>
      <c r="F1802">
        <v>100</v>
      </c>
    </row>
    <row r="1803" spans="1:6" x14ac:dyDescent="0.2">
      <c r="A1803" s="2" t="str">
        <f>"6970041959046"</f>
        <v>6970041959046</v>
      </c>
      <c r="B1803" s="1" t="s">
        <v>1793</v>
      </c>
      <c r="C1803" s="9" t="s">
        <v>3389</v>
      </c>
      <c r="D1803" s="6">
        <v>485.78</v>
      </c>
      <c r="F1803">
        <v>100</v>
      </c>
    </row>
    <row r="1804" spans="1:6" x14ac:dyDescent="0.2">
      <c r="A1804" s="2" t="str">
        <f>"5999883231630"</f>
        <v>5999883231630</v>
      </c>
      <c r="B1804" s="1" t="s">
        <v>1794</v>
      </c>
      <c r="C1804" s="9" t="s">
        <v>3390</v>
      </c>
      <c r="D1804" s="6">
        <v>200</v>
      </c>
      <c r="F1804">
        <v>100</v>
      </c>
    </row>
    <row r="1805" spans="1:6" x14ac:dyDescent="0.2">
      <c r="A1805" s="2" t="str">
        <f>"5997504196016"</f>
        <v>5997504196016</v>
      </c>
      <c r="B1805" s="1" t="s">
        <v>1795</v>
      </c>
      <c r="C1805" s="9" t="s">
        <v>3421</v>
      </c>
      <c r="D1805" s="6">
        <v>165.76</v>
      </c>
      <c r="F1805">
        <v>100</v>
      </c>
    </row>
    <row r="1806" spans="1:6" x14ac:dyDescent="0.2">
      <c r="A1806" s="2" t="str">
        <f>"5999887092169"</f>
        <v>5999887092169</v>
      </c>
      <c r="B1806" s="1" t="s">
        <v>1796</v>
      </c>
      <c r="C1806" s="9" t="s">
        <v>3380</v>
      </c>
      <c r="D1806" s="6">
        <v>176.7</v>
      </c>
      <c r="F1806">
        <v>100</v>
      </c>
    </row>
    <row r="1807" spans="1:6" x14ac:dyDescent="0.2">
      <c r="A1807" s="2" t="str">
        <f>"6422465003565"</f>
        <v>6422465003565</v>
      </c>
      <c r="B1807" s="1" t="s">
        <v>1797</v>
      </c>
      <c r="C1807" s="9" t="s">
        <v>3389</v>
      </c>
      <c r="D1807" s="6">
        <v>0</v>
      </c>
      <c r="F1807">
        <v>100</v>
      </c>
    </row>
    <row r="1808" spans="1:6" x14ac:dyDescent="0.2">
      <c r="A1808" s="2" t="str">
        <f>"5999883955727"</f>
        <v>5999883955727</v>
      </c>
      <c r="B1808" s="1" t="s">
        <v>1798</v>
      </c>
      <c r="C1808" s="9" t="s">
        <v>3376</v>
      </c>
      <c r="D1808" s="6">
        <v>474.17</v>
      </c>
      <c r="F1808">
        <v>100</v>
      </c>
    </row>
    <row r="1809" spans="1:6" x14ac:dyDescent="0.2">
      <c r="A1809" s="2" t="str">
        <f>"8606102287015"</f>
        <v>8606102287015</v>
      </c>
      <c r="B1809" s="1" t="s">
        <v>1799</v>
      </c>
      <c r="C1809" s="9" t="s">
        <v>3413</v>
      </c>
      <c r="D1809" s="6">
        <v>130.01</v>
      </c>
      <c r="F1809">
        <v>100</v>
      </c>
    </row>
    <row r="1810" spans="1:6" x14ac:dyDescent="0.2">
      <c r="A1810" s="2" t="str">
        <f>"5998648702828"</f>
        <v>5998648702828</v>
      </c>
      <c r="B1810" s="1" t="s">
        <v>1800</v>
      </c>
      <c r="C1810" s="9" t="s">
        <v>3413</v>
      </c>
      <c r="D1810" s="6">
        <v>139.46</v>
      </c>
      <c r="F1810">
        <v>100</v>
      </c>
    </row>
    <row r="1811" spans="1:6" x14ac:dyDescent="0.2">
      <c r="A1811" s="2" t="str">
        <f>"7322540530315"</f>
        <v>7322540530315</v>
      </c>
      <c r="B1811" s="1" t="s">
        <v>1801</v>
      </c>
      <c r="C1811" s="9" t="s">
        <v>3414</v>
      </c>
      <c r="D1811" s="6">
        <v>205</v>
      </c>
      <c r="F1811">
        <v>100</v>
      </c>
    </row>
    <row r="1812" spans="1:6" x14ac:dyDescent="0.2">
      <c r="A1812" s="2" t="str">
        <f>"9011111535061"</f>
        <v>9011111535061</v>
      </c>
      <c r="B1812" s="1" t="s">
        <v>1802</v>
      </c>
      <c r="C1812" s="9" t="s">
        <v>3418</v>
      </c>
      <c r="D1812" s="6">
        <v>204.37</v>
      </c>
      <c r="F1812">
        <v>100</v>
      </c>
    </row>
    <row r="1813" spans="1:6" x14ac:dyDescent="0.2">
      <c r="A1813" s="2" t="str">
        <f>"5998648702996"</f>
        <v>5998648702996</v>
      </c>
      <c r="B1813" s="1" t="s">
        <v>1803</v>
      </c>
      <c r="C1813" s="9" t="s">
        <v>3413</v>
      </c>
      <c r="D1813" s="6">
        <v>125.02</v>
      </c>
      <c r="F1813">
        <v>100</v>
      </c>
    </row>
    <row r="1814" spans="1:6" x14ac:dyDescent="0.2">
      <c r="A1814" s="2" t="str">
        <f>"8606102287022"</f>
        <v>8606102287022</v>
      </c>
      <c r="B1814" s="1" t="s">
        <v>1804</v>
      </c>
      <c r="C1814" s="9" t="s">
        <v>3413</v>
      </c>
      <c r="D1814" s="6">
        <v>309.77</v>
      </c>
      <c r="F1814">
        <v>100</v>
      </c>
    </row>
    <row r="1815" spans="1:6" x14ac:dyDescent="0.2">
      <c r="A1815" s="2" t="str">
        <f>"5998648704648"</f>
        <v>5998648704648</v>
      </c>
      <c r="B1815" s="1" t="s">
        <v>1805</v>
      </c>
      <c r="C1815" s="9" t="s">
        <v>3379</v>
      </c>
      <c r="D1815" s="6">
        <v>475.01</v>
      </c>
      <c r="F1815">
        <v>100</v>
      </c>
    </row>
    <row r="1816" spans="1:6" x14ac:dyDescent="0.2">
      <c r="A1816" s="2" t="str">
        <f>"5998648701074"</f>
        <v>5998648701074</v>
      </c>
      <c r="B1816" s="1" t="s">
        <v>1806</v>
      </c>
      <c r="C1816" s="9" t="s">
        <v>3418</v>
      </c>
      <c r="D1816" s="6">
        <v>124.76</v>
      </c>
      <c r="F1816">
        <v>100</v>
      </c>
    </row>
    <row r="1817" spans="1:6" x14ac:dyDescent="0.2">
      <c r="A1817" s="2" t="str">
        <f>"8606102287930"</f>
        <v>8606102287930</v>
      </c>
      <c r="B1817" s="1" t="s">
        <v>1807</v>
      </c>
      <c r="C1817" s="9" t="s">
        <v>3413</v>
      </c>
      <c r="D1817" s="6">
        <v>601.38</v>
      </c>
      <c r="F1817">
        <v>100</v>
      </c>
    </row>
    <row r="1818" spans="1:6" x14ac:dyDescent="0.2">
      <c r="A1818" s="2" t="str">
        <f>"5999880313452"</f>
        <v>5999880313452</v>
      </c>
      <c r="B1818" s="1" t="s">
        <v>1808</v>
      </c>
      <c r="C1818" s="9" t="s">
        <v>3414</v>
      </c>
      <c r="D1818" s="6">
        <v>105</v>
      </c>
      <c r="F1818">
        <v>100</v>
      </c>
    </row>
    <row r="1819" spans="1:6" x14ac:dyDescent="0.2">
      <c r="A1819" s="2" t="str">
        <f>"8581010000720"</f>
        <v>8581010000720</v>
      </c>
      <c r="B1819" s="1" t="s">
        <v>1809</v>
      </c>
      <c r="C1819" s="9" t="s">
        <v>3413</v>
      </c>
      <c r="D1819" s="6">
        <v>200</v>
      </c>
      <c r="F1819">
        <v>100</v>
      </c>
    </row>
    <row r="1820" spans="1:6" x14ac:dyDescent="0.2">
      <c r="A1820" s="2" t="str">
        <f>"5998648704655"</f>
        <v>5998648704655</v>
      </c>
      <c r="B1820" s="1" t="s">
        <v>1810</v>
      </c>
      <c r="C1820" s="9" t="s">
        <v>3413</v>
      </c>
      <c r="D1820" s="6">
        <v>125.01</v>
      </c>
      <c r="F1820">
        <v>100</v>
      </c>
    </row>
    <row r="1821" spans="1:6" x14ac:dyDescent="0.2">
      <c r="A1821" s="2" t="str">
        <f>"8581010000423"</f>
        <v>8581010000423</v>
      </c>
      <c r="B1821" s="1" t="s">
        <v>1811</v>
      </c>
      <c r="C1821" s="9" t="s">
        <v>3389</v>
      </c>
      <c r="D1821" s="6">
        <v>20</v>
      </c>
      <c r="F1821">
        <v>100</v>
      </c>
    </row>
    <row r="1822" spans="1:6" x14ac:dyDescent="0.2">
      <c r="A1822" s="2" t="str">
        <f>"5999077500030"</f>
        <v>5999077500030</v>
      </c>
      <c r="B1822" s="1" t="s">
        <v>1812</v>
      </c>
      <c r="C1822" s="9" t="s">
        <v>3415</v>
      </c>
      <c r="D1822" s="6">
        <v>143.9</v>
      </c>
      <c r="F1822">
        <v>100</v>
      </c>
    </row>
    <row r="1823" spans="1:6" x14ac:dyDescent="0.2">
      <c r="A1823" s="2" t="str">
        <f>"8606102287039"</f>
        <v>8606102287039</v>
      </c>
      <c r="B1823" s="1" t="s">
        <v>1813</v>
      </c>
      <c r="C1823" s="9" t="s">
        <v>3413</v>
      </c>
      <c r="D1823" s="6">
        <v>679.98</v>
      </c>
      <c r="F1823">
        <v>100</v>
      </c>
    </row>
    <row r="1824" spans="1:6" x14ac:dyDescent="0.2">
      <c r="A1824" s="2" t="str">
        <f>"5999077500191"</f>
        <v>5999077500191</v>
      </c>
      <c r="B1824" s="1" t="s">
        <v>1814</v>
      </c>
      <c r="C1824" s="9" t="s">
        <v>3413</v>
      </c>
      <c r="D1824" s="6">
        <v>110.01</v>
      </c>
      <c r="F1824">
        <v>100</v>
      </c>
    </row>
    <row r="1825" spans="1:6" x14ac:dyDescent="0.2">
      <c r="A1825" s="2" t="str">
        <f>"8581010005619"</f>
        <v>8581010005619</v>
      </c>
      <c r="B1825" s="1" t="s">
        <v>1815</v>
      </c>
      <c r="C1825" s="9" t="s">
        <v>3413</v>
      </c>
      <c r="D1825" s="6">
        <v>209.99</v>
      </c>
      <c r="F1825">
        <v>100</v>
      </c>
    </row>
    <row r="1826" spans="1:6" x14ac:dyDescent="0.2">
      <c r="A1826" s="2" t="str">
        <f>"7322540313321"</f>
        <v>7322540313321</v>
      </c>
      <c r="B1826" s="1" t="s">
        <v>1816</v>
      </c>
      <c r="C1826" s="9" t="s">
        <v>3418</v>
      </c>
      <c r="D1826" s="6">
        <v>1244.5999999999999</v>
      </c>
      <c r="F1826">
        <v>100</v>
      </c>
    </row>
    <row r="1827" spans="1:6" x14ac:dyDescent="0.2">
      <c r="A1827" s="2" t="str">
        <f>"5998648701395"</f>
        <v>5998648701395</v>
      </c>
      <c r="B1827" s="1" t="s">
        <v>1817</v>
      </c>
      <c r="C1827" s="9" t="s">
        <v>3413</v>
      </c>
      <c r="D1827" s="6">
        <v>125.01</v>
      </c>
      <c r="F1827">
        <v>100</v>
      </c>
    </row>
    <row r="1828" spans="1:6" x14ac:dyDescent="0.2">
      <c r="A1828" s="2" t="str">
        <f>"6414300101192"</f>
        <v>6414300101192</v>
      </c>
      <c r="B1828" s="1" t="s">
        <v>1818</v>
      </c>
      <c r="C1828" s="9" t="s">
        <v>3413</v>
      </c>
      <c r="D1828" s="6">
        <v>180</v>
      </c>
      <c r="F1828">
        <v>100</v>
      </c>
    </row>
    <row r="1829" spans="1:6" x14ac:dyDescent="0.2">
      <c r="A1829" s="2" t="str">
        <f>"8606108597279"</f>
        <v>8606108597279</v>
      </c>
      <c r="B1829" s="1" t="s">
        <v>1819</v>
      </c>
      <c r="C1829" s="9" t="s">
        <v>3413</v>
      </c>
      <c r="D1829" s="6">
        <v>865.01</v>
      </c>
      <c r="F1829">
        <v>100</v>
      </c>
    </row>
    <row r="1830" spans="1:6" x14ac:dyDescent="0.2">
      <c r="A1830" s="2" t="str">
        <f>"8600101745958"</f>
        <v>8600101745958</v>
      </c>
      <c r="B1830" s="1" t="s">
        <v>1820</v>
      </c>
      <c r="C1830" s="9" t="s">
        <v>3413</v>
      </c>
      <c r="D1830" s="6">
        <v>409.97</v>
      </c>
      <c r="F1830">
        <v>100</v>
      </c>
    </row>
    <row r="1831" spans="1:6" x14ac:dyDescent="0.2">
      <c r="A1831" s="2" t="str">
        <f>"4015400125099"</f>
        <v>4015400125099</v>
      </c>
      <c r="B1831" s="1" t="s">
        <v>1821</v>
      </c>
      <c r="C1831" s="9" t="s">
        <v>3418</v>
      </c>
      <c r="D1831" s="6">
        <v>175.01</v>
      </c>
      <c r="F1831">
        <v>100</v>
      </c>
    </row>
    <row r="1832" spans="1:6" x14ac:dyDescent="0.2">
      <c r="A1832" s="2" t="str">
        <f>"7322540201192"</f>
        <v>7322540201192</v>
      </c>
      <c r="B1832" s="1" t="s">
        <v>1822</v>
      </c>
      <c r="C1832" s="9" t="s">
        <v>3418</v>
      </c>
      <c r="D1832" s="6">
        <v>1233.3900000000001</v>
      </c>
      <c r="F1832">
        <v>100</v>
      </c>
    </row>
    <row r="1833" spans="1:6" x14ac:dyDescent="0.2">
      <c r="A1833" s="2" t="str">
        <f>"8600101745675"</f>
        <v>8600101745675</v>
      </c>
      <c r="B1833" s="1" t="s">
        <v>1823</v>
      </c>
      <c r="C1833" s="9" t="s">
        <v>3413</v>
      </c>
      <c r="D1833" s="6">
        <v>166.86</v>
      </c>
      <c r="F1833">
        <v>100</v>
      </c>
    </row>
    <row r="1834" spans="1:6" x14ac:dyDescent="0.2">
      <c r="A1834" s="2" t="str">
        <f>"5999077500214"</f>
        <v>5999077500214</v>
      </c>
      <c r="B1834" s="1" t="s">
        <v>1824</v>
      </c>
      <c r="C1834" s="9" t="s">
        <v>3414</v>
      </c>
      <c r="D1834" s="6">
        <v>109.99</v>
      </c>
      <c r="F1834">
        <v>100</v>
      </c>
    </row>
    <row r="1835" spans="1:6" x14ac:dyDescent="0.2">
      <c r="A1835" s="2" t="str">
        <f>"5999077500498"</f>
        <v>5999077500498</v>
      </c>
      <c r="B1835" s="1" t="s">
        <v>1825</v>
      </c>
      <c r="C1835" s="9" t="s">
        <v>3414</v>
      </c>
      <c r="D1835" s="6">
        <v>94.96</v>
      </c>
      <c r="F1835">
        <v>100</v>
      </c>
    </row>
    <row r="1836" spans="1:6" x14ac:dyDescent="0.2">
      <c r="A1836" s="2" t="str">
        <f>"5999077500184"</f>
        <v>5999077500184</v>
      </c>
      <c r="B1836" s="1" t="s">
        <v>1826</v>
      </c>
      <c r="C1836" s="9" t="s">
        <v>3414</v>
      </c>
      <c r="D1836" s="6">
        <v>107.96</v>
      </c>
      <c r="F1836">
        <v>100</v>
      </c>
    </row>
    <row r="1837" spans="1:6" x14ac:dyDescent="0.2">
      <c r="A1837" s="2" t="str">
        <f>"8697975141368"</f>
        <v>8697975141368</v>
      </c>
      <c r="B1837" s="1" t="s">
        <v>1827</v>
      </c>
      <c r="C1837" s="9" t="s">
        <v>3422</v>
      </c>
      <c r="D1837" s="6">
        <v>54.95</v>
      </c>
      <c r="F1837">
        <v>100</v>
      </c>
    </row>
    <row r="1838" spans="1:6" x14ac:dyDescent="0.2">
      <c r="A1838" s="2" t="str">
        <f>"5997381102698"</f>
        <v>5997381102698</v>
      </c>
      <c r="B1838" s="1" t="s">
        <v>1828</v>
      </c>
      <c r="C1838" s="9" t="s">
        <v>3413</v>
      </c>
      <c r="D1838" s="6">
        <v>111</v>
      </c>
      <c r="F1838">
        <v>100</v>
      </c>
    </row>
    <row r="1839" spans="1:6" x14ac:dyDescent="0.2">
      <c r="A1839" s="2" t="str">
        <f>"5997381102490"</f>
        <v>5997381102490</v>
      </c>
      <c r="B1839" s="1" t="s">
        <v>1829</v>
      </c>
      <c r="C1839" s="9" t="s">
        <v>3413</v>
      </c>
      <c r="D1839" s="6">
        <v>111</v>
      </c>
      <c r="F1839">
        <v>100</v>
      </c>
    </row>
    <row r="1840" spans="1:6" x14ac:dyDescent="0.2">
      <c r="A1840" s="2" t="str">
        <f>"5999077500559"</f>
        <v>5999077500559</v>
      </c>
      <c r="B1840" s="1" t="s">
        <v>1830</v>
      </c>
      <c r="C1840" s="9" t="s">
        <v>3415</v>
      </c>
      <c r="D1840" s="6">
        <v>94.54</v>
      </c>
      <c r="F1840">
        <v>100</v>
      </c>
    </row>
    <row r="1841" spans="1:6" x14ac:dyDescent="0.2">
      <c r="A1841" s="2" t="str">
        <f>"7322540084528"</f>
        <v>7322540084528</v>
      </c>
      <c r="B1841" s="1" t="s">
        <v>1831</v>
      </c>
      <c r="C1841" s="9" t="s">
        <v>3413</v>
      </c>
      <c r="D1841" s="6">
        <v>205</v>
      </c>
      <c r="F1841">
        <v>100</v>
      </c>
    </row>
    <row r="1842" spans="1:6" x14ac:dyDescent="0.2">
      <c r="A1842" s="2" t="str">
        <f>"7322540534535"</f>
        <v>7322540534535</v>
      </c>
      <c r="B1842" s="1" t="s">
        <v>1832</v>
      </c>
      <c r="C1842" s="9" t="s">
        <v>3414</v>
      </c>
      <c r="D1842" s="6">
        <v>1259.5</v>
      </c>
      <c r="F1842">
        <v>100</v>
      </c>
    </row>
    <row r="1843" spans="1:6" x14ac:dyDescent="0.2">
      <c r="A1843" s="2" t="str">
        <f>"5999887370175"</f>
        <v>5999887370175</v>
      </c>
      <c r="B1843" s="1" t="s">
        <v>1833</v>
      </c>
      <c r="C1843" s="9" t="s">
        <v>3411</v>
      </c>
      <c r="D1843" s="6">
        <v>120.65</v>
      </c>
      <c r="F1843">
        <v>100</v>
      </c>
    </row>
    <row r="1844" spans="1:6" x14ac:dyDescent="0.2">
      <c r="A1844" s="2" t="str">
        <f>"5997381103206"</f>
        <v>5997381103206</v>
      </c>
      <c r="B1844" s="1" t="s">
        <v>1834</v>
      </c>
      <c r="C1844" s="9" t="s">
        <v>3413</v>
      </c>
      <c r="D1844" s="6">
        <v>111</v>
      </c>
      <c r="F1844">
        <v>100</v>
      </c>
    </row>
    <row r="1845" spans="1:6" x14ac:dyDescent="0.2">
      <c r="A1845" s="2" t="str">
        <f>"5999077500528"</f>
        <v>5999077500528</v>
      </c>
      <c r="B1845" s="1" t="s">
        <v>1835</v>
      </c>
      <c r="C1845" s="9" t="s">
        <v>3415</v>
      </c>
      <c r="D1845" s="6">
        <v>94.99</v>
      </c>
      <c r="F1845">
        <v>100</v>
      </c>
    </row>
    <row r="1846" spans="1:6" x14ac:dyDescent="0.2">
      <c r="A1846" s="2" t="str">
        <f>"5999077500177"</f>
        <v>5999077500177</v>
      </c>
      <c r="B1846" s="1" t="s">
        <v>1836</v>
      </c>
      <c r="C1846" s="9" t="s">
        <v>3413</v>
      </c>
      <c r="D1846" s="6">
        <v>103.7</v>
      </c>
      <c r="F1846">
        <v>100</v>
      </c>
    </row>
    <row r="1847" spans="1:6" x14ac:dyDescent="0.2">
      <c r="A1847" s="2" t="str">
        <f>"7322540254259"</f>
        <v>7322540254259</v>
      </c>
      <c r="B1847" s="1" t="s">
        <v>1837</v>
      </c>
      <c r="C1847" s="9" t="s">
        <v>3418</v>
      </c>
      <c r="D1847" s="6">
        <v>1255.27</v>
      </c>
      <c r="F1847">
        <v>100</v>
      </c>
    </row>
    <row r="1848" spans="1:6" x14ac:dyDescent="0.2">
      <c r="A1848" s="2" t="str">
        <f>"7322540201925"</f>
        <v>7322540201925</v>
      </c>
      <c r="B1848" s="1" t="s">
        <v>1838</v>
      </c>
      <c r="C1848" s="9" t="s">
        <v>3418</v>
      </c>
      <c r="D1848" s="6">
        <v>1244.08</v>
      </c>
      <c r="F1848">
        <v>100</v>
      </c>
    </row>
    <row r="1849" spans="1:6" x14ac:dyDescent="0.2">
      <c r="A1849" s="2" t="str">
        <f>"5992550173271"</f>
        <v>5992550173271</v>
      </c>
      <c r="B1849" s="1" t="s">
        <v>1839</v>
      </c>
      <c r="C1849" s="9" t="s">
        <v>3423</v>
      </c>
      <c r="D1849" s="6">
        <v>115.19</v>
      </c>
      <c r="F1849">
        <v>100</v>
      </c>
    </row>
    <row r="1850" spans="1:6" x14ac:dyDescent="0.2">
      <c r="A1850" s="2" t="str">
        <f>"157          "</f>
        <v xml:space="preserve">157          </v>
      </c>
      <c r="B1850" s="1" t="s">
        <v>1840</v>
      </c>
      <c r="C1850" s="9" t="s">
        <v>3424</v>
      </c>
      <c r="D1850" s="6">
        <v>22.42</v>
      </c>
      <c r="F1850">
        <v>100</v>
      </c>
    </row>
    <row r="1851" spans="1:6" x14ac:dyDescent="0.2">
      <c r="A1851" s="2" t="str">
        <f>"81           "</f>
        <v xml:space="preserve">81           </v>
      </c>
      <c r="B1851" s="1" t="s">
        <v>1841</v>
      </c>
      <c r="C1851" s="9" t="s">
        <v>3424</v>
      </c>
      <c r="D1851" s="6">
        <v>25.49</v>
      </c>
      <c r="F1851">
        <v>100</v>
      </c>
    </row>
    <row r="1852" spans="1:6" x14ac:dyDescent="0.2">
      <c r="A1852" s="2" t="str">
        <f>"824          "</f>
        <v xml:space="preserve">824          </v>
      </c>
      <c r="B1852" s="1" t="s">
        <v>1842</v>
      </c>
      <c r="C1852" s="9" t="s">
        <v>3424</v>
      </c>
      <c r="D1852" s="6">
        <v>30.59</v>
      </c>
      <c r="F1852">
        <v>100</v>
      </c>
    </row>
    <row r="1853" spans="1:6" x14ac:dyDescent="0.2">
      <c r="A1853" s="2" t="str">
        <f>"5999526830015"</f>
        <v>5999526830015</v>
      </c>
      <c r="B1853" s="1" t="s">
        <v>1843</v>
      </c>
      <c r="C1853" s="9" t="s">
        <v>3424</v>
      </c>
      <c r="D1853" s="6">
        <v>201.36</v>
      </c>
      <c r="F1853">
        <v>100</v>
      </c>
    </row>
    <row r="1854" spans="1:6" x14ac:dyDescent="0.2">
      <c r="A1854" s="2" t="str">
        <f>"189          "</f>
        <v xml:space="preserve">189          </v>
      </c>
      <c r="B1854" s="1" t="s">
        <v>1844</v>
      </c>
      <c r="C1854" s="9" t="s">
        <v>3424</v>
      </c>
      <c r="D1854" s="6">
        <v>120.28</v>
      </c>
      <c r="F1854">
        <v>100</v>
      </c>
    </row>
    <row r="1855" spans="1:6" x14ac:dyDescent="0.2">
      <c r="A1855" s="2" t="str">
        <f>"67           "</f>
        <v xml:space="preserve">67           </v>
      </c>
      <c r="B1855" s="1" t="s">
        <v>1845</v>
      </c>
      <c r="C1855" s="9" t="s">
        <v>3424</v>
      </c>
      <c r="D1855" s="6">
        <v>56.71</v>
      </c>
      <c r="F1855">
        <v>100</v>
      </c>
    </row>
    <row r="1856" spans="1:6" x14ac:dyDescent="0.2">
      <c r="A1856" s="2" t="str">
        <f>"12           "</f>
        <v xml:space="preserve">12           </v>
      </c>
      <c r="B1856" s="1" t="s">
        <v>1846</v>
      </c>
      <c r="C1856" s="9" t="s">
        <v>3424</v>
      </c>
      <c r="D1856" s="6">
        <v>54.8</v>
      </c>
      <c r="F1856">
        <v>100</v>
      </c>
    </row>
    <row r="1857" spans="1:6" x14ac:dyDescent="0.2">
      <c r="A1857" s="2" t="str">
        <f>"810          "</f>
        <v xml:space="preserve">810          </v>
      </c>
      <c r="B1857" s="1" t="s">
        <v>1847</v>
      </c>
      <c r="C1857" s="9" t="s">
        <v>3424</v>
      </c>
      <c r="D1857" s="6">
        <v>77.739999999999995</v>
      </c>
      <c r="F1857">
        <v>100</v>
      </c>
    </row>
    <row r="1858" spans="1:6" x14ac:dyDescent="0.2">
      <c r="A1858" s="2" t="str">
        <f>"95           "</f>
        <v xml:space="preserve">95           </v>
      </c>
      <c r="B1858" s="1" t="s">
        <v>1848</v>
      </c>
      <c r="C1858" s="9" t="s">
        <v>3424</v>
      </c>
      <c r="D1858" s="6">
        <v>115.97</v>
      </c>
      <c r="F1858">
        <v>100</v>
      </c>
    </row>
    <row r="1859" spans="1:6" x14ac:dyDescent="0.2">
      <c r="A1859" s="2" t="str">
        <f>"5999526830022"</f>
        <v>5999526830022</v>
      </c>
      <c r="B1859" s="1" t="s">
        <v>1849</v>
      </c>
      <c r="C1859" s="9" t="s">
        <v>3424</v>
      </c>
      <c r="D1859" s="6">
        <v>318.60000000000002</v>
      </c>
      <c r="F1859">
        <v>100</v>
      </c>
    </row>
    <row r="1860" spans="1:6" x14ac:dyDescent="0.2">
      <c r="A1860" s="2" t="str">
        <f>"145          "</f>
        <v xml:space="preserve">145          </v>
      </c>
      <c r="B1860" s="1" t="s">
        <v>1850</v>
      </c>
      <c r="C1860" s="9" t="s">
        <v>3424</v>
      </c>
      <c r="D1860" s="6">
        <v>184.79</v>
      </c>
      <c r="F1860">
        <v>100</v>
      </c>
    </row>
    <row r="1861" spans="1:6" x14ac:dyDescent="0.2">
      <c r="A1861" s="2" t="str">
        <f>"99           "</f>
        <v xml:space="preserve">99           </v>
      </c>
      <c r="B1861" s="1" t="s">
        <v>1851</v>
      </c>
      <c r="C1861" s="9" t="s">
        <v>3424</v>
      </c>
      <c r="D1861" s="6">
        <v>99.4</v>
      </c>
      <c r="F1861">
        <v>100</v>
      </c>
    </row>
    <row r="1862" spans="1:6" x14ac:dyDescent="0.2">
      <c r="A1862" s="2" t="str">
        <f>"5999526830220"</f>
        <v>5999526830220</v>
      </c>
      <c r="B1862" s="1" t="s">
        <v>1852</v>
      </c>
      <c r="C1862" s="9" t="s">
        <v>3424</v>
      </c>
      <c r="D1862" s="6">
        <v>318.60000000000002</v>
      </c>
      <c r="F1862">
        <v>100</v>
      </c>
    </row>
    <row r="1863" spans="1:6" x14ac:dyDescent="0.2">
      <c r="A1863" s="2" t="str">
        <f>"199          "</f>
        <v xml:space="preserve">199          </v>
      </c>
      <c r="B1863" s="1" t="s">
        <v>1853</v>
      </c>
      <c r="C1863" s="9" t="s">
        <v>3424</v>
      </c>
      <c r="D1863" s="6">
        <v>239.02</v>
      </c>
      <c r="F1863">
        <v>100</v>
      </c>
    </row>
    <row r="1864" spans="1:6" x14ac:dyDescent="0.2">
      <c r="A1864" s="2" t="str">
        <f>"130          "</f>
        <v xml:space="preserve">130          </v>
      </c>
      <c r="B1864" s="1" t="s">
        <v>1854</v>
      </c>
      <c r="C1864" s="9" t="s">
        <v>3392</v>
      </c>
      <c r="D1864" s="6">
        <v>177.55</v>
      </c>
      <c r="F1864">
        <v>100</v>
      </c>
    </row>
    <row r="1865" spans="1:6" x14ac:dyDescent="0.2">
      <c r="A1865" s="2" t="str">
        <f>"75           "</f>
        <v xml:space="preserve">75           </v>
      </c>
      <c r="B1865" s="1" t="s">
        <v>1855</v>
      </c>
      <c r="C1865" s="9" t="s">
        <v>3424</v>
      </c>
      <c r="D1865" s="6">
        <v>61.17</v>
      </c>
      <c r="F1865">
        <v>100</v>
      </c>
    </row>
    <row r="1866" spans="1:6" x14ac:dyDescent="0.2">
      <c r="A1866" s="2" t="str">
        <f>"86           "</f>
        <v xml:space="preserve">86           </v>
      </c>
      <c r="B1866" s="1" t="s">
        <v>1856</v>
      </c>
      <c r="C1866" s="9" t="s">
        <v>3424</v>
      </c>
      <c r="D1866" s="6">
        <v>178.42</v>
      </c>
      <c r="F1866">
        <v>100</v>
      </c>
    </row>
    <row r="1867" spans="1:6" x14ac:dyDescent="0.2">
      <c r="A1867" s="2" t="str">
        <f>"84           "</f>
        <v xml:space="preserve">84           </v>
      </c>
      <c r="B1867" s="1" t="s">
        <v>1857</v>
      </c>
      <c r="C1867" s="9" t="s">
        <v>3424</v>
      </c>
      <c r="D1867" s="6">
        <v>178.42</v>
      </c>
      <c r="F1867">
        <v>100</v>
      </c>
    </row>
    <row r="1868" spans="1:6" x14ac:dyDescent="0.2">
      <c r="A1868" s="2" t="str">
        <f>"164          "</f>
        <v xml:space="preserve">164          </v>
      </c>
      <c r="B1868" s="1" t="s">
        <v>1858</v>
      </c>
      <c r="C1868" s="9" t="s">
        <v>3392</v>
      </c>
      <c r="D1868" s="6">
        <v>158.72999999999999</v>
      </c>
      <c r="F1868">
        <v>100</v>
      </c>
    </row>
    <row r="1869" spans="1:6" x14ac:dyDescent="0.2">
      <c r="A1869" s="2" t="str">
        <f>"811          "</f>
        <v xml:space="preserve">811          </v>
      </c>
      <c r="B1869" s="1" t="s">
        <v>1859</v>
      </c>
      <c r="C1869" s="9" t="s">
        <v>3424</v>
      </c>
      <c r="D1869" s="6">
        <v>210.28</v>
      </c>
      <c r="F1869">
        <v>100</v>
      </c>
    </row>
    <row r="1870" spans="1:6" x14ac:dyDescent="0.2">
      <c r="A1870" s="2" t="str">
        <f>"82           "</f>
        <v xml:space="preserve">82           </v>
      </c>
      <c r="B1870" s="1" t="s">
        <v>1860</v>
      </c>
      <c r="C1870" s="9" t="s">
        <v>3425</v>
      </c>
      <c r="D1870" s="6">
        <v>192.43</v>
      </c>
      <c r="F1870">
        <v>100</v>
      </c>
    </row>
    <row r="1871" spans="1:6" x14ac:dyDescent="0.2">
      <c r="A1871" s="2" t="str">
        <f>"5999526830046"</f>
        <v>5999526830046</v>
      </c>
      <c r="B1871" s="1" t="s">
        <v>1861</v>
      </c>
      <c r="C1871" s="9" t="s">
        <v>3424</v>
      </c>
      <c r="D1871" s="6">
        <v>212.82</v>
      </c>
      <c r="F1871">
        <v>100</v>
      </c>
    </row>
    <row r="1872" spans="1:6" x14ac:dyDescent="0.2">
      <c r="A1872" s="2" t="str">
        <f>"87           "</f>
        <v xml:space="preserve">87           </v>
      </c>
      <c r="B1872" s="1" t="s">
        <v>1862</v>
      </c>
      <c r="C1872" s="9" t="s">
        <v>3424</v>
      </c>
      <c r="D1872" s="6">
        <v>316.05</v>
      </c>
      <c r="F1872">
        <v>100</v>
      </c>
    </row>
    <row r="1873" spans="1:6" x14ac:dyDescent="0.2">
      <c r="A1873" s="2" t="str">
        <f>"817          "</f>
        <v xml:space="preserve">817          </v>
      </c>
      <c r="B1873" s="1" t="s">
        <v>1863</v>
      </c>
      <c r="C1873" s="9" t="s">
        <v>3424</v>
      </c>
      <c r="D1873" s="6">
        <v>101.95</v>
      </c>
      <c r="F1873">
        <v>100</v>
      </c>
    </row>
    <row r="1874" spans="1:6" x14ac:dyDescent="0.2">
      <c r="A1874" s="2" t="str">
        <f>"8002590057763"</f>
        <v>8002590057763</v>
      </c>
      <c r="B1874" s="1" t="s">
        <v>1864</v>
      </c>
      <c r="C1874" s="9" t="s">
        <v>3374</v>
      </c>
      <c r="D1874" s="6">
        <v>287.44</v>
      </c>
      <c r="F1874">
        <v>100</v>
      </c>
    </row>
    <row r="1875" spans="1:6" x14ac:dyDescent="0.2">
      <c r="A1875" s="2" t="str">
        <f>"66           "</f>
        <v xml:space="preserve">66           </v>
      </c>
      <c r="B1875" s="1" t="s">
        <v>1865</v>
      </c>
      <c r="C1875" s="9" t="s">
        <v>3392</v>
      </c>
      <c r="D1875" s="6">
        <v>160.1</v>
      </c>
      <c r="F1875">
        <v>100</v>
      </c>
    </row>
    <row r="1876" spans="1:6" x14ac:dyDescent="0.2">
      <c r="A1876" s="2" t="str">
        <f>"131          "</f>
        <v xml:space="preserve">131          </v>
      </c>
      <c r="B1876" s="1" t="s">
        <v>1866</v>
      </c>
      <c r="C1876" s="9" t="s">
        <v>3392</v>
      </c>
      <c r="D1876" s="6">
        <v>174.33</v>
      </c>
      <c r="F1876">
        <v>100</v>
      </c>
    </row>
    <row r="1877" spans="1:6" x14ac:dyDescent="0.2">
      <c r="A1877" s="2" t="str">
        <f>"167          "</f>
        <v xml:space="preserve">167          </v>
      </c>
      <c r="B1877" s="1" t="s">
        <v>1867</v>
      </c>
      <c r="C1877" s="9" t="s">
        <v>3392</v>
      </c>
      <c r="D1877" s="6">
        <v>144.94</v>
      </c>
      <c r="F1877">
        <v>100</v>
      </c>
    </row>
    <row r="1878" spans="1:6" x14ac:dyDescent="0.2">
      <c r="A1878" s="2" t="str">
        <f>"41           "</f>
        <v xml:space="preserve">41           </v>
      </c>
      <c r="B1878" s="1" t="s">
        <v>1868</v>
      </c>
      <c r="C1878" s="9" t="s">
        <v>3425</v>
      </c>
      <c r="D1878" s="6">
        <v>108.32</v>
      </c>
      <c r="F1878">
        <v>100</v>
      </c>
    </row>
    <row r="1879" spans="1:6" x14ac:dyDescent="0.2">
      <c r="A1879" s="2" t="str">
        <f>"83           "</f>
        <v xml:space="preserve">83           </v>
      </c>
      <c r="B1879" s="1" t="s">
        <v>1869</v>
      </c>
      <c r="C1879" s="9" t="s">
        <v>3425</v>
      </c>
      <c r="D1879" s="6">
        <v>192.43</v>
      </c>
      <c r="F1879">
        <v>100</v>
      </c>
    </row>
    <row r="1880" spans="1:6" x14ac:dyDescent="0.2">
      <c r="A1880" s="2" t="str">
        <f>"132          "</f>
        <v xml:space="preserve">132          </v>
      </c>
      <c r="B1880" s="1" t="s">
        <v>1870</v>
      </c>
      <c r="C1880" s="9" t="s">
        <v>3392</v>
      </c>
      <c r="D1880" s="6">
        <v>191.49</v>
      </c>
      <c r="F1880">
        <v>100</v>
      </c>
    </row>
    <row r="1881" spans="1:6" x14ac:dyDescent="0.2">
      <c r="A1881" s="2" t="str">
        <f>"249          "</f>
        <v xml:space="preserve">249          </v>
      </c>
      <c r="B1881" s="1" t="s">
        <v>1871</v>
      </c>
      <c r="C1881" s="9" t="s">
        <v>3426</v>
      </c>
      <c r="D1881" s="6">
        <v>246.62</v>
      </c>
      <c r="F1881">
        <v>100</v>
      </c>
    </row>
    <row r="1882" spans="1:6" x14ac:dyDescent="0.2">
      <c r="A1882" s="2" t="str">
        <f>"814          "</f>
        <v xml:space="preserve">814          </v>
      </c>
      <c r="B1882" s="1" t="s">
        <v>1872</v>
      </c>
      <c r="C1882" s="9" t="s">
        <v>3425</v>
      </c>
      <c r="D1882" s="6">
        <v>247.8</v>
      </c>
      <c r="F1882">
        <v>100</v>
      </c>
    </row>
    <row r="1883" spans="1:6" x14ac:dyDescent="0.2">
      <c r="A1883" s="2" t="str">
        <f>"91           "</f>
        <v xml:space="preserve">91           </v>
      </c>
      <c r="B1883" s="1" t="s">
        <v>1873</v>
      </c>
      <c r="C1883" s="9" t="s">
        <v>3389</v>
      </c>
      <c r="D1883" s="6">
        <v>94.4</v>
      </c>
      <c r="F1883">
        <v>100</v>
      </c>
    </row>
    <row r="1884" spans="1:6" x14ac:dyDescent="0.2">
      <c r="A1884" s="2" t="str">
        <f>"8002590057749"</f>
        <v>8002590057749</v>
      </c>
      <c r="B1884" s="1" t="s">
        <v>1874</v>
      </c>
      <c r="C1884" s="9" t="s">
        <v>3374</v>
      </c>
      <c r="D1884" s="6">
        <v>299.72000000000003</v>
      </c>
      <c r="F1884">
        <v>100</v>
      </c>
    </row>
    <row r="1885" spans="1:6" x14ac:dyDescent="0.2">
      <c r="A1885" s="2" t="str">
        <f>"85           "</f>
        <v xml:space="preserve">85           </v>
      </c>
      <c r="B1885" s="1" t="s">
        <v>1875</v>
      </c>
      <c r="C1885" s="9" t="s">
        <v>3424</v>
      </c>
      <c r="D1885" s="6">
        <v>129.99</v>
      </c>
      <c r="F1885">
        <v>100</v>
      </c>
    </row>
    <row r="1886" spans="1:6" x14ac:dyDescent="0.2">
      <c r="A1886" s="2" t="str">
        <f>"34           "</f>
        <v xml:space="preserve">34           </v>
      </c>
      <c r="B1886" s="1" t="s">
        <v>1876</v>
      </c>
      <c r="C1886" s="9" t="s">
        <v>3392</v>
      </c>
      <c r="D1886" s="6">
        <v>1300</v>
      </c>
      <c r="F1886">
        <v>100</v>
      </c>
    </row>
    <row r="1887" spans="1:6" x14ac:dyDescent="0.2">
      <c r="A1887" s="2" t="str">
        <f>"8002590057756"</f>
        <v>8002590057756</v>
      </c>
      <c r="B1887" s="1" t="s">
        <v>1877</v>
      </c>
      <c r="C1887" s="9" t="s">
        <v>3374</v>
      </c>
      <c r="D1887" s="6">
        <v>299.72000000000003</v>
      </c>
      <c r="F1887">
        <v>100</v>
      </c>
    </row>
    <row r="1888" spans="1:6" x14ac:dyDescent="0.2">
      <c r="A1888" s="2" t="str">
        <f>"8007453010114"</f>
        <v>8007453010114</v>
      </c>
      <c r="B1888" s="1" t="s">
        <v>1878</v>
      </c>
      <c r="C1888" s="9" t="s">
        <v>3374</v>
      </c>
      <c r="D1888" s="6">
        <v>299.72000000000003</v>
      </c>
      <c r="F1888">
        <v>100</v>
      </c>
    </row>
    <row r="1889" spans="1:6" x14ac:dyDescent="0.2">
      <c r="A1889" s="2" t="str">
        <f>"349          "</f>
        <v xml:space="preserve">349          </v>
      </c>
      <c r="B1889" s="1" t="s">
        <v>1879</v>
      </c>
      <c r="C1889" s="9" t="s">
        <v>3389</v>
      </c>
      <c r="D1889" s="6">
        <v>321.16000000000003</v>
      </c>
      <c r="F1889">
        <v>100</v>
      </c>
    </row>
    <row r="1890" spans="1:6" x14ac:dyDescent="0.2">
      <c r="A1890" s="2" t="str">
        <f>"65           "</f>
        <v xml:space="preserve">65           </v>
      </c>
      <c r="B1890" s="1" t="s">
        <v>1880</v>
      </c>
      <c r="C1890" s="9" t="s">
        <v>3389</v>
      </c>
      <c r="D1890" s="6">
        <v>125</v>
      </c>
      <c r="F1890">
        <v>100</v>
      </c>
    </row>
    <row r="1891" spans="1:6" x14ac:dyDescent="0.2">
      <c r="A1891" s="2" t="str">
        <f>"33           "</f>
        <v xml:space="preserve">33           </v>
      </c>
      <c r="B1891" s="1" t="s">
        <v>1881</v>
      </c>
      <c r="C1891" s="9" t="s">
        <v>3392</v>
      </c>
      <c r="D1891" s="6">
        <v>857.34</v>
      </c>
      <c r="F1891">
        <v>100</v>
      </c>
    </row>
    <row r="1892" spans="1:6" x14ac:dyDescent="0.2">
      <c r="A1892" s="2" t="str">
        <f>"5997437341293"</f>
        <v>5997437341293</v>
      </c>
      <c r="B1892" s="1" t="s">
        <v>1882</v>
      </c>
      <c r="C1892" s="9" t="s">
        <v>3427</v>
      </c>
      <c r="D1892" s="6">
        <v>241.9</v>
      </c>
      <c r="F1892">
        <v>100</v>
      </c>
    </row>
    <row r="1893" spans="1:6" x14ac:dyDescent="0.2">
      <c r="A1893" s="2" t="str">
        <f>"5997437341170"</f>
        <v>5997437341170</v>
      </c>
      <c r="B1893" s="1" t="s">
        <v>1883</v>
      </c>
      <c r="C1893" s="9" t="s">
        <v>3427</v>
      </c>
      <c r="D1893" s="6">
        <v>204.14</v>
      </c>
      <c r="F1893">
        <v>100</v>
      </c>
    </row>
    <row r="1894" spans="1:6" x14ac:dyDescent="0.2">
      <c r="A1894" s="2" t="str">
        <f>"5997437341200"</f>
        <v>5997437341200</v>
      </c>
      <c r="B1894" s="1" t="s">
        <v>1884</v>
      </c>
      <c r="C1894" s="9" t="s">
        <v>3427</v>
      </c>
      <c r="D1894" s="6">
        <v>365.8</v>
      </c>
      <c r="F1894">
        <v>100</v>
      </c>
    </row>
    <row r="1895" spans="1:6" x14ac:dyDescent="0.2">
      <c r="A1895" s="2" t="str">
        <f>"5997437341392"</f>
        <v>5997437341392</v>
      </c>
      <c r="B1895" s="1" t="s">
        <v>1885</v>
      </c>
      <c r="C1895" s="9" t="s">
        <v>3427</v>
      </c>
      <c r="D1895" s="6">
        <v>278.48</v>
      </c>
      <c r="F1895">
        <v>100</v>
      </c>
    </row>
    <row r="1896" spans="1:6" x14ac:dyDescent="0.2">
      <c r="A1896" s="2" t="str">
        <f>"5997437341095"</f>
        <v>5997437341095</v>
      </c>
      <c r="B1896" s="1" t="s">
        <v>1886</v>
      </c>
      <c r="C1896" s="9" t="s">
        <v>3427</v>
      </c>
      <c r="D1896" s="6">
        <v>289.10000000000002</v>
      </c>
      <c r="F1896">
        <v>100</v>
      </c>
    </row>
    <row r="1897" spans="1:6" x14ac:dyDescent="0.2">
      <c r="A1897" s="2" t="str">
        <f>"5997437341071"</f>
        <v>5997437341071</v>
      </c>
      <c r="B1897" s="1" t="s">
        <v>1887</v>
      </c>
      <c r="C1897" s="9" t="s">
        <v>3427</v>
      </c>
      <c r="D1897" s="6">
        <v>409.46</v>
      </c>
      <c r="F1897">
        <v>100</v>
      </c>
    </row>
    <row r="1898" spans="1:6" x14ac:dyDescent="0.2">
      <c r="A1898" s="2" t="str">
        <f>"5997437341064"</f>
        <v>5997437341064</v>
      </c>
      <c r="B1898" s="1" t="s">
        <v>1888</v>
      </c>
      <c r="C1898" s="9" t="s">
        <v>3427</v>
      </c>
      <c r="D1898" s="6">
        <v>322.14</v>
      </c>
      <c r="F1898">
        <v>100</v>
      </c>
    </row>
    <row r="1899" spans="1:6" x14ac:dyDescent="0.2">
      <c r="A1899" s="2" t="str">
        <f>"5997437343068"</f>
        <v>5997437343068</v>
      </c>
      <c r="B1899" s="1" t="s">
        <v>1889</v>
      </c>
      <c r="C1899" s="9" t="s">
        <v>3427</v>
      </c>
      <c r="D1899" s="6">
        <v>200.6</v>
      </c>
      <c r="F1899">
        <v>100</v>
      </c>
    </row>
    <row r="1900" spans="1:6" x14ac:dyDescent="0.2">
      <c r="A1900" s="2" t="str">
        <f>"5997437341088"</f>
        <v>5997437341088</v>
      </c>
      <c r="B1900" s="1" t="s">
        <v>1890</v>
      </c>
      <c r="C1900" s="9" t="s">
        <v>3427</v>
      </c>
      <c r="D1900" s="6">
        <v>372.88</v>
      </c>
      <c r="F1900">
        <v>100</v>
      </c>
    </row>
    <row r="1901" spans="1:6" x14ac:dyDescent="0.2">
      <c r="A1901" s="2" t="str">
        <f>"5997437341323"</f>
        <v>5997437341323</v>
      </c>
      <c r="B1901" s="1" t="s">
        <v>1891</v>
      </c>
      <c r="C1901" s="9" t="s">
        <v>3427</v>
      </c>
      <c r="D1901" s="6">
        <v>424.8</v>
      </c>
      <c r="F1901">
        <v>100</v>
      </c>
    </row>
    <row r="1902" spans="1:6" x14ac:dyDescent="0.2">
      <c r="A1902" s="2" t="str">
        <f>"5997437341149"</f>
        <v>5997437341149</v>
      </c>
      <c r="B1902" s="1" t="s">
        <v>1892</v>
      </c>
      <c r="C1902" s="9" t="s">
        <v>3427</v>
      </c>
      <c r="D1902" s="6">
        <v>365.8</v>
      </c>
      <c r="F1902">
        <v>100</v>
      </c>
    </row>
    <row r="1903" spans="1:6" x14ac:dyDescent="0.2">
      <c r="A1903" s="2" t="str">
        <f>"5997437341330"</f>
        <v>5997437341330</v>
      </c>
      <c r="B1903" s="1" t="s">
        <v>1893</v>
      </c>
      <c r="C1903" s="9" t="s">
        <v>3427</v>
      </c>
      <c r="D1903" s="6">
        <v>218.3</v>
      </c>
      <c r="F1903">
        <v>100</v>
      </c>
    </row>
    <row r="1904" spans="1:6" x14ac:dyDescent="0.2">
      <c r="A1904" s="2" t="str">
        <f>"5997437341057"</f>
        <v>5997437341057</v>
      </c>
      <c r="B1904" s="1" t="s">
        <v>1894</v>
      </c>
      <c r="C1904" s="9" t="s">
        <v>3427</v>
      </c>
      <c r="D1904" s="6">
        <v>211.22</v>
      </c>
      <c r="F1904">
        <v>100</v>
      </c>
    </row>
    <row r="1905" spans="1:6" x14ac:dyDescent="0.2">
      <c r="A1905" s="2" t="str">
        <f>"5997437343082"</f>
        <v>5997437343082</v>
      </c>
      <c r="B1905" s="1" t="s">
        <v>1895</v>
      </c>
      <c r="C1905" s="9" t="s">
        <v>3427</v>
      </c>
      <c r="D1905" s="6">
        <v>375.24</v>
      </c>
      <c r="F1905">
        <v>100</v>
      </c>
    </row>
    <row r="1906" spans="1:6" x14ac:dyDescent="0.2">
      <c r="A1906" s="2" t="str">
        <f>"5997437342160"</f>
        <v>5997437342160</v>
      </c>
      <c r="B1906" s="1" t="s">
        <v>1896</v>
      </c>
      <c r="C1906" s="9" t="s">
        <v>3427</v>
      </c>
      <c r="D1906" s="6">
        <v>365.8</v>
      </c>
      <c r="F1906">
        <v>100</v>
      </c>
    </row>
    <row r="1907" spans="1:6" x14ac:dyDescent="0.2">
      <c r="A1907" s="2" t="str">
        <f>"5997437342283"</f>
        <v>5997437342283</v>
      </c>
      <c r="B1907" s="1" t="s">
        <v>1897</v>
      </c>
      <c r="C1907" s="9" t="s">
        <v>3427</v>
      </c>
      <c r="D1907" s="6">
        <v>285.56</v>
      </c>
      <c r="F1907">
        <v>100</v>
      </c>
    </row>
    <row r="1908" spans="1:6" x14ac:dyDescent="0.2">
      <c r="A1908" s="2" t="str">
        <f>"5998811758140"</f>
        <v>5998811758140</v>
      </c>
      <c r="B1908" s="1" t="s">
        <v>1898</v>
      </c>
      <c r="C1908" s="9" t="s">
        <v>3383</v>
      </c>
      <c r="D1908" s="6">
        <v>728.08</v>
      </c>
      <c r="F1908">
        <v>100</v>
      </c>
    </row>
    <row r="1909" spans="1:6" x14ac:dyDescent="0.2">
      <c r="A1909" s="2" t="str">
        <f>"5998815796223"</f>
        <v>5998815796223</v>
      </c>
      <c r="B1909" s="1" t="s">
        <v>1899</v>
      </c>
      <c r="C1909" s="9" t="s">
        <v>3382</v>
      </c>
      <c r="D1909" s="6">
        <v>369</v>
      </c>
      <c r="F1909">
        <v>100</v>
      </c>
    </row>
    <row r="1910" spans="1:6" x14ac:dyDescent="0.2">
      <c r="A1910" s="2" t="str">
        <f>"5998813152618"</f>
        <v>5998813152618</v>
      </c>
      <c r="B1910" s="1" t="s">
        <v>1900</v>
      </c>
      <c r="C1910" s="9" t="s">
        <v>3382</v>
      </c>
      <c r="D1910" s="6">
        <v>767.09</v>
      </c>
      <c r="F1910">
        <v>100</v>
      </c>
    </row>
    <row r="1911" spans="1:6" x14ac:dyDescent="0.2">
      <c r="A1911" s="2" t="str">
        <f>"5998811762048"</f>
        <v>5998811762048</v>
      </c>
      <c r="B1911" s="1" t="s">
        <v>1901</v>
      </c>
      <c r="C1911" s="9" t="s">
        <v>3382</v>
      </c>
      <c r="D1911" s="6">
        <v>824.64</v>
      </c>
      <c r="F1911">
        <v>100</v>
      </c>
    </row>
    <row r="1912" spans="1:6" x14ac:dyDescent="0.2">
      <c r="A1912" s="2" t="str">
        <f>"5998811754852"</f>
        <v>5998811754852</v>
      </c>
      <c r="B1912" s="1" t="s">
        <v>1902</v>
      </c>
      <c r="C1912" s="9" t="s">
        <v>3383</v>
      </c>
      <c r="D1912" s="6">
        <v>692.92</v>
      </c>
      <c r="F1912">
        <v>100</v>
      </c>
    </row>
    <row r="1913" spans="1:6" x14ac:dyDescent="0.2">
      <c r="A1913" s="2" t="str">
        <f>"5998811760419"</f>
        <v>5998811760419</v>
      </c>
      <c r="B1913" s="1" t="s">
        <v>1903</v>
      </c>
      <c r="C1913" s="9" t="s">
        <v>3382</v>
      </c>
      <c r="D1913" s="6">
        <v>219.84</v>
      </c>
      <c r="F1913">
        <v>100</v>
      </c>
    </row>
    <row r="1914" spans="1:6" x14ac:dyDescent="0.2">
      <c r="A1914" s="2" t="str">
        <f>"5998815750638"</f>
        <v>5998815750638</v>
      </c>
      <c r="B1914" s="1" t="s">
        <v>1904</v>
      </c>
      <c r="C1914" s="9" t="s">
        <v>3382</v>
      </c>
      <c r="D1914" s="6">
        <v>840</v>
      </c>
      <c r="F1914">
        <v>100</v>
      </c>
    </row>
    <row r="1915" spans="1:6" x14ac:dyDescent="0.2">
      <c r="A1915" s="2" t="str">
        <f>"5998815750607"</f>
        <v>5998815750607</v>
      </c>
      <c r="B1915" s="1" t="s">
        <v>1905</v>
      </c>
      <c r="C1915" s="9" t="s">
        <v>3382</v>
      </c>
      <c r="D1915" s="6">
        <v>838.06</v>
      </c>
      <c r="F1915">
        <v>100</v>
      </c>
    </row>
    <row r="1916" spans="1:6" x14ac:dyDescent="0.2">
      <c r="A1916" s="2" t="str">
        <f>"5998815796216"</f>
        <v>5998815796216</v>
      </c>
      <c r="B1916" s="1" t="s">
        <v>1906</v>
      </c>
      <c r="C1916" s="9" t="s">
        <v>3382</v>
      </c>
      <c r="D1916" s="6">
        <v>363.32</v>
      </c>
      <c r="F1916">
        <v>100</v>
      </c>
    </row>
    <row r="1917" spans="1:6" x14ac:dyDescent="0.2">
      <c r="A1917" s="2" t="str">
        <f>"5998813150706"</f>
        <v>5998813150706</v>
      </c>
      <c r="B1917" s="1" t="s">
        <v>1907</v>
      </c>
      <c r="C1917" s="9" t="s">
        <v>3382</v>
      </c>
      <c r="D1917" s="6">
        <v>767.84</v>
      </c>
      <c r="F1917">
        <v>100</v>
      </c>
    </row>
    <row r="1918" spans="1:6" x14ac:dyDescent="0.2">
      <c r="A1918" s="2" t="str">
        <f>"4003310012363"</f>
        <v>4003310012363</v>
      </c>
      <c r="B1918" s="1" t="s">
        <v>1908</v>
      </c>
      <c r="C1918" s="9" t="s">
        <v>3383</v>
      </c>
      <c r="D1918" s="6">
        <v>465</v>
      </c>
      <c r="F1918">
        <v>100</v>
      </c>
    </row>
    <row r="1919" spans="1:6" x14ac:dyDescent="0.2">
      <c r="A1919" s="2" t="str">
        <f>"5998818564898"</f>
        <v>5998818564898</v>
      </c>
      <c r="B1919" s="1" t="s">
        <v>1909</v>
      </c>
      <c r="C1919" s="9" t="s">
        <v>3382</v>
      </c>
      <c r="D1919" s="6">
        <v>331.2</v>
      </c>
      <c r="F1919">
        <v>100</v>
      </c>
    </row>
    <row r="1920" spans="1:6" x14ac:dyDescent="0.2">
      <c r="A1920" s="2" t="str">
        <f>"5998818564904"</f>
        <v>5998818564904</v>
      </c>
      <c r="B1920" s="1" t="s">
        <v>1910</v>
      </c>
      <c r="C1920" s="9" t="s">
        <v>3382</v>
      </c>
      <c r="D1920" s="6">
        <v>331.2</v>
      </c>
      <c r="F1920">
        <v>100</v>
      </c>
    </row>
    <row r="1921" spans="1:6" x14ac:dyDescent="0.2">
      <c r="A1921" s="2" t="str">
        <f>"5998811760389"</f>
        <v>5998811760389</v>
      </c>
      <c r="B1921" s="1" t="s">
        <v>1911</v>
      </c>
      <c r="C1921" s="9" t="s">
        <v>3382</v>
      </c>
      <c r="D1921" s="6">
        <v>219.84</v>
      </c>
      <c r="F1921">
        <v>100</v>
      </c>
    </row>
    <row r="1922" spans="1:6" x14ac:dyDescent="0.2">
      <c r="A1922" s="2" t="str">
        <f>"5998811754845"</f>
        <v>5998811754845</v>
      </c>
      <c r="B1922" s="1" t="s">
        <v>1912</v>
      </c>
      <c r="C1922" s="9" t="s">
        <v>3383</v>
      </c>
      <c r="D1922" s="6">
        <v>691.52</v>
      </c>
      <c r="F1922">
        <v>100</v>
      </c>
    </row>
    <row r="1923" spans="1:6" x14ac:dyDescent="0.2">
      <c r="A1923" s="2" t="str">
        <f>"5998811757648"</f>
        <v>5998811757648</v>
      </c>
      <c r="B1923" s="1" t="s">
        <v>1913</v>
      </c>
      <c r="C1923" s="9" t="s">
        <v>3383</v>
      </c>
      <c r="D1923" s="6">
        <v>684.52</v>
      </c>
      <c r="F1923">
        <v>100</v>
      </c>
    </row>
    <row r="1924" spans="1:6" x14ac:dyDescent="0.2">
      <c r="A1924" s="2" t="str">
        <f>"5998815750621"</f>
        <v>5998815750621</v>
      </c>
      <c r="B1924" s="1" t="s">
        <v>1914</v>
      </c>
      <c r="C1924" s="9" t="s">
        <v>3382</v>
      </c>
      <c r="D1924" s="6">
        <v>838.59</v>
      </c>
      <c r="F1924">
        <v>100</v>
      </c>
    </row>
    <row r="1925" spans="1:6" x14ac:dyDescent="0.2">
      <c r="A1925" s="2" t="str">
        <f>"5998815750645"</f>
        <v>5998815750645</v>
      </c>
      <c r="B1925" s="1" t="s">
        <v>1915</v>
      </c>
      <c r="C1925" s="9" t="s">
        <v>3382</v>
      </c>
      <c r="D1925" s="6">
        <v>826.04</v>
      </c>
      <c r="F1925">
        <v>100</v>
      </c>
    </row>
    <row r="1926" spans="1:6" x14ac:dyDescent="0.2">
      <c r="A1926" s="2" t="str">
        <f>"5998818571230"</f>
        <v>5998818571230</v>
      </c>
      <c r="B1926" s="1" t="s">
        <v>1916</v>
      </c>
      <c r="C1926" s="9" t="s">
        <v>3383</v>
      </c>
      <c r="D1926" s="6">
        <v>319</v>
      </c>
      <c r="F1926">
        <v>100</v>
      </c>
    </row>
    <row r="1927" spans="1:6" x14ac:dyDescent="0.2">
      <c r="A1927" s="2" t="str">
        <f>"5998815750911"</f>
        <v>5998815750911</v>
      </c>
      <c r="B1927" s="1" t="s">
        <v>1917</v>
      </c>
      <c r="C1927" s="9" t="s">
        <v>3376</v>
      </c>
      <c r="D1927" s="6">
        <v>875.98</v>
      </c>
      <c r="F1927">
        <v>100</v>
      </c>
    </row>
    <row r="1928" spans="1:6" x14ac:dyDescent="0.2">
      <c r="A1928" s="2" t="str">
        <f>"5998815750652"</f>
        <v>5998815750652</v>
      </c>
      <c r="B1928" s="1" t="s">
        <v>1918</v>
      </c>
      <c r="C1928" s="9" t="s">
        <v>3382</v>
      </c>
      <c r="D1928" s="6">
        <v>840</v>
      </c>
      <c r="F1928">
        <v>100</v>
      </c>
    </row>
    <row r="1929" spans="1:6" x14ac:dyDescent="0.2">
      <c r="A1929" s="2" t="str">
        <f>"5998815752946"</f>
        <v>5998815752946</v>
      </c>
      <c r="B1929" s="1" t="s">
        <v>1919</v>
      </c>
      <c r="C1929" s="9" t="s">
        <v>3383</v>
      </c>
      <c r="D1929" s="6">
        <v>362.87</v>
      </c>
      <c r="F1929">
        <v>100</v>
      </c>
    </row>
    <row r="1930" spans="1:6" x14ac:dyDescent="0.2">
      <c r="A1930" s="2" t="str">
        <f>"5998201202208"</f>
        <v>5998201202208</v>
      </c>
      <c r="B1930" s="1" t="s">
        <v>1920</v>
      </c>
      <c r="C1930" s="9" t="s">
        <v>3400</v>
      </c>
      <c r="D1930" s="6">
        <v>297.69</v>
      </c>
      <c r="F1930">
        <v>100</v>
      </c>
    </row>
    <row r="1931" spans="1:6" x14ac:dyDescent="0.2">
      <c r="A1931" s="2" t="str">
        <f>"2800601000000"</f>
        <v>2800601000000</v>
      </c>
      <c r="B1931" s="1" t="s">
        <v>1921</v>
      </c>
      <c r="C1931" s="9" t="s">
        <v>3401</v>
      </c>
      <c r="D1931" s="6">
        <v>1623.12</v>
      </c>
      <c r="F1931">
        <v>100</v>
      </c>
    </row>
    <row r="1932" spans="1:6" x14ac:dyDescent="0.2">
      <c r="A1932" s="2" t="str">
        <f>"2800933000000"</f>
        <v>2800933000000</v>
      </c>
      <c r="B1932" s="1" t="s">
        <v>1922</v>
      </c>
      <c r="C1932" s="9" t="s">
        <v>3402</v>
      </c>
      <c r="D1932" s="6">
        <v>1320.42</v>
      </c>
      <c r="F1932">
        <v>100</v>
      </c>
    </row>
    <row r="1933" spans="1:6" x14ac:dyDescent="0.2">
      <c r="A1933" s="2" t="str">
        <f>"5998200467004"</f>
        <v>5998200467004</v>
      </c>
      <c r="B1933" s="1" t="s">
        <v>1923</v>
      </c>
      <c r="C1933" s="9" t="s">
        <v>3401</v>
      </c>
      <c r="D1933" s="6">
        <v>252.29</v>
      </c>
      <c r="F1933">
        <v>100</v>
      </c>
    </row>
    <row r="1934" spans="1:6" x14ac:dyDescent="0.2">
      <c r="A1934" s="2" t="str">
        <f>"5998200467127"</f>
        <v>5998200467127</v>
      </c>
      <c r="B1934" s="1" t="s">
        <v>1924</v>
      </c>
      <c r="C1934" s="9" t="s">
        <v>3401</v>
      </c>
      <c r="D1934" s="6">
        <v>252.56</v>
      </c>
      <c r="F1934">
        <v>100</v>
      </c>
    </row>
    <row r="1935" spans="1:6" x14ac:dyDescent="0.2">
      <c r="A1935" s="2" t="str">
        <f>"5998200467141"</f>
        <v>5998200467141</v>
      </c>
      <c r="B1935" s="1" t="s">
        <v>1925</v>
      </c>
      <c r="C1935" s="9" t="s">
        <v>3401</v>
      </c>
      <c r="D1935" s="6">
        <v>250.92</v>
      </c>
      <c r="F1935">
        <v>100</v>
      </c>
    </row>
    <row r="1936" spans="1:6" x14ac:dyDescent="0.2">
      <c r="A1936" s="2" t="str">
        <f>"5998200460104"</f>
        <v>5998200460104</v>
      </c>
      <c r="B1936" s="1" t="s">
        <v>1926</v>
      </c>
      <c r="C1936" s="9" t="s">
        <v>3400</v>
      </c>
      <c r="D1936" s="6">
        <v>300.47000000000003</v>
      </c>
      <c r="F1936">
        <v>100</v>
      </c>
    </row>
    <row r="1937" spans="1:6" x14ac:dyDescent="0.2">
      <c r="A1937" s="2" t="str">
        <f>"5998200311031"</f>
        <v>5998200311031</v>
      </c>
      <c r="B1937" s="1" t="s">
        <v>1927</v>
      </c>
      <c r="C1937" s="9" t="s">
        <v>3400</v>
      </c>
      <c r="D1937" s="6">
        <v>159.9</v>
      </c>
      <c r="F1937">
        <v>100</v>
      </c>
    </row>
    <row r="1938" spans="1:6" x14ac:dyDescent="0.2">
      <c r="A1938" s="2" t="str">
        <f>"5998200454639"</f>
        <v>5998200454639</v>
      </c>
      <c r="B1938" s="1" t="s">
        <v>1928</v>
      </c>
      <c r="C1938" s="9" t="s">
        <v>3400</v>
      </c>
      <c r="D1938" s="6">
        <v>111.53</v>
      </c>
      <c r="F1938">
        <v>100</v>
      </c>
    </row>
    <row r="1939" spans="1:6" x14ac:dyDescent="0.2">
      <c r="A1939" s="2" t="str">
        <f>"5998200304491"</f>
        <v>5998200304491</v>
      </c>
      <c r="B1939" s="1" t="s">
        <v>1929</v>
      </c>
      <c r="C1939" s="9" t="s">
        <v>3400</v>
      </c>
      <c r="D1939" s="6">
        <v>186.14</v>
      </c>
      <c r="F1939">
        <v>100</v>
      </c>
    </row>
    <row r="1940" spans="1:6" x14ac:dyDescent="0.2">
      <c r="A1940" s="2" t="str">
        <f>"5998201226501"</f>
        <v>5998201226501</v>
      </c>
      <c r="B1940" s="1" t="s">
        <v>1930</v>
      </c>
      <c r="C1940" s="9" t="s">
        <v>3400</v>
      </c>
      <c r="D1940" s="6">
        <v>211.22</v>
      </c>
      <c r="F1940">
        <v>100</v>
      </c>
    </row>
    <row r="1941" spans="1:6" x14ac:dyDescent="0.2">
      <c r="A1941" s="2" t="str">
        <f>"8012900003533"</f>
        <v>8012900003533</v>
      </c>
      <c r="B1941" s="1" t="s">
        <v>1931</v>
      </c>
      <c r="C1941" s="9" t="s">
        <v>3400</v>
      </c>
      <c r="D1941" s="6">
        <v>369.41</v>
      </c>
      <c r="F1941">
        <v>100</v>
      </c>
    </row>
    <row r="1942" spans="1:6" x14ac:dyDescent="0.2">
      <c r="A1942" s="2" t="str">
        <f>"5998200460142"</f>
        <v>5998200460142</v>
      </c>
      <c r="B1942" s="1" t="s">
        <v>1932</v>
      </c>
      <c r="C1942" s="9" t="s">
        <v>3400</v>
      </c>
      <c r="D1942" s="6">
        <v>307.92</v>
      </c>
      <c r="F1942">
        <v>100</v>
      </c>
    </row>
    <row r="1943" spans="1:6" x14ac:dyDescent="0.2">
      <c r="A1943" s="2" t="str">
        <f>"5998208925995"</f>
        <v>5998208925995</v>
      </c>
      <c r="B1943" s="1" t="s">
        <v>1933</v>
      </c>
      <c r="C1943" s="9" t="s">
        <v>3400</v>
      </c>
      <c r="D1943" s="6">
        <v>209.85</v>
      </c>
      <c r="F1943">
        <v>100</v>
      </c>
    </row>
    <row r="1944" spans="1:6" x14ac:dyDescent="0.2">
      <c r="A1944" s="2" t="str">
        <f>"5998207904304"</f>
        <v>5998207904304</v>
      </c>
      <c r="B1944" s="1" t="s">
        <v>1934</v>
      </c>
      <c r="C1944" s="9" t="s">
        <v>3401</v>
      </c>
      <c r="D1944" s="6">
        <v>170.98</v>
      </c>
      <c r="F1944">
        <v>100</v>
      </c>
    </row>
    <row r="1945" spans="1:6" x14ac:dyDescent="0.2">
      <c r="A1945" s="2" t="str">
        <f>"5998201202222"</f>
        <v>5998201202222</v>
      </c>
      <c r="B1945" s="1" t="s">
        <v>1935</v>
      </c>
      <c r="C1945" s="9" t="s">
        <v>3400</v>
      </c>
      <c r="D1945" s="6">
        <v>293.52</v>
      </c>
      <c r="F1945">
        <v>100</v>
      </c>
    </row>
    <row r="1946" spans="1:6" x14ac:dyDescent="0.2">
      <c r="A1946" s="2" t="str">
        <f>"5760466736664"</f>
        <v>5760466736664</v>
      </c>
      <c r="B1946" s="1" t="s">
        <v>1936</v>
      </c>
      <c r="C1946" s="9" t="s">
        <v>3400</v>
      </c>
      <c r="D1946" s="6">
        <v>431.87</v>
      </c>
      <c r="F1946">
        <v>100</v>
      </c>
    </row>
    <row r="1947" spans="1:6" x14ac:dyDescent="0.2">
      <c r="A1947" s="2" t="str">
        <f>"4000504256824"</f>
        <v>4000504256824</v>
      </c>
      <c r="B1947" s="1" t="s">
        <v>1937</v>
      </c>
      <c r="C1947" s="9" t="s">
        <v>3400</v>
      </c>
      <c r="D1947" s="6">
        <v>430.98</v>
      </c>
      <c r="F1947">
        <v>100</v>
      </c>
    </row>
    <row r="1948" spans="1:6" x14ac:dyDescent="0.2">
      <c r="A1948" s="2" t="str">
        <f>"5906207652248"</f>
        <v>5906207652248</v>
      </c>
      <c r="B1948" s="1" t="s">
        <v>1938</v>
      </c>
      <c r="C1948" s="9" t="s">
        <v>3400</v>
      </c>
      <c r="D1948" s="6">
        <v>309.86</v>
      </c>
      <c r="F1948">
        <v>100</v>
      </c>
    </row>
    <row r="1949" spans="1:6" x14ac:dyDescent="0.2">
      <c r="A1949" s="2" t="str">
        <f>"5998201225740"</f>
        <v>5998201225740</v>
      </c>
      <c r="B1949" s="1" t="s">
        <v>1939</v>
      </c>
      <c r="C1949" s="9" t="s">
        <v>3400</v>
      </c>
      <c r="D1949" s="6">
        <v>213.58</v>
      </c>
      <c r="F1949">
        <v>100</v>
      </c>
    </row>
    <row r="1950" spans="1:6" x14ac:dyDescent="0.2">
      <c r="A1950" s="2" t="str">
        <f>"4019370051235"</f>
        <v>4019370051235</v>
      </c>
      <c r="B1950" s="1" t="s">
        <v>1940</v>
      </c>
      <c r="C1950" s="9" t="s">
        <v>3400</v>
      </c>
      <c r="D1950" s="6">
        <v>173.7</v>
      </c>
      <c r="F1950">
        <v>100</v>
      </c>
    </row>
    <row r="1951" spans="1:6" x14ac:dyDescent="0.2">
      <c r="A1951" s="2" t="str">
        <f>"5998200317354"</f>
        <v>5998200317354</v>
      </c>
      <c r="B1951" s="1" t="s">
        <v>1941</v>
      </c>
      <c r="C1951" s="9" t="s">
        <v>3400</v>
      </c>
      <c r="D1951" s="6">
        <v>185.31</v>
      </c>
      <c r="F1951">
        <v>100</v>
      </c>
    </row>
    <row r="1952" spans="1:6" x14ac:dyDescent="0.2">
      <c r="A1952" s="2" t="str">
        <f>"5998201203731"</f>
        <v>5998201203731</v>
      </c>
      <c r="B1952" s="1" t="s">
        <v>1942</v>
      </c>
      <c r="C1952" s="9" t="s">
        <v>3400</v>
      </c>
      <c r="D1952" s="6">
        <v>199.42</v>
      </c>
      <c r="F1952">
        <v>100</v>
      </c>
    </row>
    <row r="1953" spans="1:6" x14ac:dyDescent="0.2">
      <c r="A1953" s="2" t="str">
        <f>"5998200459955"</f>
        <v>5998200459955</v>
      </c>
      <c r="B1953" s="1" t="s">
        <v>1943</v>
      </c>
      <c r="C1953" s="9" t="s">
        <v>3400</v>
      </c>
      <c r="D1953" s="6">
        <v>537.36</v>
      </c>
      <c r="F1953">
        <v>100</v>
      </c>
    </row>
    <row r="1954" spans="1:6" x14ac:dyDescent="0.2">
      <c r="A1954" s="2" t="str">
        <f>"2800883000000"</f>
        <v>2800883000000</v>
      </c>
      <c r="B1954" s="1" t="s">
        <v>1944</v>
      </c>
      <c r="C1954" s="9" t="s">
        <v>3400</v>
      </c>
      <c r="D1954" s="6">
        <v>1538.91</v>
      </c>
      <c r="F1954">
        <v>100</v>
      </c>
    </row>
    <row r="1955" spans="1:6" x14ac:dyDescent="0.2">
      <c r="A1955" s="2" t="str">
        <f>"2800785000000"</f>
        <v>2800785000000</v>
      </c>
      <c r="B1955" s="1" t="s">
        <v>1945</v>
      </c>
      <c r="C1955" s="9" t="s">
        <v>3400</v>
      </c>
      <c r="D1955" s="6">
        <v>1481.44</v>
      </c>
      <c r="F1955">
        <v>100</v>
      </c>
    </row>
    <row r="1956" spans="1:6" x14ac:dyDescent="0.2">
      <c r="A1956" s="2" t="str">
        <f>"2800820000000"</f>
        <v>2800820000000</v>
      </c>
      <c r="B1956" s="1" t="s">
        <v>1946</v>
      </c>
      <c r="C1956" s="9" t="s">
        <v>3400</v>
      </c>
      <c r="D1956" s="6">
        <v>2250.67</v>
      </c>
      <c r="F1956">
        <v>100</v>
      </c>
    </row>
    <row r="1957" spans="1:6" x14ac:dyDescent="0.2">
      <c r="A1957" s="2" t="str">
        <f>"2800825000000"</f>
        <v>2800825000000</v>
      </c>
      <c r="B1957" s="1" t="s">
        <v>1947</v>
      </c>
      <c r="C1957" s="9" t="s">
        <v>3401</v>
      </c>
      <c r="D1957" s="6">
        <v>1473.81</v>
      </c>
      <c r="F1957">
        <v>100</v>
      </c>
    </row>
    <row r="1958" spans="1:6" x14ac:dyDescent="0.2">
      <c r="A1958" s="2" t="str">
        <f>"2800772000000"</f>
        <v>2800772000000</v>
      </c>
      <c r="B1958" s="1" t="s">
        <v>1948</v>
      </c>
      <c r="C1958" s="9" t="s">
        <v>3428</v>
      </c>
      <c r="D1958" s="6">
        <v>1000</v>
      </c>
      <c r="F1958">
        <v>100</v>
      </c>
    </row>
    <row r="1959" spans="1:6" x14ac:dyDescent="0.2">
      <c r="A1959" s="2" t="str">
        <f>"2800775000000"</f>
        <v>2800775000000</v>
      </c>
      <c r="B1959" s="1" t="s">
        <v>1949</v>
      </c>
      <c r="C1959" s="9" t="s">
        <v>3428</v>
      </c>
      <c r="D1959" s="6">
        <v>808.5</v>
      </c>
      <c r="F1959">
        <v>100</v>
      </c>
    </row>
    <row r="1960" spans="1:6" x14ac:dyDescent="0.2">
      <c r="A1960" s="2" t="str">
        <f>"3083680498012"</f>
        <v>3083680498012</v>
      </c>
      <c r="B1960" s="1" t="s">
        <v>1950</v>
      </c>
      <c r="C1960" s="9" t="s">
        <v>3374</v>
      </c>
      <c r="D1960" s="6">
        <v>557.76</v>
      </c>
      <c r="F1960">
        <v>100</v>
      </c>
    </row>
    <row r="1961" spans="1:6" x14ac:dyDescent="0.2">
      <c r="A1961" s="2" t="str">
        <f>"2800773000000"</f>
        <v>2800773000000</v>
      </c>
      <c r="B1961" s="1" t="s">
        <v>1951</v>
      </c>
      <c r="C1961" s="9" t="s">
        <v>3428</v>
      </c>
      <c r="D1961" s="6">
        <v>1000</v>
      </c>
      <c r="F1961">
        <v>100</v>
      </c>
    </row>
    <row r="1962" spans="1:6" x14ac:dyDescent="0.2">
      <c r="A1962" s="2" t="str">
        <f>"5998817310069"</f>
        <v>5998817310069</v>
      </c>
      <c r="B1962" s="1" t="s">
        <v>1952</v>
      </c>
      <c r="C1962" s="9" t="s">
        <v>3376</v>
      </c>
      <c r="D1962" s="6">
        <v>172.27</v>
      </c>
      <c r="F1962">
        <v>100</v>
      </c>
    </row>
    <row r="1963" spans="1:6" x14ac:dyDescent="0.2">
      <c r="A1963" s="2" t="str">
        <f>"5998817312032"</f>
        <v>5998817312032</v>
      </c>
      <c r="B1963" s="1" t="s">
        <v>1953</v>
      </c>
      <c r="C1963" s="9" t="s">
        <v>3376</v>
      </c>
      <c r="D1963" s="6">
        <v>197.68</v>
      </c>
      <c r="F1963">
        <v>100</v>
      </c>
    </row>
    <row r="1964" spans="1:6" x14ac:dyDescent="0.2">
      <c r="A1964" s="2" t="str">
        <f>"5998817310106"</f>
        <v>5998817310106</v>
      </c>
      <c r="B1964" s="1" t="s">
        <v>1954</v>
      </c>
      <c r="C1964" s="9" t="s">
        <v>3376</v>
      </c>
      <c r="D1964" s="6">
        <v>195.44</v>
      </c>
      <c r="F1964">
        <v>100</v>
      </c>
    </row>
    <row r="1965" spans="1:6" x14ac:dyDescent="0.2">
      <c r="A1965" s="2" t="str">
        <f>"5998822360189"</f>
        <v>5998822360189</v>
      </c>
      <c r="B1965" s="1" t="s">
        <v>1955</v>
      </c>
      <c r="C1965" s="9" t="s">
        <v>3376</v>
      </c>
      <c r="D1965" s="6">
        <v>245.39</v>
      </c>
      <c r="F1965">
        <v>100</v>
      </c>
    </row>
    <row r="1966" spans="1:6" x14ac:dyDescent="0.2">
      <c r="A1966" s="2" t="str">
        <f>"5998817523513"</f>
        <v>5998817523513</v>
      </c>
      <c r="B1966" s="1" t="s">
        <v>1956</v>
      </c>
      <c r="C1966" s="9" t="s">
        <v>3376</v>
      </c>
      <c r="D1966" s="6">
        <v>136.91</v>
      </c>
      <c r="F1966">
        <v>100</v>
      </c>
    </row>
    <row r="1967" spans="1:6" x14ac:dyDescent="0.2">
      <c r="A1967" s="2" t="str">
        <f>"8594404115115"</f>
        <v>8594404115115</v>
      </c>
      <c r="B1967" s="1" t="s">
        <v>1957</v>
      </c>
      <c r="C1967" s="9" t="s">
        <v>3376</v>
      </c>
      <c r="D1967" s="6">
        <v>295.16000000000003</v>
      </c>
      <c r="F1967">
        <v>100</v>
      </c>
    </row>
    <row r="1968" spans="1:6" x14ac:dyDescent="0.2">
      <c r="A1968" s="2" t="str">
        <f>"5998817525067"</f>
        <v>5998817525067</v>
      </c>
      <c r="B1968" s="1" t="s">
        <v>1958</v>
      </c>
      <c r="C1968" s="9" t="s">
        <v>3376</v>
      </c>
      <c r="D1968" s="6">
        <v>180.05</v>
      </c>
      <c r="F1968">
        <v>100</v>
      </c>
    </row>
    <row r="1969" spans="1:6" x14ac:dyDescent="0.2">
      <c r="A1969" s="2" t="str">
        <f>"5998817520383"</f>
        <v>5998817520383</v>
      </c>
      <c r="B1969" s="1" t="s">
        <v>1959</v>
      </c>
      <c r="C1969" s="9" t="s">
        <v>3376</v>
      </c>
      <c r="D1969" s="6">
        <v>140.28</v>
      </c>
      <c r="F1969">
        <v>100</v>
      </c>
    </row>
    <row r="1970" spans="1:6" x14ac:dyDescent="0.2">
      <c r="A1970" s="2" t="str">
        <f>"5998817730959"</f>
        <v>5998817730959</v>
      </c>
      <c r="B1970" s="1" t="s">
        <v>1960</v>
      </c>
      <c r="C1970" s="9" t="s">
        <v>3376</v>
      </c>
      <c r="D1970" s="6">
        <v>169.94</v>
      </c>
      <c r="F1970">
        <v>100</v>
      </c>
    </row>
    <row r="1971" spans="1:6" x14ac:dyDescent="0.2">
      <c r="A1971" s="2" t="str">
        <f>"5998818152248"</f>
        <v>5998818152248</v>
      </c>
      <c r="B1971" s="1" t="s">
        <v>1961</v>
      </c>
      <c r="C1971" s="9" t="s">
        <v>3376</v>
      </c>
      <c r="D1971" s="6">
        <v>227.28</v>
      </c>
      <c r="F1971">
        <v>100</v>
      </c>
    </row>
    <row r="1972" spans="1:6" x14ac:dyDescent="0.2">
      <c r="A1972" s="2" t="str">
        <f>"5998817521731"</f>
        <v>5998817521731</v>
      </c>
      <c r="B1972" s="1" t="s">
        <v>1962</v>
      </c>
      <c r="C1972" s="9" t="s">
        <v>3376</v>
      </c>
      <c r="D1972" s="6">
        <v>201.52</v>
      </c>
      <c r="F1972">
        <v>100</v>
      </c>
    </row>
    <row r="1973" spans="1:6" x14ac:dyDescent="0.2">
      <c r="A1973" s="2" t="str">
        <f>"59915249     "</f>
        <v xml:space="preserve">59915249     </v>
      </c>
      <c r="B1973" s="1" t="s">
        <v>1963</v>
      </c>
      <c r="C1973" s="9" t="s">
        <v>3376</v>
      </c>
      <c r="D1973" s="6">
        <v>197</v>
      </c>
      <c r="F1973">
        <v>100</v>
      </c>
    </row>
    <row r="1974" spans="1:6" x14ac:dyDescent="0.2">
      <c r="A1974" s="2" t="str">
        <f>"5998817310892"</f>
        <v>5998817310892</v>
      </c>
      <c r="B1974" s="1" t="s">
        <v>1964</v>
      </c>
      <c r="C1974" s="9" t="s">
        <v>3376</v>
      </c>
      <c r="D1974" s="6">
        <v>241.27</v>
      </c>
      <c r="F1974">
        <v>100</v>
      </c>
    </row>
    <row r="1975" spans="1:6" x14ac:dyDescent="0.2">
      <c r="A1975" s="2" t="str">
        <f>"5998818172895"</f>
        <v>5998818172895</v>
      </c>
      <c r="B1975" s="1" t="s">
        <v>1965</v>
      </c>
      <c r="C1975" s="9" t="s">
        <v>3376</v>
      </c>
      <c r="D1975" s="6">
        <v>229.67</v>
      </c>
      <c r="F1975">
        <v>100</v>
      </c>
    </row>
    <row r="1976" spans="1:6" x14ac:dyDescent="0.2">
      <c r="A1976" s="2" t="str">
        <f>"5998817312094"</f>
        <v>5998817312094</v>
      </c>
      <c r="B1976" s="1" t="s">
        <v>1966</v>
      </c>
      <c r="C1976" s="9" t="s">
        <v>3376</v>
      </c>
      <c r="D1976" s="6">
        <v>203.66</v>
      </c>
      <c r="F1976">
        <v>100</v>
      </c>
    </row>
    <row r="1977" spans="1:6" x14ac:dyDescent="0.2">
      <c r="A1977" s="2" t="str">
        <f>"5998817312025"</f>
        <v>5998817312025</v>
      </c>
      <c r="B1977" s="1" t="s">
        <v>1967</v>
      </c>
      <c r="C1977" s="9" t="s">
        <v>3376</v>
      </c>
      <c r="D1977" s="6">
        <v>210.51</v>
      </c>
      <c r="F1977">
        <v>100</v>
      </c>
    </row>
    <row r="1978" spans="1:6" x14ac:dyDescent="0.2">
      <c r="A1978" s="2" t="str">
        <f>"59918455     "</f>
        <v xml:space="preserve">59918455     </v>
      </c>
      <c r="B1978" s="1" t="s">
        <v>1968</v>
      </c>
      <c r="C1978" s="9" t="s">
        <v>3376</v>
      </c>
      <c r="D1978" s="6">
        <v>207.48</v>
      </c>
      <c r="F1978">
        <v>100</v>
      </c>
    </row>
    <row r="1979" spans="1:6" x14ac:dyDescent="0.2">
      <c r="A1979" s="2" t="str">
        <f>"5998822360110"</f>
        <v>5998822360110</v>
      </c>
      <c r="B1979" s="1" t="s">
        <v>1969</v>
      </c>
      <c r="C1979" s="9" t="s">
        <v>3376</v>
      </c>
      <c r="D1979" s="6">
        <v>226.92</v>
      </c>
      <c r="F1979">
        <v>100</v>
      </c>
    </row>
    <row r="1980" spans="1:6" x14ac:dyDescent="0.2">
      <c r="A1980" s="2" t="str">
        <f>"5998817310366"</f>
        <v>5998817310366</v>
      </c>
      <c r="B1980" s="1" t="s">
        <v>1970</v>
      </c>
      <c r="C1980" s="9" t="s">
        <v>3376</v>
      </c>
      <c r="D1980" s="6">
        <v>549.77</v>
      </c>
      <c r="F1980">
        <v>100</v>
      </c>
    </row>
    <row r="1981" spans="1:6" x14ac:dyDescent="0.2">
      <c r="A1981" s="2" t="str">
        <f>"5998811761904"</f>
        <v>5998811761904</v>
      </c>
      <c r="B1981" s="1" t="s">
        <v>1971</v>
      </c>
      <c r="C1981" s="9" t="s">
        <v>3383</v>
      </c>
      <c r="D1981" s="6">
        <v>377</v>
      </c>
      <c r="F1981">
        <v>100</v>
      </c>
    </row>
    <row r="1982" spans="1:6" x14ac:dyDescent="0.2">
      <c r="A1982" s="2" t="str">
        <f>"7310070748423"</f>
        <v>7310070748423</v>
      </c>
      <c r="B1982" s="1" t="s">
        <v>1972</v>
      </c>
      <c r="C1982" s="9" t="s">
        <v>3383</v>
      </c>
      <c r="D1982" s="6">
        <v>295.91000000000003</v>
      </c>
      <c r="F1982">
        <v>100</v>
      </c>
    </row>
    <row r="1983" spans="1:6" x14ac:dyDescent="0.2">
      <c r="A1983" s="2" t="str">
        <f>"5998818152262"</f>
        <v>5998818152262</v>
      </c>
      <c r="B1983" s="1" t="s">
        <v>1973</v>
      </c>
      <c r="C1983" s="9" t="s">
        <v>3376</v>
      </c>
      <c r="D1983" s="6">
        <v>232.04</v>
      </c>
      <c r="F1983">
        <v>100</v>
      </c>
    </row>
    <row r="1984" spans="1:6" x14ac:dyDescent="0.2">
      <c r="A1984" s="2" t="str">
        <f>"5998811761690"</f>
        <v>5998811761690</v>
      </c>
      <c r="B1984" s="1" t="s">
        <v>1974</v>
      </c>
      <c r="C1984" s="9" t="s">
        <v>3383</v>
      </c>
      <c r="D1984" s="6">
        <v>377</v>
      </c>
      <c r="F1984">
        <v>100</v>
      </c>
    </row>
    <row r="1985" spans="1:6" x14ac:dyDescent="0.2">
      <c r="A1985" s="2" t="str">
        <f>"5998818171027"</f>
        <v>5998818171027</v>
      </c>
      <c r="B1985" s="1" t="s">
        <v>1975</v>
      </c>
      <c r="C1985" s="9" t="s">
        <v>3376</v>
      </c>
      <c r="D1985" s="6">
        <v>183.17</v>
      </c>
      <c r="F1985">
        <v>100</v>
      </c>
    </row>
    <row r="1986" spans="1:6" x14ac:dyDescent="0.2">
      <c r="A1986" s="2" t="str">
        <f>"5998817523438"</f>
        <v>5998817523438</v>
      </c>
      <c r="B1986" s="1" t="s">
        <v>1976</v>
      </c>
      <c r="C1986" s="9" t="s">
        <v>3376</v>
      </c>
      <c r="D1986" s="6">
        <v>249.28</v>
      </c>
      <c r="F1986">
        <v>100</v>
      </c>
    </row>
    <row r="1987" spans="1:6" x14ac:dyDescent="0.2">
      <c r="A1987" s="2" t="str">
        <f>"75032814     "</f>
        <v xml:space="preserve">75032814     </v>
      </c>
      <c r="B1987" s="1" t="s">
        <v>1977</v>
      </c>
      <c r="C1987" s="9" t="s">
        <v>3376</v>
      </c>
      <c r="D1987" s="6">
        <v>405.59</v>
      </c>
      <c r="F1987">
        <v>100</v>
      </c>
    </row>
    <row r="1988" spans="1:6" x14ac:dyDescent="0.2">
      <c r="A1988" s="2" t="str">
        <f>"5998817521953"</f>
        <v>5998817521953</v>
      </c>
      <c r="B1988" s="1" t="s">
        <v>1978</v>
      </c>
      <c r="C1988" s="9" t="s">
        <v>3376</v>
      </c>
      <c r="D1988" s="6">
        <v>227.91</v>
      </c>
      <c r="F1988">
        <v>100</v>
      </c>
    </row>
    <row r="1989" spans="1:6" x14ac:dyDescent="0.2">
      <c r="A1989" s="2" t="str">
        <f>"5998811761676"</f>
        <v>5998811761676</v>
      </c>
      <c r="B1989" s="1" t="s">
        <v>1979</v>
      </c>
      <c r="C1989" s="9" t="s">
        <v>3383</v>
      </c>
      <c r="D1989" s="6">
        <v>376.99</v>
      </c>
      <c r="F1989">
        <v>100</v>
      </c>
    </row>
    <row r="1990" spans="1:6" x14ac:dyDescent="0.2">
      <c r="A1990" s="2" t="str">
        <f>"5998817310397"</f>
        <v>5998817310397</v>
      </c>
      <c r="B1990" s="1" t="s">
        <v>1980</v>
      </c>
      <c r="C1990" s="9" t="s">
        <v>3376</v>
      </c>
      <c r="D1990" s="6">
        <v>482.95</v>
      </c>
      <c r="F1990">
        <v>100</v>
      </c>
    </row>
    <row r="1991" spans="1:6" x14ac:dyDescent="0.2">
      <c r="A1991" s="2" t="str">
        <f>"5998817523766"</f>
        <v>5998817523766</v>
      </c>
      <c r="B1991" s="1" t="s">
        <v>1981</v>
      </c>
      <c r="C1991" s="9" t="s">
        <v>3376</v>
      </c>
      <c r="D1991" s="6">
        <v>217.49</v>
      </c>
      <c r="F1991">
        <v>100</v>
      </c>
    </row>
    <row r="1992" spans="1:6" x14ac:dyDescent="0.2">
      <c r="A1992" s="2" t="str">
        <f>"5998817312223"</f>
        <v>5998817312223</v>
      </c>
      <c r="B1992" s="1" t="s">
        <v>1982</v>
      </c>
      <c r="C1992" s="9" t="s">
        <v>3389</v>
      </c>
      <c r="D1992" s="6">
        <v>0</v>
      </c>
      <c r="F1992">
        <v>100</v>
      </c>
    </row>
    <row r="1993" spans="1:6" x14ac:dyDescent="0.2">
      <c r="A1993" s="2" t="str">
        <f>"5998811761584"</f>
        <v>5998811761584</v>
      </c>
      <c r="B1993" s="1" t="s">
        <v>1983</v>
      </c>
      <c r="C1993" s="9" t="s">
        <v>3383</v>
      </c>
      <c r="D1993" s="6">
        <v>199.46</v>
      </c>
      <c r="F1993">
        <v>100</v>
      </c>
    </row>
    <row r="1994" spans="1:6" x14ac:dyDescent="0.2">
      <c r="A1994" s="2" t="str">
        <f>"5998818172932"</f>
        <v>5998818172932</v>
      </c>
      <c r="B1994" s="1" t="s">
        <v>1984</v>
      </c>
      <c r="C1994" s="9" t="s">
        <v>3376</v>
      </c>
      <c r="D1994" s="6">
        <v>200.46</v>
      </c>
      <c r="F1994">
        <v>100</v>
      </c>
    </row>
    <row r="1995" spans="1:6" x14ac:dyDescent="0.2">
      <c r="A1995" s="2" t="str">
        <f>"9028800660454"</f>
        <v>9028800660454</v>
      </c>
      <c r="B1995" s="1" t="s">
        <v>1985</v>
      </c>
      <c r="C1995" s="9" t="s">
        <v>3376</v>
      </c>
      <c r="D1995" s="6">
        <v>249.77</v>
      </c>
      <c r="F1995">
        <v>100</v>
      </c>
    </row>
    <row r="1996" spans="1:6" x14ac:dyDescent="0.2">
      <c r="A1996" s="2" t="str">
        <f>"5998811761782"</f>
        <v>5998811761782</v>
      </c>
      <c r="B1996" s="1" t="s">
        <v>1986</v>
      </c>
      <c r="C1996" s="9" t="s">
        <v>3383</v>
      </c>
      <c r="D1996" s="6">
        <v>199.88</v>
      </c>
      <c r="F1996">
        <v>100</v>
      </c>
    </row>
    <row r="1997" spans="1:6" x14ac:dyDescent="0.2">
      <c r="A1997" s="2" t="str">
        <f>"5998818172802"</f>
        <v>5998818172802</v>
      </c>
      <c r="B1997" s="1" t="s">
        <v>1987</v>
      </c>
      <c r="C1997" s="9" t="s">
        <v>3376</v>
      </c>
      <c r="D1997" s="6">
        <v>238.65</v>
      </c>
      <c r="F1997">
        <v>100</v>
      </c>
    </row>
    <row r="1998" spans="1:6" x14ac:dyDescent="0.2">
      <c r="A1998" s="2" t="str">
        <f>"5998817527979"</f>
        <v>5998817527979</v>
      </c>
      <c r="B1998" s="1" t="s">
        <v>1988</v>
      </c>
      <c r="C1998" s="9" t="s">
        <v>3376</v>
      </c>
      <c r="D1998" s="6">
        <v>232.63</v>
      </c>
      <c r="F1998">
        <v>100</v>
      </c>
    </row>
    <row r="1999" spans="1:6" x14ac:dyDescent="0.2">
      <c r="A1999" s="2" t="str">
        <f>"5998811761683"</f>
        <v>5998811761683</v>
      </c>
      <c r="B1999" s="1" t="s">
        <v>1989</v>
      </c>
      <c r="C1999" s="9" t="s">
        <v>3383</v>
      </c>
      <c r="D1999" s="6">
        <v>376.98</v>
      </c>
      <c r="F1999">
        <v>100</v>
      </c>
    </row>
    <row r="2000" spans="1:6" x14ac:dyDescent="0.2">
      <c r="A2000" s="2" t="str">
        <f>"5998811761966"</f>
        <v>5998811761966</v>
      </c>
      <c r="B2000" s="1" t="s">
        <v>1990</v>
      </c>
      <c r="C2000" s="9" t="s">
        <v>3383</v>
      </c>
      <c r="D2000" s="6">
        <v>377</v>
      </c>
      <c r="F2000">
        <v>100</v>
      </c>
    </row>
    <row r="2001" spans="1:6" x14ac:dyDescent="0.2">
      <c r="A2001" s="2" t="str">
        <f>"7310070764973"</f>
        <v>7310070764973</v>
      </c>
      <c r="B2001" s="1" t="s">
        <v>1991</v>
      </c>
      <c r="C2001" s="9" t="s">
        <v>3383</v>
      </c>
      <c r="D2001" s="6">
        <v>296</v>
      </c>
      <c r="F2001">
        <v>100</v>
      </c>
    </row>
    <row r="2002" spans="1:6" x14ac:dyDescent="0.2">
      <c r="A2002" s="2" t="str">
        <f>"8586000982680"</f>
        <v>8586000982680</v>
      </c>
      <c r="B2002" s="1" t="s">
        <v>1992</v>
      </c>
      <c r="C2002" s="9" t="s">
        <v>3376</v>
      </c>
      <c r="D2002" s="6">
        <v>261.91000000000003</v>
      </c>
      <c r="F2002">
        <v>100</v>
      </c>
    </row>
    <row r="2003" spans="1:6" x14ac:dyDescent="0.2">
      <c r="A2003" s="2" t="str">
        <f>"5998818172574"</f>
        <v>5998818172574</v>
      </c>
      <c r="B2003" s="1" t="s">
        <v>1993</v>
      </c>
      <c r="C2003" s="9" t="s">
        <v>3376</v>
      </c>
      <c r="D2003" s="6">
        <v>209.58</v>
      </c>
      <c r="F2003">
        <v>100</v>
      </c>
    </row>
    <row r="2004" spans="1:6" x14ac:dyDescent="0.2">
      <c r="A2004" s="2" t="str">
        <f>"5998822360165"</f>
        <v>5998822360165</v>
      </c>
      <c r="B2004" s="1" t="s">
        <v>1994</v>
      </c>
      <c r="C2004" s="9" t="s">
        <v>3376</v>
      </c>
      <c r="D2004" s="6">
        <v>200.72</v>
      </c>
      <c r="F2004">
        <v>100</v>
      </c>
    </row>
    <row r="2005" spans="1:6" x14ac:dyDescent="0.2">
      <c r="A2005" s="2" t="str">
        <f>"5998811761560"</f>
        <v>5998811761560</v>
      </c>
      <c r="B2005" s="1" t="s">
        <v>1995</v>
      </c>
      <c r="C2005" s="9" t="s">
        <v>3383</v>
      </c>
      <c r="D2005" s="6">
        <v>198.8</v>
      </c>
      <c r="F2005">
        <v>100</v>
      </c>
    </row>
    <row r="2006" spans="1:6" x14ac:dyDescent="0.2">
      <c r="A2006" s="2" t="str">
        <f>"5998817529508"</f>
        <v>5998817529508</v>
      </c>
      <c r="B2006" s="1" t="s">
        <v>1996</v>
      </c>
      <c r="C2006" s="9" t="s">
        <v>3376</v>
      </c>
      <c r="D2006" s="6">
        <v>244.75</v>
      </c>
      <c r="F2006">
        <v>100</v>
      </c>
    </row>
    <row r="2007" spans="1:6" x14ac:dyDescent="0.2">
      <c r="A2007" s="2" t="str">
        <f>"5998818172598"</f>
        <v>5998818172598</v>
      </c>
      <c r="B2007" s="1" t="s">
        <v>1997</v>
      </c>
      <c r="C2007" s="9" t="s">
        <v>3376</v>
      </c>
      <c r="D2007" s="6">
        <v>200.72</v>
      </c>
      <c r="F2007">
        <v>100</v>
      </c>
    </row>
    <row r="2008" spans="1:6" x14ac:dyDescent="0.2">
      <c r="A2008" s="2" t="str">
        <f>"5998818171270"</f>
        <v>5998818171270</v>
      </c>
      <c r="B2008" s="1" t="s">
        <v>1998</v>
      </c>
      <c r="C2008" s="9" t="s">
        <v>3376</v>
      </c>
      <c r="D2008" s="6">
        <v>199.19</v>
      </c>
      <c r="F2008">
        <v>100</v>
      </c>
    </row>
    <row r="2009" spans="1:6" x14ac:dyDescent="0.2">
      <c r="A2009" s="2" t="str">
        <f>"4820097896265"</f>
        <v>4820097896265</v>
      </c>
      <c r="B2009" s="1" t="s">
        <v>1999</v>
      </c>
      <c r="C2009" s="9" t="s">
        <v>3383</v>
      </c>
      <c r="D2009" s="6">
        <v>276</v>
      </c>
      <c r="F2009">
        <v>100</v>
      </c>
    </row>
    <row r="2010" spans="1:6" x14ac:dyDescent="0.2">
      <c r="A2010" s="2" t="str">
        <f>"59905738     "</f>
        <v xml:space="preserve">59905738     </v>
      </c>
      <c r="B2010" s="1" t="s">
        <v>2000</v>
      </c>
      <c r="C2010" s="9" t="s">
        <v>3376</v>
      </c>
      <c r="D2010" s="6">
        <v>174.48</v>
      </c>
      <c r="F2010">
        <v>100</v>
      </c>
    </row>
    <row r="2011" spans="1:6" x14ac:dyDescent="0.2">
      <c r="A2011" s="2" t="str">
        <f>"5998818170938"</f>
        <v>5998818170938</v>
      </c>
      <c r="B2011" s="1" t="s">
        <v>2001</v>
      </c>
      <c r="C2011" s="9" t="s">
        <v>3376</v>
      </c>
      <c r="D2011" s="6">
        <v>160.72</v>
      </c>
      <c r="F2011">
        <v>100</v>
      </c>
    </row>
    <row r="2012" spans="1:6" x14ac:dyDescent="0.2">
      <c r="A2012" s="2" t="str">
        <f>"5998817312063"</f>
        <v>5998817312063</v>
      </c>
      <c r="B2012" s="1" t="s">
        <v>2002</v>
      </c>
      <c r="C2012" s="9" t="s">
        <v>3376</v>
      </c>
      <c r="D2012" s="6">
        <v>188.67</v>
      </c>
      <c r="F2012">
        <v>100</v>
      </c>
    </row>
    <row r="2013" spans="1:6" x14ac:dyDescent="0.2">
      <c r="A2013" s="2" t="str">
        <f>"5998817520406"</f>
        <v>5998817520406</v>
      </c>
      <c r="B2013" s="1" t="s">
        <v>2003</v>
      </c>
      <c r="C2013" s="9" t="s">
        <v>3376</v>
      </c>
      <c r="D2013" s="6">
        <v>477.87</v>
      </c>
      <c r="F2013">
        <v>100</v>
      </c>
    </row>
    <row r="2014" spans="1:6" x14ac:dyDescent="0.2">
      <c r="A2014" s="2" t="str">
        <f>"5998817527917"</f>
        <v>5998817527917</v>
      </c>
      <c r="B2014" s="1" t="s">
        <v>2004</v>
      </c>
      <c r="C2014" s="9" t="s">
        <v>3376</v>
      </c>
      <c r="D2014" s="6">
        <v>219.13</v>
      </c>
      <c r="F2014">
        <v>100</v>
      </c>
    </row>
    <row r="2015" spans="1:6" x14ac:dyDescent="0.2">
      <c r="A2015" s="2" t="str">
        <f>"5901359094175"</f>
        <v>5901359094175</v>
      </c>
      <c r="B2015" s="1" t="s">
        <v>2005</v>
      </c>
      <c r="C2015" s="9" t="s">
        <v>3376</v>
      </c>
      <c r="D2015" s="6">
        <v>182.84</v>
      </c>
      <c r="F2015">
        <v>100</v>
      </c>
    </row>
    <row r="2016" spans="1:6" x14ac:dyDescent="0.2">
      <c r="A2016" s="2" t="str">
        <f>"9028800656600"</f>
        <v>9028800656600</v>
      </c>
      <c r="B2016" s="1" t="s">
        <v>2006</v>
      </c>
      <c r="C2016" s="9" t="s">
        <v>3376</v>
      </c>
      <c r="D2016" s="6">
        <v>349.77</v>
      </c>
      <c r="F2016">
        <v>100</v>
      </c>
    </row>
    <row r="2017" spans="1:6" x14ac:dyDescent="0.2">
      <c r="A2017" s="2" t="str">
        <f>"59905721     "</f>
        <v xml:space="preserve">59905721     </v>
      </c>
      <c r="B2017" s="1" t="s">
        <v>2007</v>
      </c>
      <c r="C2017" s="9" t="s">
        <v>3376</v>
      </c>
      <c r="D2017" s="6">
        <v>146.01</v>
      </c>
      <c r="F2017">
        <v>100</v>
      </c>
    </row>
    <row r="2018" spans="1:6" x14ac:dyDescent="0.2">
      <c r="A2018" s="2" t="str">
        <f>"8594009921463"</f>
        <v>8594009921463</v>
      </c>
      <c r="B2018" s="1" t="s">
        <v>2008</v>
      </c>
      <c r="C2018" s="9" t="s">
        <v>3376</v>
      </c>
      <c r="D2018" s="6">
        <v>242.03</v>
      </c>
      <c r="F2018">
        <v>100</v>
      </c>
    </row>
    <row r="2019" spans="1:6" x14ac:dyDescent="0.2">
      <c r="A2019" s="2" t="str">
        <f>"5998811761577"</f>
        <v>5998811761577</v>
      </c>
      <c r="B2019" s="1" t="s">
        <v>2009</v>
      </c>
      <c r="C2019" s="9" t="s">
        <v>3383</v>
      </c>
      <c r="D2019" s="6">
        <v>199.14</v>
      </c>
      <c r="F2019">
        <v>100</v>
      </c>
    </row>
    <row r="2020" spans="1:6" x14ac:dyDescent="0.2">
      <c r="A2020" s="2" t="str">
        <f>"5998818172697"</f>
        <v>5998818172697</v>
      </c>
      <c r="B2020" s="1" t="s">
        <v>2010</v>
      </c>
      <c r="C2020" s="9" t="s">
        <v>3376</v>
      </c>
      <c r="D2020" s="6">
        <v>232.85</v>
      </c>
      <c r="F2020">
        <v>100</v>
      </c>
    </row>
    <row r="2021" spans="1:6" x14ac:dyDescent="0.2">
      <c r="A2021" s="2" t="str">
        <f>"5998818172918"</f>
        <v>5998818172918</v>
      </c>
      <c r="B2021" s="1" t="s">
        <v>2011</v>
      </c>
      <c r="C2021" s="9" t="s">
        <v>3376</v>
      </c>
      <c r="D2021" s="6">
        <v>200.72</v>
      </c>
      <c r="F2021">
        <v>100</v>
      </c>
    </row>
    <row r="2022" spans="1:6" x14ac:dyDescent="0.2">
      <c r="A2022" s="2" t="str">
        <f>"8586000982741"</f>
        <v>8586000982741</v>
      </c>
      <c r="B2022" s="1" t="s">
        <v>2012</v>
      </c>
      <c r="C2022" s="9" t="s">
        <v>3376</v>
      </c>
      <c r="D2022" s="6">
        <v>261.73</v>
      </c>
      <c r="F2022">
        <v>100</v>
      </c>
    </row>
    <row r="2023" spans="1:6" x14ac:dyDescent="0.2">
      <c r="A2023" s="2" t="str">
        <f>"5997732743570"</f>
        <v>5997732743570</v>
      </c>
      <c r="B2023" s="1" t="s">
        <v>2013</v>
      </c>
      <c r="C2023" s="9" t="s">
        <v>3383</v>
      </c>
      <c r="D2023" s="6">
        <v>225.58</v>
      </c>
      <c r="F2023">
        <v>100</v>
      </c>
    </row>
    <row r="2024" spans="1:6" x14ac:dyDescent="0.2">
      <c r="A2024" s="2" t="str">
        <f>"5997732759854"</f>
        <v>5997732759854</v>
      </c>
      <c r="B2024" s="1" t="s">
        <v>2014</v>
      </c>
      <c r="C2024" s="9" t="s">
        <v>3383</v>
      </c>
      <c r="D2024" s="6">
        <v>155.99</v>
      </c>
      <c r="F2024">
        <v>100</v>
      </c>
    </row>
    <row r="2025" spans="1:6" x14ac:dyDescent="0.2">
      <c r="A2025" s="2" t="str">
        <f>"5998227599269"</f>
        <v>5998227599269</v>
      </c>
      <c r="B2025" s="1" t="s">
        <v>2015</v>
      </c>
      <c r="C2025" s="9" t="s">
        <v>3382</v>
      </c>
      <c r="D2025" s="6">
        <v>479.02</v>
      </c>
      <c r="F2025">
        <v>100</v>
      </c>
    </row>
    <row r="2026" spans="1:6" x14ac:dyDescent="0.2">
      <c r="A2026" s="2" t="str">
        <f>"5997732758055"</f>
        <v>5997732758055</v>
      </c>
      <c r="B2026" s="1" t="s">
        <v>2016</v>
      </c>
      <c r="C2026" s="9" t="s">
        <v>3383</v>
      </c>
      <c r="D2026" s="6">
        <v>218.67</v>
      </c>
      <c r="F2026">
        <v>100</v>
      </c>
    </row>
    <row r="2027" spans="1:6" x14ac:dyDescent="0.2">
      <c r="A2027" s="2" t="str">
        <f>"5997732759397"</f>
        <v>5997732759397</v>
      </c>
      <c r="B2027" s="1" t="s">
        <v>2017</v>
      </c>
      <c r="C2027" s="9" t="s">
        <v>3383</v>
      </c>
      <c r="D2027" s="6">
        <v>188</v>
      </c>
      <c r="F2027">
        <v>100</v>
      </c>
    </row>
    <row r="2028" spans="1:6" x14ac:dyDescent="0.2">
      <c r="A2028" s="2" t="str">
        <f>"5995267077221"</f>
        <v>5995267077221</v>
      </c>
      <c r="B2028" s="1" t="s">
        <v>2018</v>
      </c>
      <c r="C2028" s="9" t="s">
        <v>3382</v>
      </c>
      <c r="D2028" s="6">
        <v>854.92</v>
      </c>
      <c r="F2028">
        <v>100</v>
      </c>
    </row>
    <row r="2029" spans="1:6" x14ac:dyDescent="0.2">
      <c r="A2029" s="2" t="str">
        <f>"5997732749558"</f>
        <v>5997732749558</v>
      </c>
      <c r="B2029" s="1" t="s">
        <v>2019</v>
      </c>
      <c r="C2029" s="9" t="s">
        <v>3383</v>
      </c>
      <c r="D2029" s="6">
        <v>142.83000000000001</v>
      </c>
      <c r="F2029">
        <v>100</v>
      </c>
    </row>
    <row r="2030" spans="1:6" x14ac:dyDescent="0.2">
      <c r="A2030" s="2" t="str">
        <f>"5900343010214"</f>
        <v>5900343010214</v>
      </c>
      <c r="B2030" s="1" t="s">
        <v>2020</v>
      </c>
      <c r="C2030" s="9" t="s">
        <v>3382</v>
      </c>
      <c r="D2030" s="6">
        <v>795.85</v>
      </c>
      <c r="F2030">
        <v>100</v>
      </c>
    </row>
    <row r="2031" spans="1:6" x14ac:dyDescent="0.2">
      <c r="A2031" s="2" t="str">
        <f>"5900343010184"</f>
        <v>5900343010184</v>
      </c>
      <c r="B2031" s="1" t="s">
        <v>2021</v>
      </c>
      <c r="C2031" s="9" t="s">
        <v>3382</v>
      </c>
      <c r="D2031" s="6">
        <v>427.2</v>
      </c>
      <c r="F2031">
        <v>100</v>
      </c>
    </row>
    <row r="2032" spans="1:6" x14ac:dyDescent="0.2">
      <c r="A2032" s="2" t="str">
        <f>"40677750     "</f>
        <v xml:space="preserve">40677750     </v>
      </c>
      <c r="B2032" s="1" t="s">
        <v>2022</v>
      </c>
      <c r="C2032" s="9" t="s">
        <v>3382</v>
      </c>
      <c r="D2032" s="6">
        <v>308.23</v>
      </c>
      <c r="F2032">
        <v>100</v>
      </c>
    </row>
    <row r="2033" spans="1:6" x14ac:dyDescent="0.2">
      <c r="A2033" s="2" t="str">
        <f>"5997732754361"</f>
        <v>5997732754361</v>
      </c>
      <c r="B2033" s="1" t="s">
        <v>2023</v>
      </c>
      <c r="C2033" s="9" t="s">
        <v>3383</v>
      </c>
      <c r="D2033" s="6">
        <v>550.24</v>
      </c>
      <c r="F2033">
        <v>100</v>
      </c>
    </row>
    <row r="2034" spans="1:6" x14ac:dyDescent="0.2">
      <c r="A2034" s="2" t="str">
        <f>"5997732756556"</f>
        <v>5997732756556</v>
      </c>
      <c r="B2034" s="1" t="s">
        <v>2024</v>
      </c>
      <c r="C2034" s="9" t="s">
        <v>3383</v>
      </c>
      <c r="D2034" s="6">
        <v>177</v>
      </c>
      <c r="F2034">
        <v>100</v>
      </c>
    </row>
    <row r="2035" spans="1:6" x14ac:dyDescent="0.2">
      <c r="A2035" s="2" t="str">
        <f>"5997732759847"</f>
        <v>5997732759847</v>
      </c>
      <c r="B2035" s="1" t="s">
        <v>2025</v>
      </c>
      <c r="C2035" s="9" t="s">
        <v>3383</v>
      </c>
      <c r="D2035" s="6">
        <v>155.99</v>
      </c>
      <c r="F2035">
        <v>100</v>
      </c>
    </row>
    <row r="2036" spans="1:6" x14ac:dyDescent="0.2">
      <c r="A2036" s="2" t="str">
        <f>"5997378102281"</f>
        <v>5997378102281</v>
      </c>
      <c r="B2036" s="1" t="s">
        <v>2026</v>
      </c>
      <c r="C2036" s="9" t="s">
        <v>3382</v>
      </c>
      <c r="D2036" s="6">
        <v>132.08000000000001</v>
      </c>
      <c r="F2036">
        <v>100</v>
      </c>
    </row>
    <row r="2037" spans="1:6" x14ac:dyDescent="0.2">
      <c r="A2037" s="2" t="str">
        <f>"5997732759304"</f>
        <v>5997732759304</v>
      </c>
      <c r="B2037" s="1" t="s">
        <v>2027</v>
      </c>
      <c r="C2037" s="9" t="s">
        <v>3383</v>
      </c>
      <c r="D2037" s="6">
        <v>656.01</v>
      </c>
      <c r="F2037">
        <v>100</v>
      </c>
    </row>
    <row r="2038" spans="1:6" x14ac:dyDescent="0.2">
      <c r="A2038" s="2" t="str">
        <f>"5998227598965"</f>
        <v>5998227598965</v>
      </c>
      <c r="B2038" s="1" t="s">
        <v>2028</v>
      </c>
      <c r="C2038" s="9" t="s">
        <v>3382</v>
      </c>
      <c r="D2038" s="6">
        <v>417.6</v>
      </c>
      <c r="F2038">
        <v>100</v>
      </c>
    </row>
    <row r="2039" spans="1:6" x14ac:dyDescent="0.2">
      <c r="A2039" s="2" t="str">
        <f>"3858887583034"</f>
        <v>3858887583034</v>
      </c>
      <c r="B2039" s="1" t="s">
        <v>2029</v>
      </c>
      <c r="C2039" s="9" t="s">
        <v>3383</v>
      </c>
      <c r="D2039" s="6">
        <v>294.51</v>
      </c>
      <c r="F2039">
        <v>100</v>
      </c>
    </row>
    <row r="2040" spans="1:6" x14ac:dyDescent="0.2">
      <c r="A2040" s="2" t="str">
        <f>"5995100099236"</f>
        <v>5995100099236</v>
      </c>
      <c r="B2040" s="1" t="s">
        <v>2030</v>
      </c>
      <c r="C2040" s="9" t="s">
        <v>3382</v>
      </c>
      <c r="D2040" s="6">
        <v>853.65</v>
      </c>
      <c r="F2040">
        <v>100</v>
      </c>
    </row>
    <row r="2041" spans="1:6" x14ac:dyDescent="0.2">
      <c r="A2041" s="2" t="str">
        <f>"5998227599238"</f>
        <v>5998227599238</v>
      </c>
      <c r="B2041" s="1" t="s">
        <v>2031</v>
      </c>
      <c r="C2041" s="9" t="s">
        <v>3382</v>
      </c>
      <c r="D2041" s="6">
        <v>2193.87</v>
      </c>
      <c r="F2041">
        <v>100</v>
      </c>
    </row>
    <row r="2042" spans="1:6" x14ac:dyDescent="0.2">
      <c r="A2042" s="2" t="str">
        <f>"5998227598941"</f>
        <v>5998227598941</v>
      </c>
      <c r="B2042" s="1" t="s">
        <v>2032</v>
      </c>
      <c r="C2042" s="9" t="s">
        <v>3382</v>
      </c>
      <c r="D2042" s="6">
        <v>417.58</v>
      </c>
      <c r="F2042">
        <v>100</v>
      </c>
    </row>
    <row r="2043" spans="1:6" x14ac:dyDescent="0.2">
      <c r="A2043" s="2" t="str">
        <f>"3858887582556"</f>
        <v>3858887582556</v>
      </c>
      <c r="B2043" s="1" t="s">
        <v>2033</v>
      </c>
      <c r="C2043" s="9" t="s">
        <v>3383</v>
      </c>
      <c r="D2043" s="6">
        <v>294.14</v>
      </c>
      <c r="F2043">
        <v>100</v>
      </c>
    </row>
    <row r="2044" spans="1:6" x14ac:dyDescent="0.2">
      <c r="A2044" s="2" t="str">
        <f>"5900343010238"</f>
        <v>5900343010238</v>
      </c>
      <c r="B2044" s="1" t="s">
        <v>2034</v>
      </c>
      <c r="C2044" s="9" t="s">
        <v>3382</v>
      </c>
      <c r="D2044" s="6">
        <v>1886.38</v>
      </c>
      <c r="F2044">
        <v>100</v>
      </c>
    </row>
    <row r="2045" spans="1:6" x14ac:dyDescent="0.2">
      <c r="A2045" s="2" t="str">
        <f>"5997732759250"</f>
        <v>5997732759250</v>
      </c>
      <c r="B2045" s="1" t="s">
        <v>2035</v>
      </c>
      <c r="C2045" s="9" t="s">
        <v>3383</v>
      </c>
      <c r="D2045" s="6">
        <v>811.31</v>
      </c>
      <c r="F2045">
        <v>100</v>
      </c>
    </row>
    <row r="2046" spans="1:6" x14ac:dyDescent="0.2">
      <c r="A2046" s="2" t="str">
        <f>"5995100099533"</f>
        <v>5995100099533</v>
      </c>
      <c r="B2046" s="1" t="s">
        <v>2036</v>
      </c>
      <c r="C2046" s="9" t="s">
        <v>3382</v>
      </c>
      <c r="D2046" s="6">
        <v>1971.89</v>
      </c>
      <c r="F2046">
        <v>100</v>
      </c>
    </row>
    <row r="2047" spans="1:6" x14ac:dyDescent="0.2">
      <c r="A2047" s="2" t="str">
        <f>"5997732758031"</f>
        <v>5997732758031</v>
      </c>
      <c r="B2047" s="1" t="s">
        <v>2037</v>
      </c>
      <c r="C2047" s="9" t="s">
        <v>3383</v>
      </c>
      <c r="D2047" s="6">
        <v>765.7</v>
      </c>
      <c r="F2047">
        <v>100</v>
      </c>
    </row>
    <row r="2048" spans="1:6" x14ac:dyDescent="0.2">
      <c r="A2048" s="2" t="str">
        <f>"5998227598958"</f>
        <v>5998227598958</v>
      </c>
      <c r="B2048" s="1" t="s">
        <v>2038</v>
      </c>
      <c r="C2048" s="9" t="s">
        <v>3382</v>
      </c>
      <c r="D2048" s="6">
        <v>795.85</v>
      </c>
      <c r="F2048">
        <v>100</v>
      </c>
    </row>
    <row r="2049" spans="1:6" x14ac:dyDescent="0.2">
      <c r="A2049" s="2" t="str">
        <f>"5995099437118"</f>
        <v>5995099437118</v>
      </c>
      <c r="B2049" s="1" t="s">
        <v>2039</v>
      </c>
      <c r="C2049" s="9" t="s">
        <v>3382</v>
      </c>
      <c r="D2049" s="6">
        <v>888</v>
      </c>
      <c r="F2049">
        <v>100</v>
      </c>
    </row>
    <row r="2050" spans="1:6" x14ac:dyDescent="0.2">
      <c r="A2050" s="2" t="str">
        <f>"5997732758956"</f>
        <v>5997732758956</v>
      </c>
      <c r="B2050" s="1" t="s">
        <v>2040</v>
      </c>
      <c r="C2050" s="9" t="s">
        <v>3383</v>
      </c>
      <c r="D2050" s="6">
        <v>177</v>
      </c>
      <c r="F2050">
        <v>100</v>
      </c>
    </row>
    <row r="2051" spans="1:6" x14ac:dyDescent="0.2">
      <c r="A2051" s="2" t="str">
        <f>"40677736     "</f>
        <v xml:space="preserve">40677736     </v>
      </c>
      <c r="B2051" s="1" t="s">
        <v>2041</v>
      </c>
      <c r="C2051" s="9" t="s">
        <v>3382</v>
      </c>
      <c r="D2051" s="6">
        <v>1330.45</v>
      </c>
      <c r="F2051">
        <v>100</v>
      </c>
    </row>
    <row r="2052" spans="1:6" x14ac:dyDescent="0.2">
      <c r="A2052" s="2" t="str">
        <f>"5999560890624"</f>
        <v>5999560890624</v>
      </c>
      <c r="B2052" s="1" t="s">
        <v>2042</v>
      </c>
      <c r="C2052" s="9" t="s">
        <v>3383</v>
      </c>
      <c r="D2052" s="6">
        <v>577</v>
      </c>
      <c r="F2052">
        <v>100</v>
      </c>
    </row>
    <row r="2053" spans="1:6" x14ac:dyDescent="0.2">
      <c r="A2053" s="2" t="str">
        <f>"6412709021240"</f>
        <v>6412709021240</v>
      </c>
      <c r="B2053" s="1" t="s">
        <v>2043</v>
      </c>
      <c r="C2053" s="9" t="s">
        <v>3382</v>
      </c>
      <c r="D2053" s="6">
        <v>1221.28</v>
      </c>
      <c r="F2053">
        <v>100</v>
      </c>
    </row>
    <row r="2054" spans="1:6" x14ac:dyDescent="0.2">
      <c r="A2054" s="2" t="str">
        <f>"5998227598910"</f>
        <v>5998227598910</v>
      </c>
      <c r="B2054" s="1" t="s">
        <v>2044</v>
      </c>
      <c r="C2054" s="9" t="s">
        <v>3382</v>
      </c>
      <c r="D2054" s="6">
        <v>417.6</v>
      </c>
      <c r="F2054">
        <v>100</v>
      </c>
    </row>
    <row r="2055" spans="1:6" x14ac:dyDescent="0.2">
      <c r="A2055" s="2" t="str">
        <f>"8600331000377"</f>
        <v>8600331000377</v>
      </c>
      <c r="B2055" s="1" t="s">
        <v>2045</v>
      </c>
      <c r="C2055" s="9" t="s">
        <v>3383</v>
      </c>
      <c r="D2055" s="6">
        <v>295.98</v>
      </c>
      <c r="F2055">
        <v>100</v>
      </c>
    </row>
    <row r="2056" spans="1:6" x14ac:dyDescent="0.2">
      <c r="A2056" s="2" t="str">
        <f>"5995099191218"</f>
        <v>5995099191218</v>
      </c>
      <c r="B2056" s="1" t="s">
        <v>2046</v>
      </c>
      <c r="C2056" s="9" t="s">
        <v>3382</v>
      </c>
      <c r="D2056" s="6">
        <v>1358.27</v>
      </c>
      <c r="F2056">
        <v>100</v>
      </c>
    </row>
    <row r="2057" spans="1:6" x14ac:dyDescent="0.2">
      <c r="A2057" s="2" t="str">
        <f>"5999881620405"</f>
        <v>5999881620405</v>
      </c>
      <c r="B2057" s="1" t="s">
        <v>2047</v>
      </c>
      <c r="C2057" s="9" t="s">
        <v>3383</v>
      </c>
      <c r="D2057" s="6">
        <v>589.76</v>
      </c>
      <c r="F2057">
        <v>100</v>
      </c>
    </row>
    <row r="2058" spans="1:6" x14ac:dyDescent="0.2">
      <c r="A2058" s="2" t="str">
        <f>"5999881620252"</f>
        <v>5999881620252</v>
      </c>
      <c r="B2058" s="1" t="s">
        <v>2048</v>
      </c>
      <c r="C2058" s="9" t="s">
        <v>3383</v>
      </c>
      <c r="D2058" s="6">
        <v>613.23</v>
      </c>
      <c r="F2058">
        <v>100</v>
      </c>
    </row>
    <row r="2059" spans="1:6" x14ac:dyDescent="0.2">
      <c r="A2059" s="2" t="str">
        <f>"5997732758949"</f>
        <v>5997732758949</v>
      </c>
      <c r="B2059" s="1" t="s">
        <v>2049</v>
      </c>
      <c r="C2059" s="9" t="s">
        <v>3383</v>
      </c>
      <c r="D2059" s="6">
        <v>177</v>
      </c>
      <c r="F2059">
        <v>100</v>
      </c>
    </row>
    <row r="2060" spans="1:6" x14ac:dyDescent="0.2">
      <c r="A2060" s="2" t="str">
        <f>"5997732758024"</f>
        <v>5997732758024</v>
      </c>
      <c r="B2060" s="1" t="s">
        <v>2050</v>
      </c>
      <c r="C2060" s="9" t="s">
        <v>3383</v>
      </c>
      <c r="D2060" s="6">
        <v>3779</v>
      </c>
      <c r="F2060">
        <v>100</v>
      </c>
    </row>
    <row r="2061" spans="1:6" x14ac:dyDescent="0.2">
      <c r="A2061" s="2" t="str">
        <f>"59920595     "</f>
        <v xml:space="preserve">59920595     </v>
      </c>
      <c r="B2061" s="1" t="s">
        <v>2051</v>
      </c>
      <c r="C2061" s="9" t="s">
        <v>3382</v>
      </c>
      <c r="D2061" s="6">
        <v>590.03</v>
      </c>
      <c r="F2061">
        <v>100</v>
      </c>
    </row>
    <row r="2062" spans="1:6" x14ac:dyDescent="0.2">
      <c r="A2062" s="2" t="str">
        <f>"4067700020048"</f>
        <v>4067700020048</v>
      </c>
      <c r="B2062" s="1" t="s">
        <v>2052</v>
      </c>
      <c r="C2062" s="9" t="s">
        <v>3382</v>
      </c>
      <c r="D2062" s="6">
        <v>4271.04</v>
      </c>
      <c r="F2062">
        <v>100</v>
      </c>
    </row>
    <row r="2063" spans="1:6" x14ac:dyDescent="0.2">
      <c r="A2063" s="2" t="str">
        <f>"5997732759298"</f>
        <v>5997732759298</v>
      </c>
      <c r="B2063" s="1" t="s">
        <v>2053</v>
      </c>
      <c r="C2063" s="9" t="s">
        <v>3383</v>
      </c>
      <c r="D2063" s="6">
        <v>1543</v>
      </c>
      <c r="F2063">
        <v>100</v>
      </c>
    </row>
    <row r="2064" spans="1:6" x14ac:dyDescent="0.2">
      <c r="A2064" s="2" t="str">
        <f>"5997732754385"</f>
        <v>5997732754385</v>
      </c>
      <c r="B2064" s="1" t="s">
        <v>2054</v>
      </c>
      <c r="C2064" s="9" t="s">
        <v>3383</v>
      </c>
      <c r="D2064" s="6">
        <v>531.47</v>
      </c>
      <c r="F2064">
        <v>100</v>
      </c>
    </row>
    <row r="2065" spans="1:6" x14ac:dyDescent="0.2">
      <c r="A2065" s="2" t="str">
        <f>"5998227598934"</f>
        <v>5998227598934</v>
      </c>
      <c r="B2065" s="1" t="s">
        <v>2055</v>
      </c>
      <c r="C2065" s="9" t="s">
        <v>3382</v>
      </c>
      <c r="D2065" s="6">
        <v>795.74</v>
      </c>
      <c r="F2065">
        <v>100</v>
      </c>
    </row>
    <row r="2066" spans="1:6" x14ac:dyDescent="0.2">
      <c r="A2066" s="2" t="str">
        <f>"5998227599108"</f>
        <v>5998227599108</v>
      </c>
      <c r="B2066" s="1" t="s">
        <v>2056</v>
      </c>
      <c r="C2066" s="9" t="s">
        <v>3382</v>
      </c>
      <c r="D2066" s="6">
        <v>417.6</v>
      </c>
      <c r="F2066">
        <v>100</v>
      </c>
    </row>
    <row r="2067" spans="1:6" x14ac:dyDescent="0.2">
      <c r="A2067" s="2" t="str">
        <f>"5998227598903"</f>
        <v>5998227598903</v>
      </c>
      <c r="B2067" s="1" t="s">
        <v>2057</v>
      </c>
      <c r="C2067" s="9" t="s">
        <v>3382</v>
      </c>
      <c r="D2067" s="6">
        <v>795.85</v>
      </c>
      <c r="F2067">
        <v>100</v>
      </c>
    </row>
    <row r="2068" spans="1:6" x14ac:dyDescent="0.2">
      <c r="A2068" s="2" t="str">
        <f>"5995099427195"</f>
        <v>5995099427195</v>
      </c>
      <c r="B2068" s="1" t="s">
        <v>2058</v>
      </c>
      <c r="C2068" s="9" t="s">
        <v>3382</v>
      </c>
      <c r="D2068" s="6">
        <v>1016.32</v>
      </c>
      <c r="F2068">
        <v>100</v>
      </c>
    </row>
    <row r="2069" spans="1:6" x14ac:dyDescent="0.2">
      <c r="A2069" s="2" t="str">
        <f>"8588005128056"</f>
        <v>8588005128056</v>
      </c>
      <c r="B2069" s="1" t="s">
        <v>2059</v>
      </c>
      <c r="C2069" s="9" t="s">
        <v>3383</v>
      </c>
      <c r="D2069" s="6">
        <v>740.8</v>
      </c>
      <c r="F2069">
        <v>100</v>
      </c>
    </row>
    <row r="2070" spans="1:6" x14ac:dyDescent="0.2">
      <c r="A2070" s="2" t="str">
        <f>"5999885157716"</f>
        <v>5999885157716</v>
      </c>
      <c r="B2070" s="1" t="s">
        <v>2060</v>
      </c>
      <c r="C2070" s="9" t="s">
        <v>3382</v>
      </c>
      <c r="D2070" s="6">
        <v>1953.6</v>
      </c>
      <c r="F2070">
        <v>100</v>
      </c>
    </row>
    <row r="2071" spans="1:6" x14ac:dyDescent="0.2">
      <c r="A2071" s="2" t="str">
        <f>"5010106113127"</f>
        <v>5010106113127</v>
      </c>
      <c r="B2071" s="1" t="s">
        <v>2061</v>
      </c>
      <c r="C2071" s="9" t="s">
        <v>3382</v>
      </c>
      <c r="D2071" s="6">
        <v>3921.85</v>
      </c>
      <c r="F2071">
        <v>100</v>
      </c>
    </row>
    <row r="2072" spans="1:6" x14ac:dyDescent="0.2">
      <c r="A2072" s="2" t="str">
        <f>"5011013100156"</f>
        <v>5011013100156</v>
      </c>
      <c r="B2072" s="1" t="s">
        <v>2062</v>
      </c>
      <c r="C2072" s="9" t="s">
        <v>3382</v>
      </c>
      <c r="D2072" s="6">
        <v>4211.84</v>
      </c>
      <c r="F2072">
        <v>100</v>
      </c>
    </row>
    <row r="2073" spans="1:6" x14ac:dyDescent="0.2">
      <c r="A2073" s="2" t="str">
        <f>"5997732749534"</f>
        <v>5997732749534</v>
      </c>
      <c r="B2073" s="1" t="s">
        <v>2063</v>
      </c>
      <c r="C2073" s="9" t="s">
        <v>3383</v>
      </c>
      <c r="D2073" s="6">
        <v>482.62</v>
      </c>
      <c r="F2073">
        <v>100</v>
      </c>
    </row>
    <row r="2074" spans="1:6" x14ac:dyDescent="0.2">
      <c r="A2074" s="2" t="str">
        <f>"6412709021271"</f>
        <v>6412709021271</v>
      </c>
      <c r="B2074" s="1" t="s">
        <v>2064</v>
      </c>
      <c r="C2074" s="9" t="s">
        <v>3382</v>
      </c>
      <c r="D2074" s="6">
        <v>3069.16</v>
      </c>
      <c r="F2074">
        <v>100</v>
      </c>
    </row>
    <row r="2075" spans="1:6" x14ac:dyDescent="0.2">
      <c r="A2075" s="2" t="str">
        <f>"5995099429076"</f>
        <v>5995099429076</v>
      </c>
      <c r="B2075" s="1" t="s">
        <v>2065</v>
      </c>
      <c r="C2075" s="9" t="s">
        <v>3382</v>
      </c>
      <c r="D2075" s="6">
        <v>2860.8</v>
      </c>
      <c r="F2075">
        <v>100</v>
      </c>
    </row>
    <row r="2076" spans="1:6" x14ac:dyDescent="0.2">
      <c r="A2076" s="2" t="str">
        <f>"5942041000876"</f>
        <v>5942041000876</v>
      </c>
      <c r="B2076" s="1" t="s">
        <v>2066</v>
      </c>
      <c r="C2076" s="9" t="s">
        <v>3382</v>
      </c>
      <c r="D2076" s="6">
        <v>1233.5999999999999</v>
      </c>
      <c r="F2076">
        <v>100</v>
      </c>
    </row>
    <row r="2077" spans="1:6" x14ac:dyDescent="0.2">
      <c r="A2077" s="2" t="str">
        <f>"5010327000404"</f>
        <v>5010327000404</v>
      </c>
      <c r="B2077" s="1" t="s">
        <v>2067</v>
      </c>
      <c r="C2077" s="9" t="s">
        <v>3382</v>
      </c>
      <c r="D2077" s="6">
        <v>3451.87</v>
      </c>
      <c r="F2077">
        <v>100</v>
      </c>
    </row>
    <row r="2078" spans="1:6" x14ac:dyDescent="0.2">
      <c r="A2078" s="2" t="str">
        <f>"5099873046296"</f>
        <v>5099873046296</v>
      </c>
      <c r="B2078" s="1" t="s">
        <v>2068</v>
      </c>
      <c r="C2078" s="9" t="s">
        <v>3382</v>
      </c>
      <c r="D2078" s="6">
        <v>556.49</v>
      </c>
      <c r="F2078">
        <v>100</v>
      </c>
    </row>
    <row r="2079" spans="1:6" x14ac:dyDescent="0.2">
      <c r="A2079" s="2" t="str">
        <f>"5099873089798"</f>
        <v>5099873089798</v>
      </c>
      <c r="B2079" s="1" t="s">
        <v>2069</v>
      </c>
      <c r="C2079" s="9" t="s">
        <v>3382</v>
      </c>
      <c r="D2079" s="6">
        <v>5494.07</v>
      </c>
      <c r="F2079">
        <v>100</v>
      </c>
    </row>
    <row r="2080" spans="1:6" x14ac:dyDescent="0.2">
      <c r="A2080" s="2" t="str">
        <f>"4067700014153"</f>
        <v>4067700014153</v>
      </c>
      <c r="B2080" s="1" t="s">
        <v>2070</v>
      </c>
      <c r="C2080" s="9" t="s">
        <v>3382</v>
      </c>
      <c r="D2080" s="6">
        <v>2931.96</v>
      </c>
      <c r="F2080">
        <v>100</v>
      </c>
    </row>
    <row r="2081" spans="1:6" x14ac:dyDescent="0.2">
      <c r="A2081" s="2" t="str">
        <f>"4067700014146"</f>
        <v>4067700014146</v>
      </c>
      <c r="B2081" s="1" t="s">
        <v>2071</v>
      </c>
      <c r="C2081" s="9" t="s">
        <v>3382</v>
      </c>
      <c r="D2081" s="6">
        <v>4260.2</v>
      </c>
      <c r="F2081">
        <v>100</v>
      </c>
    </row>
    <row r="2082" spans="1:6" x14ac:dyDescent="0.2">
      <c r="A2082" s="2" t="str">
        <f>"5011007003005"</f>
        <v>5011007003005</v>
      </c>
      <c r="B2082" s="1" t="s">
        <v>2072</v>
      </c>
      <c r="C2082" s="9" t="s">
        <v>3382</v>
      </c>
      <c r="D2082" s="6">
        <v>5426.1</v>
      </c>
      <c r="F2082">
        <v>100</v>
      </c>
    </row>
    <row r="2083" spans="1:6" x14ac:dyDescent="0.2">
      <c r="A2083" s="2" t="str">
        <f>"5060045583147"</f>
        <v>5060045583147</v>
      </c>
      <c r="B2083" s="1" t="s">
        <v>2073</v>
      </c>
      <c r="C2083" s="9" t="s">
        <v>3382</v>
      </c>
      <c r="D2083" s="6">
        <v>4165.8500000000004</v>
      </c>
      <c r="F2083">
        <v>100</v>
      </c>
    </row>
    <row r="2084" spans="1:6" x14ac:dyDescent="0.2">
      <c r="A2084" s="2" t="str">
        <f>"080686001904 "</f>
        <v xml:space="preserve">080686001904 </v>
      </c>
      <c r="B2084" s="1" t="s">
        <v>2074</v>
      </c>
      <c r="C2084" s="9" t="s">
        <v>3382</v>
      </c>
      <c r="D2084" s="6">
        <v>568.32000000000005</v>
      </c>
      <c r="F2084">
        <v>100</v>
      </c>
    </row>
    <row r="2085" spans="1:6" x14ac:dyDescent="0.2">
      <c r="A2085" s="2" t="str">
        <f>"5000267014401"</f>
        <v>5000267014401</v>
      </c>
      <c r="B2085" s="1" t="s">
        <v>2075</v>
      </c>
      <c r="C2085" s="9" t="s">
        <v>3382</v>
      </c>
      <c r="D2085" s="6">
        <v>3406.39</v>
      </c>
      <c r="F2085">
        <v>100</v>
      </c>
    </row>
    <row r="2086" spans="1:6" x14ac:dyDescent="0.2">
      <c r="A2086" s="2" t="str">
        <f>"5997732749503"</f>
        <v>5997732749503</v>
      </c>
      <c r="B2086" s="1" t="s">
        <v>2076</v>
      </c>
      <c r="C2086" s="9" t="s">
        <v>3383</v>
      </c>
      <c r="D2086" s="6">
        <v>139.56</v>
      </c>
      <c r="F2086">
        <v>100</v>
      </c>
    </row>
    <row r="2087" spans="1:6" x14ac:dyDescent="0.2">
      <c r="A2087" s="2" t="str">
        <f>"5997732751292"</f>
        <v>5997732751292</v>
      </c>
      <c r="B2087" s="1" t="s">
        <v>2077</v>
      </c>
      <c r="C2087" s="9" t="s">
        <v>3383</v>
      </c>
      <c r="D2087" s="6">
        <v>498.64</v>
      </c>
      <c r="F2087">
        <v>100</v>
      </c>
    </row>
    <row r="2088" spans="1:6" x14ac:dyDescent="0.2">
      <c r="A2088" s="2" t="str">
        <f>"5997878306233"</f>
        <v>5997878306233</v>
      </c>
      <c r="B2088" s="1" t="s">
        <v>2078</v>
      </c>
      <c r="C2088" s="9" t="s">
        <v>3382</v>
      </c>
      <c r="D2088" s="6">
        <v>2101.44</v>
      </c>
      <c r="F2088">
        <v>100</v>
      </c>
    </row>
    <row r="2089" spans="1:6" x14ac:dyDescent="0.2">
      <c r="A2089" s="2" t="str">
        <f>"5997878306257"</f>
        <v>5997878306257</v>
      </c>
      <c r="B2089" s="1" t="s">
        <v>2079</v>
      </c>
      <c r="C2089" s="9" t="s">
        <v>3382</v>
      </c>
      <c r="D2089" s="6">
        <v>2101.44</v>
      </c>
      <c r="F2089">
        <v>100</v>
      </c>
    </row>
    <row r="2090" spans="1:6" x14ac:dyDescent="0.2">
      <c r="A2090" s="2" t="str">
        <f>"5998227598996"</f>
        <v>5998227598996</v>
      </c>
      <c r="B2090" s="1" t="s">
        <v>2080</v>
      </c>
      <c r="C2090" s="9" t="s">
        <v>3382</v>
      </c>
      <c r="D2090" s="6">
        <v>1915.2</v>
      </c>
      <c r="F2090">
        <v>100</v>
      </c>
    </row>
    <row r="2091" spans="1:6" x14ac:dyDescent="0.2">
      <c r="A2091" s="2" t="str">
        <f>"5998227599214"</f>
        <v>5998227599214</v>
      </c>
      <c r="B2091" s="1" t="s">
        <v>2081</v>
      </c>
      <c r="C2091" s="9" t="s">
        <v>3382</v>
      </c>
      <c r="D2091" s="6">
        <v>4249.8100000000004</v>
      </c>
      <c r="F2091">
        <v>100</v>
      </c>
    </row>
    <row r="2092" spans="1:6" x14ac:dyDescent="0.2">
      <c r="A2092" s="2" t="str">
        <f>"5998227598897"</f>
        <v>5998227598897</v>
      </c>
      <c r="B2092" s="1" t="s">
        <v>2082</v>
      </c>
      <c r="C2092" s="9" t="s">
        <v>3382</v>
      </c>
      <c r="D2092" s="6">
        <v>1915.16</v>
      </c>
      <c r="F2092">
        <v>100</v>
      </c>
    </row>
    <row r="2093" spans="1:6" x14ac:dyDescent="0.2">
      <c r="A2093" s="2" t="str">
        <f>"5998227598927"</f>
        <v>5998227598927</v>
      </c>
      <c r="B2093" s="1" t="s">
        <v>2083</v>
      </c>
      <c r="C2093" s="9" t="s">
        <v>3382</v>
      </c>
      <c r="D2093" s="6">
        <v>1915.91</v>
      </c>
      <c r="F2093">
        <v>100</v>
      </c>
    </row>
    <row r="2094" spans="1:6" x14ac:dyDescent="0.2">
      <c r="A2094" s="2" t="str">
        <f>"5997878300408"</f>
        <v>5997878300408</v>
      </c>
      <c r="B2094" s="1" t="s">
        <v>2084</v>
      </c>
      <c r="C2094" s="9" t="s">
        <v>3382</v>
      </c>
      <c r="D2094" s="6">
        <v>1454.78</v>
      </c>
      <c r="F2094">
        <v>100</v>
      </c>
    </row>
    <row r="2095" spans="1:6" x14ac:dyDescent="0.2">
      <c r="A2095" s="2" t="str">
        <f>"5997878300132"</f>
        <v>5997878300132</v>
      </c>
      <c r="B2095" s="1" t="s">
        <v>2085</v>
      </c>
      <c r="C2095" s="9" t="s">
        <v>3382</v>
      </c>
      <c r="D2095" s="6">
        <v>1526.97</v>
      </c>
      <c r="F2095">
        <v>100</v>
      </c>
    </row>
    <row r="2096" spans="1:6" x14ac:dyDescent="0.2">
      <c r="A2096" s="2" t="str">
        <f>"8588005128018"</f>
        <v>8588005128018</v>
      </c>
      <c r="B2096" s="1" t="s">
        <v>2086</v>
      </c>
      <c r="C2096" s="9" t="s">
        <v>3383</v>
      </c>
      <c r="D2096" s="6">
        <v>562.64</v>
      </c>
      <c r="F2096">
        <v>100</v>
      </c>
    </row>
    <row r="2097" spans="1:6" x14ac:dyDescent="0.2">
      <c r="A2097" s="2" t="str">
        <f>"5995099434896"</f>
        <v>5995099434896</v>
      </c>
      <c r="B2097" s="1" t="s">
        <v>2087</v>
      </c>
      <c r="C2097" s="9" t="s">
        <v>3382</v>
      </c>
      <c r="D2097" s="6">
        <v>2082.0300000000002</v>
      </c>
      <c r="F2097">
        <v>100</v>
      </c>
    </row>
    <row r="2098" spans="1:6" x14ac:dyDescent="0.2">
      <c r="A2098" s="2" t="str">
        <f>"5997732758970"</f>
        <v>5997732758970</v>
      </c>
      <c r="B2098" s="1" t="s">
        <v>2088</v>
      </c>
      <c r="C2098" s="9" t="s">
        <v>3383</v>
      </c>
      <c r="D2098" s="6">
        <v>171.97</v>
      </c>
      <c r="F2098">
        <v>100</v>
      </c>
    </row>
    <row r="2099" spans="1:6" x14ac:dyDescent="0.2">
      <c r="A2099" s="2" t="str">
        <f>"5995099191515"</f>
        <v>5995099191515</v>
      </c>
      <c r="B2099" s="1" t="s">
        <v>2089</v>
      </c>
      <c r="C2099" s="9" t="s">
        <v>3382</v>
      </c>
      <c r="D2099" s="6">
        <v>3254.41</v>
      </c>
      <c r="F2099">
        <v>100</v>
      </c>
    </row>
    <row r="2100" spans="1:6" x14ac:dyDescent="0.2">
      <c r="A2100" s="2" t="str">
        <f>"5999884184027"</f>
        <v>5999884184027</v>
      </c>
      <c r="B2100" s="1" t="s">
        <v>2090</v>
      </c>
      <c r="C2100" s="9" t="s">
        <v>3374</v>
      </c>
      <c r="D2100" s="6">
        <v>359</v>
      </c>
      <c r="F2100">
        <v>100</v>
      </c>
    </row>
    <row r="2101" spans="1:6" x14ac:dyDescent="0.2">
      <c r="A2101" s="2" t="str">
        <f>"5999884184058"</f>
        <v>5999884184058</v>
      </c>
      <c r="B2101" s="1" t="s">
        <v>2091</v>
      </c>
      <c r="C2101" s="9" t="s">
        <v>3374</v>
      </c>
      <c r="D2101" s="6">
        <v>356.3</v>
      </c>
      <c r="F2101">
        <v>100</v>
      </c>
    </row>
    <row r="2102" spans="1:6" x14ac:dyDescent="0.2">
      <c r="A2102" s="2" t="str">
        <f>"5999884184010"</f>
        <v>5999884184010</v>
      </c>
      <c r="B2102" s="1" t="s">
        <v>2092</v>
      </c>
      <c r="C2102" s="9" t="s">
        <v>3374</v>
      </c>
      <c r="D2102" s="6">
        <v>359</v>
      </c>
      <c r="F2102">
        <v>100</v>
      </c>
    </row>
    <row r="2103" spans="1:6" x14ac:dyDescent="0.2">
      <c r="A2103" s="2" t="str">
        <f>"5999558121433"</f>
        <v>5999558121433</v>
      </c>
      <c r="B2103" s="1" t="s">
        <v>2093</v>
      </c>
      <c r="C2103" s="9" t="s">
        <v>3377</v>
      </c>
      <c r="D2103" s="6">
        <v>388</v>
      </c>
      <c r="F2103">
        <v>100</v>
      </c>
    </row>
    <row r="2104" spans="1:6" x14ac:dyDescent="0.2">
      <c r="A2104" s="2" t="str">
        <f>"5998760902977"</f>
        <v>5998760902977</v>
      </c>
      <c r="B2104" s="1" t="s">
        <v>2094</v>
      </c>
      <c r="C2104" s="9" t="s">
        <v>3376</v>
      </c>
      <c r="D2104" s="6">
        <v>183.44</v>
      </c>
      <c r="F2104">
        <v>100</v>
      </c>
    </row>
    <row r="2105" spans="1:6" x14ac:dyDescent="0.2">
      <c r="A2105" s="2" t="str">
        <f>"5993834008432"</f>
        <v>5993834008432</v>
      </c>
      <c r="B2105" s="1" t="s">
        <v>2095</v>
      </c>
      <c r="C2105" s="9" t="s">
        <v>3374</v>
      </c>
      <c r="D2105" s="6">
        <v>202.73</v>
      </c>
      <c r="F2105">
        <v>100</v>
      </c>
    </row>
    <row r="2106" spans="1:6" x14ac:dyDescent="0.2">
      <c r="A2106" s="2" t="str">
        <f>"5998571760537"</f>
        <v>5998571760537</v>
      </c>
      <c r="B2106" s="1" t="s">
        <v>2096</v>
      </c>
      <c r="C2106" s="9" t="s">
        <v>3378</v>
      </c>
      <c r="D2106" s="6">
        <v>584.76</v>
      </c>
      <c r="F2106">
        <v>100</v>
      </c>
    </row>
    <row r="2107" spans="1:6" x14ac:dyDescent="0.2">
      <c r="A2107" s="2" t="str">
        <f>"5998571760575"</f>
        <v>5998571760575</v>
      </c>
      <c r="B2107" s="1" t="s">
        <v>2097</v>
      </c>
      <c r="C2107" s="9" t="s">
        <v>3378</v>
      </c>
      <c r="D2107" s="6">
        <v>584.79999999999995</v>
      </c>
      <c r="F2107">
        <v>100</v>
      </c>
    </row>
    <row r="2108" spans="1:6" x14ac:dyDescent="0.2">
      <c r="A2108" s="2" t="str">
        <f>"5999884184065"</f>
        <v>5999884184065</v>
      </c>
      <c r="B2108" s="1" t="s">
        <v>2098</v>
      </c>
      <c r="C2108" s="9" t="s">
        <v>3374</v>
      </c>
      <c r="D2108" s="6">
        <v>359</v>
      </c>
      <c r="F2108">
        <v>100</v>
      </c>
    </row>
    <row r="2109" spans="1:6" x14ac:dyDescent="0.2">
      <c r="A2109" s="2" t="str">
        <f>"5998760904292"</f>
        <v>5998760904292</v>
      </c>
      <c r="B2109" s="1" t="s">
        <v>2099</v>
      </c>
      <c r="C2109" s="9" t="s">
        <v>3376</v>
      </c>
      <c r="D2109" s="6">
        <v>175.98</v>
      </c>
      <c r="F2109">
        <v>100</v>
      </c>
    </row>
    <row r="2110" spans="1:6" x14ac:dyDescent="0.2">
      <c r="A2110" s="2" t="str">
        <f>"5998760900966"</f>
        <v>5998760900966</v>
      </c>
      <c r="B2110" s="1" t="s">
        <v>2100</v>
      </c>
      <c r="C2110" s="9" t="s">
        <v>3376</v>
      </c>
      <c r="D2110" s="6">
        <v>227.95</v>
      </c>
      <c r="F2110">
        <v>100</v>
      </c>
    </row>
    <row r="2111" spans="1:6" x14ac:dyDescent="0.2">
      <c r="A2111" s="2" t="str">
        <f>"5993834008418"</f>
        <v>5993834008418</v>
      </c>
      <c r="B2111" s="1" t="s">
        <v>2101</v>
      </c>
      <c r="C2111" s="9" t="s">
        <v>3374</v>
      </c>
      <c r="D2111" s="6">
        <v>202.73</v>
      </c>
      <c r="F2111">
        <v>100</v>
      </c>
    </row>
    <row r="2112" spans="1:6" x14ac:dyDescent="0.2">
      <c r="A2112" s="2" t="str">
        <f>"5993834008425"</f>
        <v>5993834008425</v>
      </c>
      <c r="B2112" s="1" t="s">
        <v>2102</v>
      </c>
      <c r="C2112" s="9" t="s">
        <v>3374</v>
      </c>
      <c r="D2112" s="6">
        <v>202.56</v>
      </c>
      <c r="F2112">
        <v>100</v>
      </c>
    </row>
    <row r="2113" spans="1:6" x14ac:dyDescent="0.2">
      <c r="A2113" s="2" t="str">
        <f>"5998571760599"</f>
        <v>5998571760599</v>
      </c>
      <c r="B2113" s="1" t="s">
        <v>2103</v>
      </c>
      <c r="C2113" s="9" t="s">
        <v>3378</v>
      </c>
      <c r="D2113" s="6">
        <v>565</v>
      </c>
      <c r="F2113">
        <v>100</v>
      </c>
    </row>
    <row r="2114" spans="1:6" x14ac:dyDescent="0.2">
      <c r="A2114" s="2" t="str">
        <f>"5998571760063"</f>
        <v>5998571760063</v>
      </c>
      <c r="B2114" s="1" t="s">
        <v>2104</v>
      </c>
      <c r="C2114" s="9" t="s">
        <v>3378</v>
      </c>
      <c r="D2114" s="6">
        <v>565</v>
      </c>
      <c r="F2114">
        <v>100</v>
      </c>
    </row>
    <row r="2115" spans="1:6" x14ac:dyDescent="0.2">
      <c r="A2115" s="2" t="str">
        <f>"5998571760582"</f>
        <v>5998571760582</v>
      </c>
      <c r="B2115" s="1" t="s">
        <v>2105</v>
      </c>
      <c r="C2115" s="9" t="s">
        <v>3378</v>
      </c>
      <c r="D2115" s="6">
        <v>583.94000000000005</v>
      </c>
      <c r="F2115">
        <v>100</v>
      </c>
    </row>
    <row r="2116" spans="1:6" x14ac:dyDescent="0.2">
      <c r="A2116" s="2" t="str">
        <f>"5998571760520"</f>
        <v>5998571760520</v>
      </c>
      <c r="B2116" s="1" t="s">
        <v>2106</v>
      </c>
      <c r="C2116" s="9" t="s">
        <v>3378</v>
      </c>
      <c r="D2116" s="6">
        <v>568.29999999999995</v>
      </c>
      <c r="F2116">
        <v>100</v>
      </c>
    </row>
    <row r="2117" spans="1:6" x14ac:dyDescent="0.2">
      <c r="A2117" s="2" t="str">
        <f>"5998571760551"</f>
        <v>5998571760551</v>
      </c>
      <c r="B2117" s="1" t="s">
        <v>2107</v>
      </c>
      <c r="C2117" s="9" t="s">
        <v>3378</v>
      </c>
      <c r="D2117" s="6">
        <v>579.41</v>
      </c>
      <c r="F2117">
        <v>100</v>
      </c>
    </row>
    <row r="2118" spans="1:6" x14ac:dyDescent="0.2">
      <c r="A2118" s="2" t="str">
        <f>"5998571765051"</f>
        <v>5998571765051</v>
      </c>
      <c r="B2118" s="1" t="s">
        <v>2108</v>
      </c>
      <c r="C2118" s="9" t="s">
        <v>3378</v>
      </c>
      <c r="D2118" s="6">
        <v>155</v>
      </c>
      <c r="F2118">
        <v>100</v>
      </c>
    </row>
    <row r="2119" spans="1:6" x14ac:dyDescent="0.2">
      <c r="A2119" s="2" t="str">
        <f>"5998818570530"</f>
        <v>5998818570530</v>
      </c>
      <c r="B2119" s="1" t="s">
        <v>2109</v>
      </c>
      <c r="C2119" s="9" t="s">
        <v>3376</v>
      </c>
      <c r="D2119" s="6">
        <v>452.04</v>
      </c>
      <c r="F2119">
        <v>100</v>
      </c>
    </row>
    <row r="2120" spans="1:6" x14ac:dyDescent="0.2">
      <c r="A2120" s="2" t="str">
        <f>"5999884184256"</f>
        <v>5999884184256</v>
      </c>
      <c r="B2120" s="1" t="s">
        <v>2110</v>
      </c>
      <c r="C2120" s="9" t="s">
        <v>3374</v>
      </c>
      <c r="D2120" s="6">
        <v>359</v>
      </c>
      <c r="F2120">
        <v>100</v>
      </c>
    </row>
    <row r="2121" spans="1:6" x14ac:dyDescent="0.2">
      <c r="A2121" s="2" t="str">
        <f>"5900497012553"</f>
        <v>5900497012553</v>
      </c>
      <c r="B2121" s="1" t="s">
        <v>2111</v>
      </c>
      <c r="C2121" s="9" t="s">
        <v>3386</v>
      </c>
      <c r="D2121" s="6">
        <v>101.6</v>
      </c>
      <c r="F2121">
        <v>100</v>
      </c>
    </row>
    <row r="2122" spans="1:6" x14ac:dyDescent="0.2">
      <c r="A2122" s="2" t="str">
        <f>"5900300586707"</f>
        <v>5900300586707</v>
      </c>
      <c r="B2122" s="1" t="s">
        <v>2112</v>
      </c>
      <c r="C2122" s="9" t="s">
        <v>3374</v>
      </c>
      <c r="D2122" s="6">
        <v>202.73</v>
      </c>
      <c r="F2122">
        <v>100</v>
      </c>
    </row>
    <row r="2123" spans="1:6" x14ac:dyDescent="0.2">
      <c r="A2123" s="2" t="str">
        <f>"5997005331190"</f>
        <v>5997005331190</v>
      </c>
      <c r="B2123" s="1" t="s">
        <v>2113</v>
      </c>
      <c r="C2123" s="9" t="s">
        <v>3376</v>
      </c>
      <c r="D2123" s="6">
        <v>188.15</v>
      </c>
      <c r="F2123">
        <v>100</v>
      </c>
    </row>
    <row r="2124" spans="1:6" x14ac:dyDescent="0.2">
      <c r="A2124" s="2" t="str">
        <f>"8722700045861"</f>
        <v>8722700045861</v>
      </c>
      <c r="B2124" s="1" t="s">
        <v>2114</v>
      </c>
      <c r="C2124" s="9" t="s">
        <v>3374</v>
      </c>
      <c r="D2124" s="6">
        <v>377.33</v>
      </c>
      <c r="F2124">
        <v>100</v>
      </c>
    </row>
    <row r="2125" spans="1:6" x14ac:dyDescent="0.2">
      <c r="A2125" s="2" t="str">
        <f>"5997100030714"</f>
        <v>5997100030714</v>
      </c>
      <c r="B2125" s="1" t="s">
        <v>2115</v>
      </c>
      <c r="C2125" s="9" t="s">
        <v>3382</v>
      </c>
      <c r="D2125" s="6">
        <v>296.44</v>
      </c>
      <c r="F2125">
        <v>100</v>
      </c>
    </row>
    <row r="2126" spans="1:6" x14ac:dyDescent="0.2">
      <c r="A2126" s="2" t="str">
        <f>"5997100024607"</f>
        <v>5997100024607</v>
      </c>
      <c r="B2126" s="1" t="s">
        <v>2116</v>
      </c>
      <c r="C2126" s="9" t="s">
        <v>3374</v>
      </c>
      <c r="D2126" s="6">
        <v>319.14</v>
      </c>
      <c r="F2126">
        <v>100</v>
      </c>
    </row>
    <row r="2127" spans="1:6" x14ac:dyDescent="0.2">
      <c r="A2127" s="2" t="str">
        <f>"5997100029053"</f>
        <v>5997100029053</v>
      </c>
      <c r="B2127" s="1" t="s">
        <v>2117</v>
      </c>
      <c r="C2127" s="9" t="s">
        <v>3374</v>
      </c>
      <c r="D2127" s="6">
        <v>228.59</v>
      </c>
      <c r="F2127">
        <v>100</v>
      </c>
    </row>
    <row r="2128" spans="1:6" x14ac:dyDescent="0.2">
      <c r="A2128" s="2" t="str">
        <f>"5997005341885"</f>
        <v>5997005341885</v>
      </c>
      <c r="B2128" s="1" t="s">
        <v>2118</v>
      </c>
      <c r="C2128" s="9" t="s">
        <v>3376</v>
      </c>
      <c r="D2128" s="6">
        <v>265.98</v>
      </c>
      <c r="F2128">
        <v>100</v>
      </c>
    </row>
    <row r="2129" spans="1:6" x14ac:dyDescent="0.2">
      <c r="A2129" s="2" t="str">
        <f>"5997005331503"</f>
        <v>5997005331503</v>
      </c>
      <c r="B2129" s="1" t="s">
        <v>2119</v>
      </c>
      <c r="C2129" s="9" t="s">
        <v>3376</v>
      </c>
      <c r="D2129" s="6">
        <v>178.18</v>
      </c>
      <c r="F2129">
        <v>100</v>
      </c>
    </row>
    <row r="2130" spans="1:6" x14ac:dyDescent="0.2">
      <c r="A2130" s="2" t="str">
        <f>"5997005342905"</f>
        <v>5997005342905</v>
      </c>
      <c r="B2130" s="1" t="s">
        <v>2120</v>
      </c>
      <c r="C2130" s="9" t="s">
        <v>3376</v>
      </c>
      <c r="D2130" s="6">
        <v>270.01</v>
      </c>
      <c r="F2130">
        <v>100</v>
      </c>
    </row>
    <row r="2131" spans="1:6" x14ac:dyDescent="0.2">
      <c r="A2131" s="2" t="str">
        <f>"5997005342226"</f>
        <v>5997005342226</v>
      </c>
      <c r="B2131" s="1" t="s">
        <v>2121</v>
      </c>
      <c r="C2131" s="9" t="s">
        <v>3376</v>
      </c>
      <c r="D2131" s="6">
        <v>200.65</v>
      </c>
      <c r="F2131">
        <v>100</v>
      </c>
    </row>
    <row r="2132" spans="1:6" x14ac:dyDescent="0.2">
      <c r="A2132" s="2" t="str">
        <f>"8717163825976"</f>
        <v>8717163825976</v>
      </c>
      <c r="B2132" s="1" t="s">
        <v>2122</v>
      </c>
      <c r="C2132" s="9" t="s">
        <v>3374</v>
      </c>
      <c r="D2132" s="6">
        <v>377.33</v>
      </c>
      <c r="F2132">
        <v>100</v>
      </c>
    </row>
    <row r="2133" spans="1:6" x14ac:dyDescent="0.2">
      <c r="A2133" s="2" t="str">
        <f>"9002221012238"</f>
        <v>9002221012238</v>
      </c>
      <c r="B2133" s="1" t="s">
        <v>2123</v>
      </c>
      <c r="C2133" s="9" t="s">
        <v>3374</v>
      </c>
      <c r="D2133" s="6">
        <v>451.05</v>
      </c>
      <c r="F2133">
        <v>100</v>
      </c>
    </row>
    <row r="2134" spans="1:6" x14ac:dyDescent="0.2">
      <c r="A2134" s="2" t="str">
        <f>"5997100022078"</f>
        <v>5997100022078</v>
      </c>
      <c r="B2134" s="1" t="s">
        <v>2124</v>
      </c>
      <c r="C2134" s="9" t="s">
        <v>3382</v>
      </c>
      <c r="D2134" s="6">
        <v>283.39</v>
      </c>
      <c r="F2134">
        <v>100</v>
      </c>
    </row>
    <row r="2135" spans="1:6" x14ac:dyDescent="0.2">
      <c r="A2135" s="2" t="str">
        <f>"5997100024652"</f>
        <v>5997100024652</v>
      </c>
      <c r="B2135" s="1" t="s">
        <v>2125</v>
      </c>
      <c r="C2135" s="9" t="s">
        <v>3382</v>
      </c>
      <c r="D2135" s="6">
        <v>283.2</v>
      </c>
      <c r="F2135">
        <v>100</v>
      </c>
    </row>
    <row r="2136" spans="1:6" x14ac:dyDescent="0.2">
      <c r="A2136" s="2" t="str">
        <f>"8711000457900"</f>
        <v>8711000457900</v>
      </c>
      <c r="B2136" s="1" t="s">
        <v>2126</v>
      </c>
      <c r="C2136" s="9" t="s">
        <v>3382</v>
      </c>
      <c r="D2136" s="6">
        <v>283.2</v>
      </c>
      <c r="F2136">
        <v>100</v>
      </c>
    </row>
    <row r="2137" spans="1:6" x14ac:dyDescent="0.2">
      <c r="A2137" s="2" t="str">
        <f>"8711000457627"</f>
        <v>8711000457627</v>
      </c>
      <c r="B2137" s="1" t="s">
        <v>2127</v>
      </c>
      <c r="C2137" s="9" t="s">
        <v>3382</v>
      </c>
      <c r="D2137" s="6">
        <v>283.2</v>
      </c>
      <c r="F2137">
        <v>100</v>
      </c>
    </row>
    <row r="2138" spans="1:6" x14ac:dyDescent="0.2">
      <c r="A2138" s="2" t="str">
        <f>"8711000278321"</f>
        <v>8711000278321</v>
      </c>
      <c r="B2138" s="1" t="s">
        <v>2128</v>
      </c>
      <c r="C2138" s="9" t="s">
        <v>3374</v>
      </c>
      <c r="D2138" s="6">
        <v>309.42</v>
      </c>
      <c r="F2138">
        <v>100</v>
      </c>
    </row>
    <row r="2139" spans="1:6" x14ac:dyDescent="0.2">
      <c r="A2139" s="2" t="str">
        <f>"5997100024683"</f>
        <v>5997100024683</v>
      </c>
      <c r="B2139" s="1" t="s">
        <v>2129</v>
      </c>
      <c r="C2139" s="9" t="s">
        <v>3374</v>
      </c>
      <c r="D2139" s="6">
        <v>311.25</v>
      </c>
      <c r="F2139">
        <v>100</v>
      </c>
    </row>
    <row r="2140" spans="1:6" x14ac:dyDescent="0.2">
      <c r="A2140" s="2" t="str">
        <f>"8711000278284"</f>
        <v>8711000278284</v>
      </c>
      <c r="B2140" s="1" t="s">
        <v>2130</v>
      </c>
      <c r="C2140" s="9" t="s">
        <v>3374</v>
      </c>
      <c r="D2140" s="6">
        <v>335.2</v>
      </c>
      <c r="F2140">
        <v>100</v>
      </c>
    </row>
    <row r="2141" spans="1:6" x14ac:dyDescent="0.2">
      <c r="A2141" s="2" t="str">
        <f>"8711000369210"</f>
        <v>8711000369210</v>
      </c>
      <c r="B2141" s="1" t="s">
        <v>2131</v>
      </c>
      <c r="C2141" s="9" t="s">
        <v>3382</v>
      </c>
      <c r="D2141" s="6">
        <v>297.11</v>
      </c>
      <c r="F2141">
        <v>100</v>
      </c>
    </row>
    <row r="2142" spans="1:6" x14ac:dyDescent="0.2">
      <c r="A2142" s="2" t="str">
        <f>"8714100818992"</f>
        <v>8714100818992</v>
      </c>
      <c r="B2142" s="1" t="s">
        <v>2132</v>
      </c>
      <c r="C2142" s="9" t="s">
        <v>3382</v>
      </c>
      <c r="D2142" s="6">
        <v>233.72</v>
      </c>
      <c r="F2142">
        <v>100</v>
      </c>
    </row>
    <row r="2143" spans="1:6" x14ac:dyDescent="0.2">
      <c r="A2143" s="2" t="str">
        <f>"8711200512027"</f>
        <v>8711200512027</v>
      </c>
      <c r="B2143" s="1" t="s">
        <v>2133</v>
      </c>
      <c r="C2143" s="9" t="s">
        <v>3374</v>
      </c>
      <c r="D2143" s="6">
        <v>229.89</v>
      </c>
      <c r="F2143">
        <v>100</v>
      </c>
    </row>
    <row r="2144" spans="1:6" x14ac:dyDescent="0.2">
      <c r="A2144" s="2" t="str">
        <f>"8712566206872"</f>
        <v>8712566206872</v>
      </c>
      <c r="B2144" s="1" t="s">
        <v>2134</v>
      </c>
      <c r="C2144" s="9" t="s">
        <v>3382</v>
      </c>
      <c r="D2144" s="6">
        <v>292.8</v>
      </c>
      <c r="F2144">
        <v>100</v>
      </c>
    </row>
    <row r="2145" spans="1:6" x14ac:dyDescent="0.2">
      <c r="A2145" s="2" t="str">
        <f>"5997100029091"</f>
        <v>5997100029091</v>
      </c>
      <c r="B2145" s="1" t="s">
        <v>2135</v>
      </c>
      <c r="C2145" s="9" t="s">
        <v>3382</v>
      </c>
      <c r="D2145" s="6">
        <v>223.84</v>
      </c>
      <c r="F2145">
        <v>100</v>
      </c>
    </row>
    <row r="2146" spans="1:6" x14ac:dyDescent="0.2">
      <c r="A2146" s="2" t="str">
        <f>"8588005128049"</f>
        <v>8588005128049</v>
      </c>
      <c r="B2146" s="1" t="s">
        <v>2136</v>
      </c>
      <c r="C2146" s="9" t="s">
        <v>3383</v>
      </c>
      <c r="D2146" s="6">
        <v>697.53</v>
      </c>
      <c r="F2146">
        <v>100</v>
      </c>
    </row>
    <row r="2147" spans="1:6" x14ac:dyDescent="0.2">
      <c r="A2147" s="2" t="str">
        <f>"5998200563690"</f>
        <v>5998200563690</v>
      </c>
      <c r="B2147" s="1" t="s">
        <v>2137</v>
      </c>
      <c r="C2147" s="9" t="s">
        <v>3429</v>
      </c>
      <c r="D2147" s="6">
        <v>154.82</v>
      </c>
      <c r="F2147">
        <v>100</v>
      </c>
    </row>
    <row r="2148" spans="1:6" x14ac:dyDescent="0.2">
      <c r="A2148" s="2" t="str">
        <f>"5998200557682"</f>
        <v>5998200557682</v>
      </c>
      <c r="B2148" s="1" t="s">
        <v>2138</v>
      </c>
      <c r="C2148" s="9" t="s">
        <v>3400</v>
      </c>
      <c r="D2148" s="6">
        <v>217.93</v>
      </c>
      <c r="F2148">
        <v>100</v>
      </c>
    </row>
    <row r="2149" spans="1:6" x14ac:dyDescent="0.2">
      <c r="A2149" s="2" t="str">
        <f>"5998999220002"</f>
        <v>5998999220002</v>
      </c>
      <c r="B2149" s="1" t="s">
        <v>2139</v>
      </c>
      <c r="C2149" s="9" t="s">
        <v>3430</v>
      </c>
      <c r="D2149" s="6">
        <v>94.97</v>
      </c>
      <c r="F2149">
        <v>100</v>
      </c>
    </row>
    <row r="2150" spans="1:6" x14ac:dyDescent="0.2">
      <c r="A2150" s="2" t="str">
        <f>"5998201002907"</f>
        <v>5998201002907</v>
      </c>
      <c r="B2150" s="1" t="s">
        <v>2140</v>
      </c>
      <c r="C2150" s="9" t="s">
        <v>3400</v>
      </c>
      <c r="D2150" s="6">
        <v>86.72</v>
      </c>
      <c r="F2150">
        <v>100</v>
      </c>
    </row>
    <row r="2151" spans="1:6" x14ac:dyDescent="0.2">
      <c r="A2151" s="2" t="str">
        <f>"5998201080394"</f>
        <v>5998201080394</v>
      </c>
      <c r="B2151" s="1" t="s">
        <v>2141</v>
      </c>
      <c r="C2151" s="9" t="s">
        <v>3400</v>
      </c>
      <c r="D2151" s="6">
        <v>120.95</v>
      </c>
      <c r="F2151">
        <v>100</v>
      </c>
    </row>
    <row r="2152" spans="1:6" x14ac:dyDescent="0.2">
      <c r="A2152" s="2" t="str">
        <f>"4008400290126"</f>
        <v>4008400290126</v>
      </c>
      <c r="B2152" s="1" t="s">
        <v>2142</v>
      </c>
      <c r="C2152" s="9" t="s">
        <v>3400</v>
      </c>
      <c r="D2152" s="6">
        <v>106.19</v>
      </c>
      <c r="F2152">
        <v>100</v>
      </c>
    </row>
    <row r="2153" spans="1:6" x14ac:dyDescent="0.2">
      <c r="A2153" s="2" t="str">
        <f>"4008400553023"</f>
        <v>4008400553023</v>
      </c>
      <c r="B2153" s="1" t="s">
        <v>2143</v>
      </c>
      <c r="C2153" s="9" t="s">
        <v>3400</v>
      </c>
      <c r="D2153" s="6">
        <v>150.99</v>
      </c>
      <c r="F2153">
        <v>100</v>
      </c>
    </row>
    <row r="2154" spans="1:6" x14ac:dyDescent="0.2">
      <c r="A2154" s="2" t="str">
        <f>"40084725     "</f>
        <v xml:space="preserve">40084725     </v>
      </c>
      <c r="B2154" s="1" t="s">
        <v>2144</v>
      </c>
      <c r="C2154" s="9" t="s">
        <v>3400</v>
      </c>
      <c r="D2154" s="6">
        <v>100.68</v>
      </c>
      <c r="F2154">
        <v>100</v>
      </c>
    </row>
    <row r="2155" spans="1:6" x14ac:dyDescent="0.2">
      <c r="A2155" s="2" t="str">
        <f>"5998200744617"</f>
        <v>5998200744617</v>
      </c>
      <c r="B2155" s="1" t="s">
        <v>2145</v>
      </c>
      <c r="C2155" s="9" t="s">
        <v>3400</v>
      </c>
      <c r="D2155" s="6">
        <v>46.72</v>
      </c>
      <c r="F2155">
        <v>100</v>
      </c>
    </row>
    <row r="2156" spans="1:6" x14ac:dyDescent="0.2">
      <c r="A2156" s="2" t="str">
        <f>"5998200557699"</f>
        <v>5998200557699</v>
      </c>
      <c r="B2156" s="1" t="s">
        <v>2146</v>
      </c>
      <c r="C2156" s="9" t="s">
        <v>3400</v>
      </c>
      <c r="D2156" s="6">
        <v>210.42</v>
      </c>
      <c r="F2156">
        <v>100</v>
      </c>
    </row>
    <row r="2157" spans="1:6" x14ac:dyDescent="0.2">
      <c r="A2157" s="2" t="str">
        <f>"5410438036048"</f>
        <v>5410438036048</v>
      </c>
      <c r="B2157" s="1" t="s">
        <v>2147</v>
      </c>
      <c r="C2157" s="9" t="s">
        <v>3400</v>
      </c>
      <c r="D2157" s="6">
        <v>187.25</v>
      </c>
      <c r="F2157">
        <v>100</v>
      </c>
    </row>
    <row r="2158" spans="1:6" x14ac:dyDescent="0.2">
      <c r="A2158" s="2" t="str">
        <f>"5998200746888"</f>
        <v>5998200746888</v>
      </c>
      <c r="B2158" s="1" t="s">
        <v>2148</v>
      </c>
      <c r="C2158" s="9" t="s">
        <v>3400</v>
      </c>
      <c r="D2158" s="6">
        <v>130.80000000000001</v>
      </c>
      <c r="F2158">
        <v>100</v>
      </c>
    </row>
    <row r="2159" spans="1:6" x14ac:dyDescent="0.2">
      <c r="A2159" s="2" t="str">
        <f>"4014500512990"</f>
        <v>4014500512990</v>
      </c>
      <c r="B2159" s="1" t="s">
        <v>2149</v>
      </c>
      <c r="C2159" s="9" t="s">
        <v>3400</v>
      </c>
      <c r="D2159" s="6">
        <v>138.49</v>
      </c>
      <c r="F2159">
        <v>100</v>
      </c>
    </row>
    <row r="2160" spans="1:6" x14ac:dyDescent="0.2">
      <c r="A2160" s="2" t="str">
        <f>"5998200558269"</f>
        <v>5998200558269</v>
      </c>
      <c r="B2160" s="1" t="s">
        <v>2150</v>
      </c>
      <c r="C2160" s="9" t="s">
        <v>3400</v>
      </c>
      <c r="D2160" s="6">
        <v>270.02999999999997</v>
      </c>
      <c r="F2160">
        <v>100</v>
      </c>
    </row>
    <row r="2161" spans="1:6" x14ac:dyDescent="0.2">
      <c r="A2161" s="2" t="str">
        <f>"59901419     "</f>
        <v xml:space="preserve">59901419     </v>
      </c>
      <c r="B2161" s="1" t="s">
        <v>2151</v>
      </c>
      <c r="C2161" s="9" t="s">
        <v>3400</v>
      </c>
      <c r="D2161" s="6">
        <v>62.19</v>
      </c>
      <c r="F2161">
        <v>100</v>
      </c>
    </row>
    <row r="2162" spans="1:6" x14ac:dyDescent="0.2">
      <c r="A2162" s="2" t="str">
        <f>"5998200560125"</f>
        <v>5998200560125</v>
      </c>
      <c r="B2162" s="1" t="s">
        <v>2152</v>
      </c>
      <c r="C2162" s="9" t="s">
        <v>3400</v>
      </c>
      <c r="D2162" s="6">
        <v>106.42</v>
      </c>
      <c r="F2162">
        <v>100</v>
      </c>
    </row>
    <row r="2163" spans="1:6" x14ac:dyDescent="0.2">
      <c r="A2163" s="2" t="str">
        <f>"5998200744624"</f>
        <v>5998200744624</v>
      </c>
      <c r="B2163" s="1" t="s">
        <v>2153</v>
      </c>
      <c r="C2163" s="9" t="s">
        <v>3400</v>
      </c>
      <c r="D2163" s="6">
        <v>47.21</v>
      </c>
      <c r="F2163">
        <v>100</v>
      </c>
    </row>
    <row r="2164" spans="1:6" x14ac:dyDescent="0.2">
      <c r="A2164" s="2" t="str">
        <f>"5998200558276"</f>
        <v>5998200558276</v>
      </c>
      <c r="B2164" s="1" t="s">
        <v>2154</v>
      </c>
      <c r="C2164" s="9" t="s">
        <v>3400</v>
      </c>
      <c r="D2164" s="6">
        <v>122.54</v>
      </c>
      <c r="F2164">
        <v>100</v>
      </c>
    </row>
    <row r="2165" spans="1:6" x14ac:dyDescent="0.2">
      <c r="A2165" s="2" t="str">
        <f>"5998200557835"</f>
        <v>5998200557835</v>
      </c>
      <c r="B2165" s="1" t="s">
        <v>2155</v>
      </c>
      <c r="C2165" s="9" t="s">
        <v>3400</v>
      </c>
      <c r="D2165" s="6">
        <v>56.17</v>
      </c>
      <c r="F2165">
        <v>100</v>
      </c>
    </row>
    <row r="2166" spans="1:6" x14ac:dyDescent="0.2">
      <c r="A2166" s="2" t="str">
        <f>"50159857     "</f>
        <v xml:space="preserve">50159857     </v>
      </c>
      <c r="B2166" s="1" t="s">
        <v>2156</v>
      </c>
      <c r="C2166" s="9" t="s">
        <v>3400</v>
      </c>
      <c r="D2166" s="6">
        <v>102.05</v>
      </c>
      <c r="F2166">
        <v>100</v>
      </c>
    </row>
    <row r="2167" spans="1:6" x14ac:dyDescent="0.2">
      <c r="A2167" s="2" t="str">
        <f>"5998200560156"</f>
        <v>5998200560156</v>
      </c>
      <c r="B2167" s="1" t="s">
        <v>2157</v>
      </c>
      <c r="C2167" s="9" t="s">
        <v>3400</v>
      </c>
      <c r="D2167" s="6">
        <v>227.51</v>
      </c>
      <c r="F2167">
        <v>100</v>
      </c>
    </row>
    <row r="2168" spans="1:6" x14ac:dyDescent="0.2">
      <c r="A2168" s="2" t="str">
        <f>"5998200557811"</f>
        <v>5998200557811</v>
      </c>
      <c r="B2168" s="1" t="s">
        <v>2158</v>
      </c>
      <c r="C2168" s="9" t="s">
        <v>3400</v>
      </c>
      <c r="D2168" s="6">
        <v>57.68</v>
      </c>
      <c r="F2168">
        <v>100</v>
      </c>
    </row>
    <row r="2169" spans="1:6" x14ac:dyDescent="0.2">
      <c r="A2169" s="2" t="str">
        <f>"50159529     "</f>
        <v xml:space="preserve">50159529     </v>
      </c>
      <c r="B2169" s="1" t="s">
        <v>2159</v>
      </c>
      <c r="C2169" s="9" t="s">
        <v>3400</v>
      </c>
      <c r="D2169" s="6">
        <v>95.17</v>
      </c>
      <c r="F2169">
        <v>100</v>
      </c>
    </row>
    <row r="2170" spans="1:6" x14ac:dyDescent="0.2">
      <c r="A2170" s="2" t="str">
        <f>"5998200749247"</f>
        <v>5998200749247</v>
      </c>
      <c r="B2170" s="1" t="s">
        <v>2160</v>
      </c>
      <c r="C2170" s="9" t="s">
        <v>3400</v>
      </c>
      <c r="D2170" s="6">
        <v>130.69</v>
      </c>
      <c r="F2170">
        <v>100</v>
      </c>
    </row>
    <row r="2171" spans="1:6" x14ac:dyDescent="0.2">
      <c r="A2171" s="2" t="str">
        <f>"5998201209801"</f>
        <v>5998201209801</v>
      </c>
      <c r="B2171" s="1" t="s">
        <v>2161</v>
      </c>
      <c r="C2171" s="9" t="s">
        <v>3401</v>
      </c>
      <c r="D2171" s="6">
        <v>113.72</v>
      </c>
      <c r="F2171">
        <v>100</v>
      </c>
    </row>
    <row r="2172" spans="1:6" x14ac:dyDescent="0.2">
      <c r="A2172" s="2" t="str">
        <f>"5998200748042"</f>
        <v>5998200748042</v>
      </c>
      <c r="B2172" s="1" t="s">
        <v>2162</v>
      </c>
      <c r="C2172" s="9" t="s">
        <v>3400</v>
      </c>
      <c r="D2172" s="6">
        <v>122.63</v>
      </c>
      <c r="F2172">
        <v>100</v>
      </c>
    </row>
    <row r="2173" spans="1:6" x14ac:dyDescent="0.2">
      <c r="A2173" s="2" t="str">
        <f>"5998201220240"</f>
        <v>5998201220240</v>
      </c>
      <c r="B2173" s="1" t="s">
        <v>2163</v>
      </c>
      <c r="C2173" s="9" t="s">
        <v>3400</v>
      </c>
      <c r="D2173" s="6">
        <v>245.01</v>
      </c>
      <c r="F2173">
        <v>100</v>
      </c>
    </row>
    <row r="2174" spans="1:6" x14ac:dyDescent="0.2">
      <c r="A2174" s="2" t="str">
        <f>"5998202940123"</f>
        <v>5998202940123</v>
      </c>
      <c r="B2174" s="1" t="s">
        <v>2164</v>
      </c>
      <c r="C2174" s="9" t="s">
        <v>3400</v>
      </c>
      <c r="D2174" s="6">
        <v>63.91</v>
      </c>
      <c r="F2174">
        <v>100</v>
      </c>
    </row>
    <row r="2175" spans="1:6" x14ac:dyDescent="0.2">
      <c r="A2175" s="2" t="str">
        <f>"5998200559310"</f>
        <v>5998200559310</v>
      </c>
      <c r="B2175" s="1" t="s">
        <v>2165</v>
      </c>
      <c r="C2175" s="9" t="s">
        <v>3400</v>
      </c>
      <c r="D2175" s="6">
        <v>222.38</v>
      </c>
      <c r="F2175">
        <v>100</v>
      </c>
    </row>
    <row r="2176" spans="1:6" x14ac:dyDescent="0.2">
      <c r="A2176" s="2" t="str">
        <f>"5998200462054"</f>
        <v>5998200462054</v>
      </c>
      <c r="B2176" s="1" t="s">
        <v>2166</v>
      </c>
      <c r="C2176" s="9" t="s">
        <v>3400</v>
      </c>
      <c r="D2176" s="6">
        <v>64.040000000000006</v>
      </c>
      <c r="F2176">
        <v>100</v>
      </c>
    </row>
    <row r="2177" spans="1:6" x14ac:dyDescent="0.2">
      <c r="A2177" s="2" t="str">
        <f>"5998200748899"</f>
        <v>5998200748899</v>
      </c>
      <c r="B2177" s="1" t="s">
        <v>2167</v>
      </c>
      <c r="C2177" s="9" t="s">
        <v>3400</v>
      </c>
      <c r="D2177" s="6">
        <v>128.38</v>
      </c>
      <c r="F2177">
        <v>100</v>
      </c>
    </row>
    <row r="2178" spans="1:6" x14ac:dyDescent="0.2">
      <c r="A2178" s="2" t="str">
        <f>"5998201209702"</f>
        <v>5998201209702</v>
      </c>
      <c r="B2178" s="1" t="s">
        <v>2168</v>
      </c>
      <c r="C2178" s="9" t="s">
        <v>3401</v>
      </c>
      <c r="D2178" s="6">
        <v>95.39</v>
      </c>
      <c r="F2178">
        <v>100</v>
      </c>
    </row>
    <row r="2179" spans="1:6" x14ac:dyDescent="0.2">
      <c r="A2179" s="2" t="str">
        <f>"5998200469428"</f>
        <v>5998200469428</v>
      </c>
      <c r="B2179" s="1" t="s">
        <v>2169</v>
      </c>
      <c r="C2179" s="9" t="s">
        <v>3400</v>
      </c>
      <c r="D2179" s="6">
        <v>253.09</v>
      </c>
      <c r="F2179">
        <v>100</v>
      </c>
    </row>
    <row r="2180" spans="1:6" x14ac:dyDescent="0.2">
      <c r="A2180" s="2" t="str">
        <f>"5998200747526"</f>
        <v>5998200747526</v>
      </c>
      <c r="B2180" s="1" t="s">
        <v>2170</v>
      </c>
      <c r="C2180" s="9" t="s">
        <v>3400</v>
      </c>
      <c r="D2180" s="6">
        <v>119.44</v>
      </c>
      <c r="F2180">
        <v>100</v>
      </c>
    </row>
    <row r="2181" spans="1:6" x14ac:dyDescent="0.2">
      <c r="A2181" s="2" t="str">
        <f>"5998202942431"</f>
        <v>5998202942431</v>
      </c>
      <c r="B2181" s="1" t="s">
        <v>2171</v>
      </c>
      <c r="C2181" s="9" t="s">
        <v>3400</v>
      </c>
      <c r="D2181" s="6">
        <v>140.26</v>
      </c>
      <c r="F2181">
        <v>100</v>
      </c>
    </row>
    <row r="2182" spans="1:6" x14ac:dyDescent="0.2">
      <c r="A2182" s="2" t="str">
        <f>"5998202940109"</f>
        <v>5998202940109</v>
      </c>
      <c r="B2182" s="1" t="s">
        <v>2172</v>
      </c>
      <c r="C2182" s="9" t="s">
        <v>3400</v>
      </c>
      <c r="D2182" s="6">
        <v>59.82</v>
      </c>
      <c r="F2182">
        <v>100</v>
      </c>
    </row>
    <row r="2183" spans="1:6" x14ac:dyDescent="0.2">
      <c r="A2183" s="2" t="str">
        <f>"5998201033031"</f>
        <v>5998201033031</v>
      </c>
      <c r="B2183" s="1" t="s">
        <v>2173</v>
      </c>
      <c r="C2183" s="9" t="s">
        <v>3400</v>
      </c>
      <c r="D2183" s="6">
        <v>88.98</v>
      </c>
      <c r="F2183">
        <v>100</v>
      </c>
    </row>
    <row r="2184" spans="1:6" x14ac:dyDescent="0.2">
      <c r="A2184" s="2" t="str">
        <f>"40338453     "</f>
        <v xml:space="preserve">40338453     </v>
      </c>
      <c r="B2184" s="1" t="s">
        <v>2174</v>
      </c>
      <c r="C2184" s="9" t="s">
        <v>3400</v>
      </c>
      <c r="D2184" s="6">
        <v>87.82</v>
      </c>
      <c r="F2184">
        <v>100</v>
      </c>
    </row>
    <row r="2185" spans="1:6" x14ac:dyDescent="0.2">
      <c r="A2185" s="2" t="str">
        <f>"5998202942448"</f>
        <v>5998202942448</v>
      </c>
      <c r="B2185" s="1" t="s">
        <v>2175</v>
      </c>
      <c r="C2185" s="9" t="s">
        <v>3400</v>
      </c>
      <c r="D2185" s="6">
        <v>133.53</v>
      </c>
      <c r="F2185">
        <v>100</v>
      </c>
    </row>
    <row r="2186" spans="1:6" x14ac:dyDescent="0.2">
      <c r="A2186" s="2" t="str">
        <f>"5998200561986"</f>
        <v>5998200561986</v>
      </c>
      <c r="B2186" s="1" t="s">
        <v>2176</v>
      </c>
      <c r="C2186" s="9" t="s">
        <v>3400</v>
      </c>
      <c r="D2186" s="6">
        <v>132</v>
      </c>
      <c r="F2186">
        <v>100</v>
      </c>
    </row>
    <row r="2187" spans="1:6" x14ac:dyDescent="0.2">
      <c r="A2187" s="2" t="str">
        <f>"4014500513010"</f>
        <v>4014500513010</v>
      </c>
      <c r="B2187" s="1" t="s">
        <v>2177</v>
      </c>
      <c r="C2187" s="9" t="s">
        <v>3400</v>
      </c>
      <c r="D2187" s="6">
        <v>323.16000000000003</v>
      </c>
      <c r="F2187">
        <v>100</v>
      </c>
    </row>
    <row r="2188" spans="1:6" x14ac:dyDescent="0.2">
      <c r="A2188" s="2" t="str">
        <f>"80052807     "</f>
        <v xml:space="preserve">80052807     </v>
      </c>
      <c r="B2188" s="1" t="s">
        <v>2178</v>
      </c>
      <c r="C2188" s="9" t="s">
        <v>3400</v>
      </c>
      <c r="D2188" s="6">
        <v>128.54</v>
      </c>
      <c r="F2188">
        <v>100</v>
      </c>
    </row>
    <row r="2189" spans="1:6" x14ac:dyDescent="0.2">
      <c r="A2189" s="2" t="str">
        <f>"5998200557088"</f>
        <v>5998200557088</v>
      </c>
      <c r="B2189" s="1" t="s">
        <v>2179</v>
      </c>
      <c r="C2189" s="9" t="s">
        <v>3400</v>
      </c>
      <c r="D2189" s="6">
        <v>266.39</v>
      </c>
      <c r="F2189">
        <v>100</v>
      </c>
    </row>
    <row r="2190" spans="1:6" x14ac:dyDescent="0.2">
      <c r="A2190" s="2" t="str">
        <f>"5998200557033"</f>
        <v>5998200557033</v>
      </c>
      <c r="B2190" s="1" t="s">
        <v>2180</v>
      </c>
      <c r="C2190" s="9" t="s">
        <v>3400</v>
      </c>
      <c r="D2190" s="6">
        <v>217.68</v>
      </c>
      <c r="F2190">
        <v>100</v>
      </c>
    </row>
    <row r="2191" spans="1:6" x14ac:dyDescent="0.2">
      <c r="A2191" s="2" t="str">
        <f>"5998202940260"</f>
        <v>5998202940260</v>
      </c>
      <c r="B2191" s="1" t="s">
        <v>2181</v>
      </c>
      <c r="C2191" s="9" t="s">
        <v>3400</v>
      </c>
      <c r="D2191" s="6">
        <v>286.27</v>
      </c>
      <c r="F2191">
        <v>100</v>
      </c>
    </row>
    <row r="2192" spans="1:6" x14ac:dyDescent="0.2">
      <c r="A2192" s="2" t="str">
        <f>"5998202941830"</f>
        <v>5998202941830</v>
      </c>
      <c r="B2192" s="1" t="s">
        <v>2182</v>
      </c>
      <c r="C2192" s="9" t="s">
        <v>3400</v>
      </c>
      <c r="D2192" s="6">
        <v>260.85000000000002</v>
      </c>
      <c r="F2192">
        <v>100</v>
      </c>
    </row>
    <row r="2193" spans="1:6" x14ac:dyDescent="0.2">
      <c r="A2193" s="2" t="str">
        <f>"5998200748387"</f>
        <v>5998200748387</v>
      </c>
      <c r="B2193" s="1" t="s">
        <v>2183</v>
      </c>
      <c r="C2193" s="9" t="s">
        <v>3400</v>
      </c>
      <c r="D2193" s="6">
        <v>120.8</v>
      </c>
      <c r="F2193">
        <v>100</v>
      </c>
    </row>
    <row r="2194" spans="1:6" x14ac:dyDescent="0.2">
      <c r="A2194" s="2" t="str">
        <f>"5998200743108"</f>
        <v>5998200743108</v>
      </c>
      <c r="B2194" s="1" t="s">
        <v>2184</v>
      </c>
      <c r="C2194" s="9" t="s">
        <v>3400</v>
      </c>
      <c r="D2194" s="6">
        <v>122.13</v>
      </c>
      <c r="F2194">
        <v>100</v>
      </c>
    </row>
    <row r="2195" spans="1:6" x14ac:dyDescent="0.2">
      <c r="A2195" s="2" t="str">
        <f>"5998200477560"</f>
        <v>5998200477560</v>
      </c>
      <c r="B2195" s="1" t="s">
        <v>2185</v>
      </c>
      <c r="C2195" s="9" t="s">
        <v>3401</v>
      </c>
      <c r="D2195" s="6">
        <v>53.05</v>
      </c>
      <c r="F2195">
        <v>100</v>
      </c>
    </row>
    <row r="2196" spans="1:6" x14ac:dyDescent="0.2">
      <c r="A2196" s="2" t="str">
        <f>"8000500338056"</f>
        <v>8000500338056</v>
      </c>
      <c r="B2196" s="1" t="s">
        <v>2186</v>
      </c>
      <c r="C2196" s="9" t="s">
        <v>3400</v>
      </c>
      <c r="D2196" s="6">
        <v>111.26</v>
      </c>
      <c r="F2196">
        <v>100</v>
      </c>
    </row>
    <row r="2197" spans="1:6" x14ac:dyDescent="0.2">
      <c r="A2197" s="2" t="str">
        <f>"5998201202192"</f>
        <v>5998201202192</v>
      </c>
      <c r="B2197" s="1" t="s">
        <v>2187</v>
      </c>
      <c r="C2197" s="9" t="s">
        <v>3400</v>
      </c>
      <c r="D2197" s="6">
        <v>296.07</v>
      </c>
      <c r="F2197">
        <v>100</v>
      </c>
    </row>
    <row r="2198" spans="1:6" x14ac:dyDescent="0.2">
      <c r="A2198" s="2" t="str">
        <f>"5998201209856"</f>
        <v>5998201209856</v>
      </c>
      <c r="B2198" s="1" t="s">
        <v>2188</v>
      </c>
      <c r="C2198" s="9" t="s">
        <v>3401</v>
      </c>
      <c r="D2198" s="6">
        <v>246.15</v>
      </c>
      <c r="F2198">
        <v>100</v>
      </c>
    </row>
    <row r="2199" spans="1:6" x14ac:dyDescent="0.2">
      <c r="A2199" s="2" t="str">
        <f>"8000500119792"</f>
        <v>8000500119792</v>
      </c>
      <c r="B2199" s="1" t="s">
        <v>2189</v>
      </c>
      <c r="C2199" s="9" t="s">
        <v>3400</v>
      </c>
      <c r="D2199" s="6">
        <v>106.1</v>
      </c>
      <c r="F2199">
        <v>100</v>
      </c>
    </row>
    <row r="2200" spans="1:6" x14ac:dyDescent="0.2">
      <c r="A2200" s="2" t="str">
        <f>"5998207771166"</f>
        <v>5998207771166</v>
      </c>
      <c r="B2200" s="1" t="s">
        <v>2190</v>
      </c>
      <c r="C2200" s="9" t="s">
        <v>3400</v>
      </c>
      <c r="D2200" s="6">
        <v>300.72000000000003</v>
      </c>
      <c r="F2200">
        <v>100</v>
      </c>
    </row>
    <row r="2201" spans="1:6" x14ac:dyDescent="0.2">
      <c r="A2201" s="2" t="str">
        <f>"5998200745034"</f>
        <v>5998200745034</v>
      </c>
      <c r="B2201" s="1" t="s">
        <v>2191</v>
      </c>
      <c r="C2201" s="9" t="s">
        <v>3400</v>
      </c>
      <c r="D2201" s="6">
        <v>130.6</v>
      </c>
      <c r="F2201">
        <v>100</v>
      </c>
    </row>
    <row r="2202" spans="1:6" x14ac:dyDescent="0.2">
      <c r="A2202" s="2" t="str">
        <f>"40338460     "</f>
        <v xml:space="preserve">40338460     </v>
      </c>
      <c r="B2202" s="1" t="s">
        <v>2192</v>
      </c>
      <c r="C2202" s="9" t="s">
        <v>3400</v>
      </c>
      <c r="D2202" s="6">
        <v>90.1</v>
      </c>
      <c r="F2202">
        <v>100</v>
      </c>
    </row>
    <row r="2203" spans="1:6" x14ac:dyDescent="0.2">
      <c r="A2203" s="2" t="str">
        <f>"5998200469404"</f>
        <v>5998200469404</v>
      </c>
      <c r="B2203" s="1" t="s">
        <v>2193</v>
      </c>
      <c r="C2203" s="9" t="s">
        <v>3400</v>
      </c>
      <c r="D2203" s="6">
        <v>231.57</v>
      </c>
      <c r="F2203">
        <v>100</v>
      </c>
    </row>
    <row r="2204" spans="1:6" x14ac:dyDescent="0.2">
      <c r="A2204" s="2" t="str">
        <f>"5998200742231"</f>
        <v>5998200742231</v>
      </c>
      <c r="B2204" s="1" t="s">
        <v>2194</v>
      </c>
      <c r="C2204" s="9" t="s">
        <v>3400</v>
      </c>
      <c r="D2204" s="6">
        <v>90.97</v>
      </c>
      <c r="F2204">
        <v>100</v>
      </c>
    </row>
    <row r="2205" spans="1:6" x14ac:dyDescent="0.2">
      <c r="A2205" s="2" t="str">
        <f>"4014500512716"</f>
        <v>4014500512716</v>
      </c>
      <c r="B2205" s="1" t="s">
        <v>2195</v>
      </c>
      <c r="C2205" s="9" t="s">
        <v>3400</v>
      </c>
      <c r="D2205" s="6">
        <v>110.73</v>
      </c>
      <c r="F2205">
        <v>100</v>
      </c>
    </row>
    <row r="2206" spans="1:6" x14ac:dyDescent="0.2">
      <c r="A2206" s="2" t="str">
        <f>"5998207770350"</f>
        <v>5998207770350</v>
      </c>
      <c r="B2206" s="1" t="s">
        <v>2196</v>
      </c>
      <c r="C2206" s="9" t="s">
        <v>3400</v>
      </c>
      <c r="D2206" s="6">
        <v>264.89</v>
      </c>
      <c r="F2206">
        <v>100</v>
      </c>
    </row>
    <row r="2207" spans="1:6" x14ac:dyDescent="0.2">
      <c r="A2207" s="2" t="str">
        <f>"5998200460197"</f>
        <v>5998200460197</v>
      </c>
      <c r="B2207" s="1" t="s">
        <v>2197</v>
      </c>
      <c r="C2207" s="9" t="s">
        <v>3400</v>
      </c>
      <c r="D2207" s="6">
        <v>204.29</v>
      </c>
      <c r="F2207">
        <v>100</v>
      </c>
    </row>
    <row r="2208" spans="1:6" x14ac:dyDescent="0.2">
      <c r="A2208" s="2" t="str">
        <f>"5998202942233"</f>
        <v>5998202942233</v>
      </c>
      <c r="B2208" s="1" t="s">
        <v>2198</v>
      </c>
      <c r="C2208" s="9" t="s">
        <v>3400</v>
      </c>
      <c r="D2208" s="6">
        <v>258.18</v>
      </c>
      <c r="F2208">
        <v>100</v>
      </c>
    </row>
    <row r="2209" spans="1:6" x14ac:dyDescent="0.2">
      <c r="A2209" s="2" t="str">
        <f>"5998200302428"</f>
        <v>5998200302428</v>
      </c>
      <c r="B2209" s="1" t="s">
        <v>2199</v>
      </c>
      <c r="C2209" s="9" t="s">
        <v>3400</v>
      </c>
      <c r="D2209" s="6">
        <v>164.92</v>
      </c>
      <c r="F2209">
        <v>100</v>
      </c>
    </row>
    <row r="2210" spans="1:6" x14ac:dyDescent="0.2">
      <c r="A2210" s="2" t="str">
        <f>"8719200003330"</f>
        <v>8719200003330</v>
      </c>
      <c r="B2210" s="1" t="s">
        <v>2200</v>
      </c>
      <c r="C2210" s="9" t="s">
        <v>3401</v>
      </c>
      <c r="D2210" s="6">
        <v>161.91</v>
      </c>
      <c r="F2210">
        <v>100</v>
      </c>
    </row>
    <row r="2211" spans="1:6" x14ac:dyDescent="0.2">
      <c r="A2211" s="2" t="str">
        <f>"5998200443138"</f>
        <v>5998200443138</v>
      </c>
      <c r="B2211" s="1" t="s">
        <v>2201</v>
      </c>
      <c r="C2211" s="9" t="s">
        <v>3401</v>
      </c>
      <c r="D2211" s="6">
        <v>88.91</v>
      </c>
      <c r="F2211">
        <v>100</v>
      </c>
    </row>
    <row r="2212" spans="1:6" x14ac:dyDescent="0.2">
      <c r="A2212" s="2" t="str">
        <f>"5998201209757"</f>
        <v>5998201209757</v>
      </c>
      <c r="B2212" s="1" t="s">
        <v>2202</v>
      </c>
      <c r="C2212" s="9" t="s">
        <v>3401</v>
      </c>
      <c r="D2212" s="6">
        <v>206.68</v>
      </c>
      <c r="F2212">
        <v>100</v>
      </c>
    </row>
    <row r="2213" spans="1:6" x14ac:dyDescent="0.2">
      <c r="A2213" s="2" t="str">
        <f>"5998200557071"</f>
        <v>5998200557071</v>
      </c>
      <c r="B2213" s="1" t="s">
        <v>2203</v>
      </c>
      <c r="C2213" s="9" t="s">
        <v>3400</v>
      </c>
      <c r="D2213" s="6">
        <v>253.98</v>
      </c>
      <c r="F2213">
        <v>100</v>
      </c>
    </row>
    <row r="2214" spans="1:6" x14ac:dyDescent="0.2">
      <c r="A2214" s="2" t="str">
        <f>"5998200747533"</f>
        <v>5998200747533</v>
      </c>
      <c r="B2214" s="1" t="s">
        <v>2204</v>
      </c>
      <c r="C2214" s="9" t="s">
        <v>3400</v>
      </c>
      <c r="D2214" s="6">
        <v>120.25</v>
      </c>
      <c r="F2214">
        <v>100</v>
      </c>
    </row>
    <row r="2215" spans="1:6" x14ac:dyDescent="0.2">
      <c r="A2215" s="2" t="str">
        <f>"40858029     "</f>
        <v xml:space="preserve">40858029     </v>
      </c>
      <c r="B2215" s="1" t="s">
        <v>2205</v>
      </c>
      <c r="C2215" s="9" t="s">
        <v>3400</v>
      </c>
      <c r="D2215" s="6">
        <v>160.69</v>
      </c>
      <c r="F2215">
        <v>100</v>
      </c>
    </row>
    <row r="2216" spans="1:6" x14ac:dyDescent="0.2">
      <c r="A2216" s="2" t="str">
        <f>"4014500504520"</f>
        <v>4014500504520</v>
      </c>
      <c r="B2216" s="1" t="s">
        <v>2206</v>
      </c>
      <c r="C2216" s="9" t="s">
        <v>3400</v>
      </c>
      <c r="D2216" s="6">
        <v>176.48</v>
      </c>
      <c r="F2216">
        <v>100</v>
      </c>
    </row>
    <row r="2217" spans="1:6" x14ac:dyDescent="0.2">
      <c r="A2217" s="2" t="str">
        <f>"5998200452130"</f>
        <v>5998200452130</v>
      </c>
      <c r="B2217" s="1" t="s">
        <v>2207</v>
      </c>
      <c r="C2217" s="9" t="s">
        <v>3400</v>
      </c>
      <c r="D2217" s="6">
        <v>208.44</v>
      </c>
      <c r="F2217">
        <v>100</v>
      </c>
    </row>
    <row r="2218" spans="1:6" x14ac:dyDescent="0.2">
      <c r="A2218" s="2" t="str">
        <f>"5998200460180"</f>
        <v>5998200460180</v>
      </c>
      <c r="B2218" s="1" t="s">
        <v>2208</v>
      </c>
      <c r="C2218" s="9" t="s">
        <v>3400</v>
      </c>
      <c r="D2218" s="6">
        <v>195.92</v>
      </c>
      <c r="F2218">
        <v>100</v>
      </c>
    </row>
    <row r="2219" spans="1:6" x14ac:dyDescent="0.2">
      <c r="A2219" s="2" t="str">
        <f>"5998200747946"</f>
        <v>5998200747946</v>
      </c>
      <c r="B2219" s="1" t="s">
        <v>2209</v>
      </c>
      <c r="C2219" s="9" t="s">
        <v>3400</v>
      </c>
      <c r="D2219" s="6">
        <v>123.88</v>
      </c>
      <c r="F2219">
        <v>100</v>
      </c>
    </row>
    <row r="2220" spans="1:6" x14ac:dyDescent="0.2">
      <c r="A2220" s="2" t="str">
        <f>"5998201202246"</f>
        <v>5998201202246</v>
      </c>
      <c r="B2220" s="1" t="s">
        <v>2210</v>
      </c>
      <c r="C2220" s="9" t="s">
        <v>3400</v>
      </c>
      <c r="D2220" s="6">
        <v>298.73</v>
      </c>
      <c r="F2220">
        <v>100</v>
      </c>
    </row>
    <row r="2221" spans="1:6" x14ac:dyDescent="0.2">
      <c r="A2221" s="2" t="str">
        <f>"5998201222701"</f>
        <v>5998201222701</v>
      </c>
      <c r="B2221" s="1" t="s">
        <v>2211</v>
      </c>
      <c r="C2221" s="9" t="s">
        <v>3400</v>
      </c>
      <c r="D2221" s="6">
        <v>160.91999999999999</v>
      </c>
      <c r="F2221">
        <v>100</v>
      </c>
    </row>
    <row r="2222" spans="1:6" x14ac:dyDescent="0.2">
      <c r="A2222" s="2" t="str">
        <f>"9120025831371"</f>
        <v>9120025831371</v>
      </c>
      <c r="B2222" s="1" t="s">
        <v>2212</v>
      </c>
      <c r="C2222" s="9" t="s">
        <v>3401</v>
      </c>
      <c r="D2222" s="6">
        <v>87.15</v>
      </c>
      <c r="F2222">
        <v>100</v>
      </c>
    </row>
    <row r="2223" spans="1:6" x14ac:dyDescent="0.2">
      <c r="A2223" s="2" t="str">
        <f>"5998200559846"</f>
        <v>5998200559846</v>
      </c>
      <c r="B2223" s="1" t="s">
        <v>2213</v>
      </c>
      <c r="C2223" s="9" t="s">
        <v>3401</v>
      </c>
      <c r="D2223" s="6">
        <v>151.16</v>
      </c>
      <c r="F2223">
        <v>100</v>
      </c>
    </row>
    <row r="2224" spans="1:6" x14ac:dyDescent="0.2">
      <c r="A2224" s="2" t="str">
        <f>"4040900103032"</f>
        <v>4040900103032</v>
      </c>
      <c r="B2224" s="1" t="s">
        <v>2214</v>
      </c>
      <c r="C2224" s="9" t="s">
        <v>3400</v>
      </c>
      <c r="D2224" s="6">
        <v>95.56</v>
      </c>
      <c r="F2224">
        <v>100</v>
      </c>
    </row>
    <row r="2225" spans="1:6" x14ac:dyDescent="0.2">
      <c r="A2225" s="2" t="str">
        <f>"5998207744153"</f>
        <v>5998207744153</v>
      </c>
      <c r="B2225" s="1" t="s">
        <v>2215</v>
      </c>
      <c r="C2225" s="9" t="s">
        <v>3400</v>
      </c>
      <c r="D2225" s="6">
        <v>288.77</v>
      </c>
      <c r="F2225">
        <v>100</v>
      </c>
    </row>
    <row r="2226" spans="1:6" x14ac:dyDescent="0.2">
      <c r="A2226" s="2" t="str">
        <f>"5998201033048"</f>
        <v>5998201033048</v>
      </c>
      <c r="B2226" s="1" t="s">
        <v>2216</v>
      </c>
      <c r="C2226" s="9" t="s">
        <v>3400</v>
      </c>
      <c r="D2226" s="6">
        <v>87.14</v>
      </c>
      <c r="F2226">
        <v>100</v>
      </c>
    </row>
    <row r="2227" spans="1:6" x14ac:dyDescent="0.2">
      <c r="A2227" s="2" t="str">
        <f>"5999880096348"</f>
        <v>5999880096348</v>
      </c>
      <c r="B2227" s="1" t="s">
        <v>2217</v>
      </c>
      <c r="C2227" s="9" t="s">
        <v>3401</v>
      </c>
      <c r="D2227" s="6">
        <v>119.67</v>
      </c>
      <c r="F2227">
        <v>100</v>
      </c>
    </row>
    <row r="2228" spans="1:6" x14ac:dyDescent="0.2">
      <c r="A2228" s="2" t="str">
        <f>"5998200309205"</f>
        <v>5998200309205</v>
      </c>
      <c r="B2228" s="1" t="s">
        <v>2218</v>
      </c>
      <c r="C2228" s="9" t="s">
        <v>3401</v>
      </c>
      <c r="D2228" s="6">
        <v>172.48</v>
      </c>
      <c r="F2228">
        <v>100</v>
      </c>
    </row>
    <row r="2229" spans="1:6" x14ac:dyDescent="0.2">
      <c r="A2229" s="2" t="str">
        <f>"5998999201360"</f>
        <v>5998999201360</v>
      </c>
      <c r="B2229" s="1" t="s">
        <v>2219</v>
      </c>
      <c r="C2229" s="9" t="s">
        <v>3430</v>
      </c>
      <c r="D2229" s="6">
        <v>247.67</v>
      </c>
      <c r="F2229">
        <v>100</v>
      </c>
    </row>
    <row r="2230" spans="1:6" x14ac:dyDescent="0.2">
      <c r="A2230" s="2" t="str">
        <f>"5998207727040"</f>
        <v>5998207727040</v>
      </c>
      <c r="B2230" s="1" t="s">
        <v>2220</v>
      </c>
      <c r="C2230" s="9" t="s">
        <v>3400</v>
      </c>
      <c r="D2230" s="6">
        <v>129.44</v>
      </c>
      <c r="F2230">
        <v>100</v>
      </c>
    </row>
    <row r="2231" spans="1:6" x14ac:dyDescent="0.2">
      <c r="A2231" s="2" t="str">
        <f>"5997684507602"</f>
        <v>5997684507602</v>
      </c>
      <c r="B2231" s="1" t="s">
        <v>2221</v>
      </c>
      <c r="C2231" s="9" t="s">
        <v>3400</v>
      </c>
      <c r="D2231" s="6">
        <v>93.36</v>
      </c>
      <c r="F2231">
        <v>100</v>
      </c>
    </row>
    <row r="2232" spans="1:6" x14ac:dyDescent="0.2">
      <c r="A2232" s="2" t="str">
        <f>"5998200450600"</f>
        <v>5998200450600</v>
      </c>
      <c r="B2232" s="1" t="s">
        <v>2222</v>
      </c>
      <c r="C2232" s="9" t="s">
        <v>3400</v>
      </c>
      <c r="D2232" s="6">
        <v>118.09</v>
      </c>
      <c r="F2232">
        <v>100</v>
      </c>
    </row>
    <row r="2233" spans="1:6" x14ac:dyDescent="0.2">
      <c r="A2233" s="2" t="str">
        <f>"5998200466939"</f>
        <v>5998200466939</v>
      </c>
      <c r="B2233" s="1" t="s">
        <v>2223</v>
      </c>
      <c r="C2233" s="9" t="s">
        <v>3400</v>
      </c>
      <c r="D2233" s="6">
        <v>174.83</v>
      </c>
      <c r="F2233">
        <v>100</v>
      </c>
    </row>
    <row r="2234" spans="1:6" x14ac:dyDescent="0.2">
      <c r="A2234" s="2" t="str">
        <f>"5998200450402"</f>
        <v>5998200450402</v>
      </c>
      <c r="B2234" s="1" t="s">
        <v>2224</v>
      </c>
      <c r="C2234" s="9" t="s">
        <v>3400</v>
      </c>
      <c r="D2234" s="6">
        <v>302.44</v>
      </c>
      <c r="F2234">
        <v>100</v>
      </c>
    </row>
    <row r="2235" spans="1:6" x14ac:dyDescent="0.2">
      <c r="A2235" s="2" t="str">
        <f>"5998200462115"</f>
        <v>5998200462115</v>
      </c>
      <c r="B2235" s="1" t="s">
        <v>2225</v>
      </c>
      <c r="C2235" s="9" t="s">
        <v>3400</v>
      </c>
      <c r="D2235" s="6">
        <v>90.97</v>
      </c>
      <c r="F2235">
        <v>100</v>
      </c>
    </row>
    <row r="2236" spans="1:6" x14ac:dyDescent="0.2">
      <c r="A2236" s="2" t="str">
        <f>"5998200457975"</f>
        <v>5998200457975</v>
      </c>
      <c r="B2236" s="1" t="s">
        <v>2226</v>
      </c>
      <c r="C2236" s="9" t="s">
        <v>3400</v>
      </c>
      <c r="D2236" s="6">
        <v>128.09</v>
      </c>
      <c r="F2236">
        <v>100</v>
      </c>
    </row>
    <row r="2237" spans="1:6" x14ac:dyDescent="0.2">
      <c r="A2237" s="2" t="str">
        <f>"42235736     "</f>
        <v xml:space="preserve">42235736     </v>
      </c>
      <c r="B2237" s="1" t="s">
        <v>2227</v>
      </c>
      <c r="C2237" s="9" t="s">
        <v>3400</v>
      </c>
      <c r="D2237" s="6">
        <v>160.24</v>
      </c>
      <c r="F2237">
        <v>100</v>
      </c>
    </row>
    <row r="2238" spans="1:6" x14ac:dyDescent="0.2">
      <c r="A2238" s="2" t="str">
        <f>"42244035     "</f>
        <v xml:space="preserve">42244035     </v>
      </c>
      <c r="B2238" s="1" t="s">
        <v>2228</v>
      </c>
      <c r="C2238" s="9" t="s">
        <v>3400</v>
      </c>
      <c r="D2238" s="6">
        <v>161.69999999999999</v>
      </c>
      <c r="F2238">
        <v>100</v>
      </c>
    </row>
    <row r="2239" spans="1:6" x14ac:dyDescent="0.2">
      <c r="A2239" s="2" t="str">
        <f>"5900247000786"</f>
        <v>5900247000786</v>
      </c>
      <c r="B2239" s="1" t="s">
        <v>2229</v>
      </c>
      <c r="C2239" s="9" t="s">
        <v>3400</v>
      </c>
      <c r="D2239" s="6">
        <v>412.25</v>
      </c>
      <c r="F2239">
        <v>100</v>
      </c>
    </row>
    <row r="2240" spans="1:6" x14ac:dyDescent="0.2">
      <c r="A2240" s="2" t="str">
        <f>"8000500328545"</f>
        <v>8000500328545</v>
      </c>
      <c r="B2240" s="1" t="s">
        <v>2230</v>
      </c>
      <c r="C2240" s="9" t="s">
        <v>3400</v>
      </c>
      <c r="D2240" s="6">
        <v>225.24</v>
      </c>
      <c r="F2240">
        <v>100</v>
      </c>
    </row>
    <row r="2241" spans="1:6" x14ac:dyDescent="0.2">
      <c r="A2241" s="2" t="str">
        <f>"8000500309469"</f>
        <v>8000500309469</v>
      </c>
      <c r="B2241" s="1" t="s">
        <v>2231</v>
      </c>
      <c r="C2241" s="9" t="s">
        <v>3400</v>
      </c>
      <c r="D2241" s="6">
        <v>546.80999999999995</v>
      </c>
      <c r="F2241">
        <v>100</v>
      </c>
    </row>
    <row r="2242" spans="1:6" x14ac:dyDescent="0.2">
      <c r="A2242" s="2" t="str">
        <f>"5998200559761"</f>
        <v>5998200559761</v>
      </c>
      <c r="B2242" s="1" t="s">
        <v>2232</v>
      </c>
      <c r="C2242" s="9" t="s">
        <v>3400</v>
      </c>
      <c r="D2242" s="6">
        <v>131.26</v>
      </c>
      <c r="F2242">
        <v>100</v>
      </c>
    </row>
    <row r="2243" spans="1:6" x14ac:dyDescent="0.2">
      <c r="A2243" s="2" t="str">
        <f>"5998200558702"</f>
        <v>5998200558702</v>
      </c>
      <c r="B2243" s="1" t="s">
        <v>2233</v>
      </c>
      <c r="C2243" s="9" t="s">
        <v>3400</v>
      </c>
      <c r="D2243" s="6">
        <v>205.03</v>
      </c>
      <c r="F2243">
        <v>100</v>
      </c>
    </row>
    <row r="2244" spans="1:6" x14ac:dyDescent="0.2">
      <c r="A2244" s="2" t="str">
        <f>"5998200450617"</f>
        <v>5998200450617</v>
      </c>
      <c r="B2244" s="1" t="s">
        <v>2234</v>
      </c>
      <c r="C2244" s="9" t="s">
        <v>3400</v>
      </c>
      <c r="D2244" s="6">
        <v>116.76</v>
      </c>
      <c r="F2244">
        <v>100</v>
      </c>
    </row>
    <row r="2245" spans="1:6" x14ac:dyDescent="0.2">
      <c r="A2245" s="2" t="str">
        <f>"5998200460210"</f>
        <v>5998200460210</v>
      </c>
      <c r="B2245" s="1" t="s">
        <v>2235</v>
      </c>
      <c r="C2245" s="9" t="s">
        <v>3400</v>
      </c>
      <c r="D2245" s="6">
        <v>195.79</v>
      </c>
      <c r="F2245">
        <v>100</v>
      </c>
    </row>
    <row r="2246" spans="1:6" x14ac:dyDescent="0.2">
      <c r="A2246" s="2" t="str">
        <f>"5998200746192"</f>
        <v>5998200746192</v>
      </c>
      <c r="B2246" s="1" t="s">
        <v>2236</v>
      </c>
      <c r="C2246" s="9" t="s">
        <v>3400</v>
      </c>
      <c r="D2246" s="6">
        <v>46.47</v>
      </c>
      <c r="F2246">
        <v>100</v>
      </c>
    </row>
    <row r="2247" spans="1:6" x14ac:dyDescent="0.2">
      <c r="A2247" s="2" t="str">
        <f>"5998200562679"</f>
        <v>5998200562679</v>
      </c>
      <c r="B2247" s="1" t="s">
        <v>2237</v>
      </c>
      <c r="C2247" s="9" t="s">
        <v>3400</v>
      </c>
      <c r="D2247" s="6">
        <v>216.25</v>
      </c>
      <c r="F2247">
        <v>100</v>
      </c>
    </row>
    <row r="2248" spans="1:6" x14ac:dyDescent="0.2">
      <c r="A2248" s="2" t="str">
        <f>"5998201200907"</f>
        <v>5998201200907</v>
      </c>
      <c r="B2248" s="1" t="s">
        <v>2238</v>
      </c>
      <c r="C2248" s="9" t="s">
        <v>3400</v>
      </c>
      <c r="D2248" s="6">
        <v>281.61</v>
      </c>
      <c r="F2248">
        <v>100</v>
      </c>
    </row>
    <row r="2249" spans="1:6" x14ac:dyDescent="0.2">
      <c r="A2249" s="2" t="str">
        <f>"5998200308376"</f>
        <v>5998200308376</v>
      </c>
      <c r="B2249" s="1" t="s">
        <v>2239</v>
      </c>
      <c r="C2249" s="9" t="s">
        <v>3400</v>
      </c>
      <c r="D2249" s="6">
        <v>187.66</v>
      </c>
      <c r="F2249">
        <v>100</v>
      </c>
    </row>
    <row r="2250" spans="1:6" x14ac:dyDescent="0.2">
      <c r="A2250" s="2" t="str">
        <f>"5998200742347"</f>
        <v>5998200742347</v>
      </c>
      <c r="B2250" s="1" t="s">
        <v>2240</v>
      </c>
      <c r="C2250" s="9" t="s">
        <v>3400</v>
      </c>
      <c r="D2250" s="6">
        <v>129.91</v>
      </c>
      <c r="F2250">
        <v>100</v>
      </c>
    </row>
    <row r="2251" spans="1:6" x14ac:dyDescent="0.2">
      <c r="A2251" s="2" t="str">
        <f>"5998999201346"</f>
        <v>5998999201346</v>
      </c>
      <c r="B2251" s="1" t="s">
        <v>2241</v>
      </c>
      <c r="C2251" s="9" t="s">
        <v>3430</v>
      </c>
      <c r="D2251" s="6">
        <v>228.79</v>
      </c>
      <c r="F2251">
        <v>100</v>
      </c>
    </row>
    <row r="2252" spans="1:6" x14ac:dyDescent="0.2">
      <c r="A2252" s="2" t="str">
        <f>"5998999201322"</f>
        <v>5998999201322</v>
      </c>
      <c r="B2252" s="1" t="s">
        <v>2242</v>
      </c>
      <c r="C2252" s="9" t="s">
        <v>3430</v>
      </c>
      <c r="D2252" s="6">
        <v>228.91</v>
      </c>
      <c r="F2252">
        <v>100</v>
      </c>
    </row>
    <row r="2253" spans="1:6" x14ac:dyDescent="0.2">
      <c r="A2253" s="2" t="str">
        <f>"5998999201407"</f>
        <v>5998999201407</v>
      </c>
      <c r="B2253" s="1" t="s">
        <v>2243</v>
      </c>
      <c r="C2253" s="9" t="s">
        <v>3430</v>
      </c>
      <c r="D2253" s="6">
        <v>339.81</v>
      </c>
      <c r="F2253">
        <v>100</v>
      </c>
    </row>
    <row r="2254" spans="1:6" x14ac:dyDescent="0.2">
      <c r="A2254" s="2" t="str">
        <f>"5998999201544"</f>
        <v>5998999201544</v>
      </c>
      <c r="B2254" s="1" t="s">
        <v>2244</v>
      </c>
      <c r="C2254" s="9" t="s">
        <v>3430</v>
      </c>
      <c r="D2254" s="6">
        <v>264.56</v>
      </c>
      <c r="F2254">
        <v>100</v>
      </c>
    </row>
    <row r="2255" spans="1:6" x14ac:dyDescent="0.2">
      <c r="A2255" s="2" t="str">
        <f>"5998999201513"</f>
        <v>5998999201513</v>
      </c>
      <c r="B2255" s="1" t="s">
        <v>2245</v>
      </c>
      <c r="C2255" s="9" t="s">
        <v>3430</v>
      </c>
      <c r="D2255" s="6">
        <v>272.98</v>
      </c>
      <c r="F2255">
        <v>100</v>
      </c>
    </row>
    <row r="2256" spans="1:6" x14ac:dyDescent="0.2">
      <c r="A2256" s="2" t="str">
        <f>"5998200466823"</f>
        <v>5998200466823</v>
      </c>
      <c r="B2256" s="1" t="s">
        <v>2246</v>
      </c>
      <c r="C2256" s="9" t="s">
        <v>3400</v>
      </c>
      <c r="D2256" s="6">
        <v>270.99</v>
      </c>
      <c r="F2256">
        <v>100</v>
      </c>
    </row>
    <row r="2257" spans="1:6" x14ac:dyDescent="0.2">
      <c r="A2257" s="2" t="str">
        <f>"5998201565761"</f>
        <v>5998201565761</v>
      </c>
      <c r="B2257" s="1" t="s">
        <v>2247</v>
      </c>
      <c r="C2257" s="9" t="s">
        <v>3400</v>
      </c>
      <c r="D2257" s="6">
        <v>248.43</v>
      </c>
      <c r="F2257">
        <v>100</v>
      </c>
    </row>
    <row r="2258" spans="1:6" x14ac:dyDescent="0.2">
      <c r="A2258" s="2" t="str">
        <f>"5998200561580"</f>
        <v>5998200561580</v>
      </c>
      <c r="B2258" s="1" t="s">
        <v>2248</v>
      </c>
      <c r="C2258" s="9" t="s">
        <v>3400</v>
      </c>
      <c r="D2258" s="6">
        <v>457.31</v>
      </c>
      <c r="F2258">
        <v>100</v>
      </c>
    </row>
    <row r="2259" spans="1:6" x14ac:dyDescent="0.2">
      <c r="A2259" s="2" t="str">
        <f>"5998200559396"</f>
        <v>5998200559396</v>
      </c>
      <c r="B2259" s="1" t="s">
        <v>2249</v>
      </c>
      <c r="C2259" s="9" t="s">
        <v>3400</v>
      </c>
      <c r="D2259" s="6">
        <v>269.94</v>
      </c>
      <c r="F2259">
        <v>100</v>
      </c>
    </row>
    <row r="2260" spans="1:6" x14ac:dyDescent="0.2">
      <c r="A2260" s="2" t="str">
        <f>"5999880096423"</f>
        <v>5999880096423</v>
      </c>
      <c r="B2260" s="1" t="s">
        <v>2250</v>
      </c>
      <c r="C2260" s="9" t="s">
        <v>3400</v>
      </c>
      <c r="D2260" s="6">
        <v>164.74</v>
      </c>
      <c r="F2260">
        <v>100</v>
      </c>
    </row>
    <row r="2261" spans="1:6" x14ac:dyDescent="0.2">
      <c r="A2261" s="2" t="str">
        <f>"5998200477546"</f>
        <v>5998200477546</v>
      </c>
      <c r="B2261" s="1" t="s">
        <v>2251</v>
      </c>
      <c r="C2261" s="9" t="s">
        <v>3401</v>
      </c>
      <c r="D2261" s="6">
        <v>52.99</v>
      </c>
      <c r="F2261">
        <v>100</v>
      </c>
    </row>
    <row r="2262" spans="1:6" x14ac:dyDescent="0.2">
      <c r="A2262" s="2" t="str">
        <f>"8719200003576"</f>
        <v>8719200003576</v>
      </c>
      <c r="B2262" s="1" t="s">
        <v>2252</v>
      </c>
      <c r="C2262" s="9" t="s">
        <v>3401</v>
      </c>
      <c r="D2262" s="6">
        <v>295.89999999999998</v>
      </c>
      <c r="F2262">
        <v>100</v>
      </c>
    </row>
    <row r="2263" spans="1:6" x14ac:dyDescent="0.2">
      <c r="A2263" s="2" t="str">
        <f>"5998200469541"</f>
        <v>5998200469541</v>
      </c>
      <c r="B2263" s="1" t="s">
        <v>2253</v>
      </c>
      <c r="C2263" s="9" t="s">
        <v>3400</v>
      </c>
      <c r="D2263" s="6">
        <v>320.56</v>
      </c>
      <c r="F2263">
        <v>100</v>
      </c>
    </row>
    <row r="2264" spans="1:6" x14ac:dyDescent="0.2">
      <c r="A2264" s="2" t="str">
        <f>"5998200466809"</f>
        <v>5998200466809</v>
      </c>
      <c r="B2264" s="1" t="s">
        <v>2254</v>
      </c>
      <c r="C2264" s="9" t="s">
        <v>3400</v>
      </c>
      <c r="D2264" s="6">
        <v>260.22000000000003</v>
      </c>
      <c r="F2264">
        <v>100</v>
      </c>
    </row>
    <row r="2265" spans="1:6" x14ac:dyDescent="0.2">
      <c r="A2265" s="2" t="str">
        <f>"5900300593095"</f>
        <v>5900300593095</v>
      </c>
      <c r="B2265" s="1" t="s">
        <v>2255</v>
      </c>
      <c r="C2265" s="9" t="s">
        <v>3400</v>
      </c>
      <c r="D2265" s="6">
        <v>161.38999999999999</v>
      </c>
      <c r="F2265">
        <v>100</v>
      </c>
    </row>
    <row r="2266" spans="1:6" x14ac:dyDescent="0.2">
      <c r="A2266" s="2" t="str">
        <f>"8719200007741"</f>
        <v>8719200007741</v>
      </c>
      <c r="B2266" s="1" t="s">
        <v>2256</v>
      </c>
      <c r="C2266" s="9" t="s">
        <v>3401</v>
      </c>
      <c r="D2266" s="6">
        <v>250.57</v>
      </c>
      <c r="F2266">
        <v>100</v>
      </c>
    </row>
    <row r="2267" spans="1:6" x14ac:dyDescent="0.2">
      <c r="A2267" s="2" t="str">
        <f>"5998207740018"</f>
        <v>5998207740018</v>
      </c>
      <c r="B2267" s="1" t="s">
        <v>2257</v>
      </c>
      <c r="C2267" s="9" t="s">
        <v>3401</v>
      </c>
      <c r="D2267" s="6">
        <v>304.07</v>
      </c>
      <c r="F2267">
        <v>100</v>
      </c>
    </row>
    <row r="2268" spans="1:6" x14ac:dyDescent="0.2">
      <c r="A2268" s="2" t="str">
        <f>"5998200559778"</f>
        <v>5998200559778</v>
      </c>
      <c r="B2268" s="1" t="s">
        <v>2258</v>
      </c>
      <c r="C2268" s="9" t="s">
        <v>3400</v>
      </c>
      <c r="D2268" s="6">
        <v>134.85</v>
      </c>
      <c r="F2268">
        <v>100</v>
      </c>
    </row>
    <row r="2269" spans="1:6" x14ac:dyDescent="0.2">
      <c r="A2269" s="2" t="str">
        <f>"5998200468049"</f>
        <v>5998200468049</v>
      </c>
      <c r="B2269" s="1" t="s">
        <v>2259</v>
      </c>
      <c r="C2269" s="9" t="s">
        <v>3400</v>
      </c>
      <c r="D2269" s="6">
        <v>195.43</v>
      </c>
      <c r="F2269">
        <v>100</v>
      </c>
    </row>
    <row r="2270" spans="1:6" x14ac:dyDescent="0.2">
      <c r="A2270" s="2" t="str">
        <f>"40858227     "</f>
        <v xml:space="preserve">40858227     </v>
      </c>
      <c r="B2270" s="1" t="s">
        <v>2260</v>
      </c>
      <c r="C2270" s="9" t="s">
        <v>3400</v>
      </c>
      <c r="D2270" s="6">
        <v>161.04</v>
      </c>
      <c r="F2270">
        <v>100</v>
      </c>
    </row>
    <row r="2271" spans="1:6" x14ac:dyDescent="0.2">
      <c r="A2271" s="2" t="str">
        <f>"5999561310121"</f>
        <v>5999561310121</v>
      </c>
      <c r="B2271" s="1" t="s">
        <v>2261</v>
      </c>
      <c r="C2271" s="9" t="s">
        <v>3400</v>
      </c>
      <c r="D2271" s="6">
        <v>290.01</v>
      </c>
      <c r="F2271">
        <v>100</v>
      </c>
    </row>
    <row r="2272" spans="1:6" x14ac:dyDescent="0.2">
      <c r="A2272" s="2" t="str">
        <f>"5999561310060"</f>
        <v>5999561310060</v>
      </c>
      <c r="B2272" s="1" t="s">
        <v>2262</v>
      </c>
      <c r="C2272" s="9" t="s">
        <v>3400</v>
      </c>
      <c r="D2272" s="6">
        <v>288.64</v>
      </c>
      <c r="F2272">
        <v>100</v>
      </c>
    </row>
    <row r="2273" spans="1:6" x14ac:dyDescent="0.2">
      <c r="A2273" s="2" t="str">
        <f>"4014500504537"</f>
        <v>4014500504537</v>
      </c>
      <c r="B2273" s="1" t="s">
        <v>2263</v>
      </c>
      <c r="C2273" s="9" t="s">
        <v>3400</v>
      </c>
      <c r="D2273" s="6">
        <v>172.81</v>
      </c>
      <c r="F2273">
        <v>100</v>
      </c>
    </row>
    <row r="2274" spans="1:6" x14ac:dyDescent="0.2">
      <c r="A2274" s="2" t="str">
        <f>"5900247000847"</f>
        <v>5900247000847</v>
      </c>
      <c r="B2274" s="1" t="s">
        <v>2264</v>
      </c>
      <c r="C2274" s="9" t="s">
        <v>3400</v>
      </c>
      <c r="D2274" s="6">
        <v>269.17</v>
      </c>
      <c r="F2274">
        <v>100</v>
      </c>
    </row>
    <row r="2275" spans="1:6" x14ac:dyDescent="0.2">
      <c r="A2275" s="2" t="str">
        <f>"5998200302633"</f>
        <v>5998200302633</v>
      </c>
      <c r="B2275" s="1" t="s">
        <v>2265</v>
      </c>
      <c r="C2275" s="9" t="s">
        <v>3400</v>
      </c>
      <c r="D2275" s="6">
        <v>164.36</v>
      </c>
      <c r="F2275">
        <v>100</v>
      </c>
    </row>
    <row r="2276" spans="1:6" x14ac:dyDescent="0.2">
      <c r="A2276" s="2" t="str">
        <f>"5998200300509"</f>
        <v>5998200300509</v>
      </c>
      <c r="B2276" s="1" t="s">
        <v>2266</v>
      </c>
      <c r="C2276" s="9" t="s">
        <v>3400</v>
      </c>
      <c r="D2276" s="6">
        <v>307.95999999999998</v>
      </c>
      <c r="F2276">
        <v>100</v>
      </c>
    </row>
    <row r="2277" spans="1:6" x14ac:dyDescent="0.2">
      <c r="A2277" s="2" t="str">
        <f>"5999524034224"</f>
        <v>5999524034224</v>
      </c>
      <c r="B2277" s="1" t="s">
        <v>2267</v>
      </c>
      <c r="C2277" s="9" t="s">
        <v>3401</v>
      </c>
      <c r="D2277" s="6">
        <v>398.71</v>
      </c>
      <c r="F2277">
        <v>100</v>
      </c>
    </row>
    <row r="2278" spans="1:6" x14ac:dyDescent="0.2">
      <c r="A2278" s="2" t="str">
        <f>"9004599005928"</f>
        <v>9004599005928</v>
      </c>
      <c r="B2278" s="1" t="s">
        <v>2268</v>
      </c>
      <c r="C2278" s="9" t="s">
        <v>3401</v>
      </c>
      <c r="D2278" s="6">
        <v>211.69</v>
      </c>
      <c r="F2278">
        <v>100</v>
      </c>
    </row>
    <row r="2279" spans="1:6" x14ac:dyDescent="0.2">
      <c r="A2279" s="2" t="str">
        <f>"5998200558825"</f>
        <v>5998200558825</v>
      </c>
      <c r="B2279" s="1" t="s">
        <v>2269</v>
      </c>
      <c r="C2279" s="9" t="s">
        <v>3401</v>
      </c>
      <c r="D2279" s="6">
        <v>223.67</v>
      </c>
      <c r="F2279">
        <v>100</v>
      </c>
    </row>
    <row r="2280" spans="1:6" x14ac:dyDescent="0.2">
      <c r="A2280" s="2" t="str">
        <f>"5998999201353"</f>
        <v>5998999201353</v>
      </c>
      <c r="B2280" s="1" t="s">
        <v>2270</v>
      </c>
      <c r="C2280" s="9" t="s">
        <v>3430</v>
      </c>
      <c r="D2280" s="6">
        <v>228.92</v>
      </c>
      <c r="F2280">
        <v>100</v>
      </c>
    </row>
    <row r="2281" spans="1:6" x14ac:dyDescent="0.2">
      <c r="A2281" s="2" t="str">
        <f>"5998999201391"</f>
        <v>5998999201391</v>
      </c>
      <c r="B2281" s="1" t="s">
        <v>2271</v>
      </c>
      <c r="C2281" s="9" t="s">
        <v>3430</v>
      </c>
      <c r="D2281" s="6">
        <v>228.75</v>
      </c>
      <c r="F2281">
        <v>100</v>
      </c>
    </row>
    <row r="2282" spans="1:6" x14ac:dyDescent="0.2">
      <c r="A2282" s="2" t="str">
        <f>"5998999201605"</f>
        <v>5998999201605</v>
      </c>
      <c r="B2282" s="1" t="s">
        <v>2272</v>
      </c>
      <c r="C2282" s="9" t="s">
        <v>3430</v>
      </c>
      <c r="D2282" s="6">
        <v>257.24</v>
      </c>
      <c r="F2282">
        <v>100</v>
      </c>
    </row>
    <row r="2283" spans="1:6" x14ac:dyDescent="0.2">
      <c r="A2283" s="2" t="str">
        <f>"5998999201650"</f>
        <v>5998999201650</v>
      </c>
      <c r="B2283" s="1" t="s">
        <v>2273</v>
      </c>
      <c r="C2283" s="9" t="s">
        <v>3430</v>
      </c>
      <c r="D2283" s="6">
        <v>257.24</v>
      </c>
      <c r="F2283">
        <v>100</v>
      </c>
    </row>
    <row r="2284" spans="1:6" x14ac:dyDescent="0.2">
      <c r="A2284" s="2" t="str">
        <f>"5998999200349"</f>
        <v>5998999200349</v>
      </c>
      <c r="B2284" s="1" t="s">
        <v>2274</v>
      </c>
      <c r="C2284" s="9" t="s">
        <v>3430</v>
      </c>
      <c r="D2284" s="6">
        <v>466.1</v>
      </c>
      <c r="F2284">
        <v>100</v>
      </c>
    </row>
    <row r="2285" spans="1:6" x14ac:dyDescent="0.2">
      <c r="A2285" s="2" t="str">
        <f>"8719200003392"</f>
        <v>8719200003392</v>
      </c>
      <c r="B2285" s="1" t="s">
        <v>2275</v>
      </c>
      <c r="C2285" s="9" t="s">
        <v>3400</v>
      </c>
      <c r="D2285" s="6">
        <v>470.87</v>
      </c>
      <c r="F2285">
        <v>100</v>
      </c>
    </row>
    <row r="2286" spans="1:6" x14ac:dyDescent="0.2">
      <c r="A2286" s="2" t="str">
        <f>"5998207731009"</f>
        <v>5998207731009</v>
      </c>
      <c r="B2286" s="1" t="s">
        <v>2276</v>
      </c>
      <c r="C2286" s="9" t="s">
        <v>3400</v>
      </c>
      <c r="D2286" s="6">
        <v>127.9</v>
      </c>
      <c r="F2286">
        <v>100</v>
      </c>
    </row>
    <row r="2287" spans="1:6" x14ac:dyDescent="0.2">
      <c r="A2287" s="2" t="str">
        <f>"5998200471643"</f>
        <v>5998200471643</v>
      </c>
      <c r="B2287" s="1" t="s">
        <v>2277</v>
      </c>
      <c r="C2287" s="9" t="s">
        <v>3400</v>
      </c>
      <c r="D2287" s="6">
        <v>92.7</v>
      </c>
      <c r="F2287">
        <v>100</v>
      </c>
    </row>
    <row r="2288" spans="1:6" x14ac:dyDescent="0.2">
      <c r="A2288" s="2" t="str">
        <f>"5998200743443"</f>
        <v>5998200743443</v>
      </c>
      <c r="B2288" s="1" t="s">
        <v>2278</v>
      </c>
      <c r="C2288" s="9" t="s">
        <v>3400</v>
      </c>
      <c r="D2288" s="6">
        <v>174.22</v>
      </c>
      <c r="F2288">
        <v>100</v>
      </c>
    </row>
    <row r="2289" spans="1:6" x14ac:dyDescent="0.2">
      <c r="A2289" s="2" t="str">
        <f>"5998200743436"</f>
        <v>5998200743436</v>
      </c>
      <c r="B2289" s="1" t="s">
        <v>2279</v>
      </c>
      <c r="C2289" s="9" t="s">
        <v>3400</v>
      </c>
      <c r="D2289" s="6">
        <v>236</v>
      </c>
      <c r="F2289">
        <v>100</v>
      </c>
    </row>
    <row r="2290" spans="1:6" x14ac:dyDescent="0.2">
      <c r="A2290" s="2" t="str">
        <f>"42274377     "</f>
        <v xml:space="preserve">42274377     </v>
      </c>
      <c r="B2290" s="1" t="s">
        <v>2280</v>
      </c>
      <c r="C2290" s="9" t="s">
        <v>3400</v>
      </c>
      <c r="D2290" s="6">
        <v>161.97999999999999</v>
      </c>
      <c r="F2290">
        <v>100</v>
      </c>
    </row>
    <row r="2291" spans="1:6" x14ac:dyDescent="0.2">
      <c r="A2291" s="2" t="str">
        <f>"5998207721451"</f>
        <v>5998207721451</v>
      </c>
      <c r="B2291" s="1" t="s">
        <v>2281</v>
      </c>
      <c r="C2291" s="9" t="s">
        <v>3401</v>
      </c>
      <c r="D2291" s="6">
        <v>144.13</v>
      </c>
      <c r="F2291">
        <v>100</v>
      </c>
    </row>
    <row r="2292" spans="1:6" x14ac:dyDescent="0.2">
      <c r="A2292" s="2" t="str">
        <f>"5998200746017"</f>
        <v>5998200746017</v>
      </c>
      <c r="B2292" s="1" t="s">
        <v>2282</v>
      </c>
      <c r="C2292" s="9" t="s">
        <v>3400</v>
      </c>
      <c r="D2292" s="6">
        <v>258.89</v>
      </c>
      <c r="F2292">
        <v>100</v>
      </c>
    </row>
    <row r="2293" spans="1:6" x14ac:dyDescent="0.2">
      <c r="A2293" s="2" t="str">
        <f>"5998200745775"</f>
        <v>5998200745775</v>
      </c>
      <c r="B2293" s="1" t="s">
        <v>2283</v>
      </c>
      <c r="C2293" s="9" t="s">
        <v>3400</v>
      </c>
      <c r="D2293" s="6">
        <v>163.22999999999999</v>
      </c>
      <c r="F2293">
        <v>100</v>
      </c>
    </row>
    <row r="2294" spans="1:6" x14ac:dyDescent="0.2">
      <c r="A2294" s="2" t="str">
        <f>"5999561311180"</f>
        <v>5999561311180</v>
      </c>
      <c r="B2294" s="1" t="s">
        <v>2284</v>
      </c>
      <c r="C2294" s="9" t="s">
        <v>3400</v>
      </c>
      <c r="D2294" s="6">
        <v>288.52</v>
      </c>
      <c r="F2294">
        <v>100</v>
      </c>
    </row>
    <row r="2295" spans="1:6" x14ac:dyDescent="0.2">
      <c r="A2295" s="2" t="str">
        <f>"5998200748035"</f>
        <v>5998200748035</v>
      </c>
      <c r="B2295" s="1" t="s">
        <v>2285</v>
      </c>
      <c r="C2295" s="9" t="s">
        <v>3400</v>
      </c>
      <c r="D2295" s="6">
        <v>107.47</v>
      </c>
      <c r="F2295">
        <v>100</v>
      </c>
    </row>
    <row r="2296" spans="1:6" x14ac:dyDescent="0.2">
      <c r="A2296" s="2" t="str">
        <f>"5998200748578"</f>
        <v>5998200748578</v>
      </c>
      <c r="B2296" s="1" t="s">
        <v>2286</v>
      </c>
      <c r="C2296" s="9" t="s">
        <v>3400</v>
      </c>
      <c r="D2296" s="6">
        <v>105.75</v>
      </c>
      <c r="F2296">
        <v>100</v>
      </c>
    </row>
    <row r="2297" spans="1:6" x14ac:dyDescent="0.2">
      <c r="A2297" s="2" t="str">
        <f>"4023600002836"</f>
        <v>4023600002836</v>
      </c>
      <c r="B2297" s="1" t="s">
        <v>2287</v>
      </c>
      <c r="C2297" s="9" t="s">
        <v>3400</v>
      </c>
      <c r="D2297" s="6">
        <v>244.7</v>
      </c>
      <c r="F2297">
        <v>100</v>
      </c>
    </row>
    <row r="2298" spans="1:6" x14ac:dyDescent="0.2">
      <c r="A2298" s="2" t="str">
        <f>"8719200045439"</f>
        <v>8719200045439</v>
      </c>
      <c r="B2298" s="1" t="s">
        <v>2288</v>
      </c>
      <c r="C2298" s="9" t="s">
        <v>3401</v>
      </c>
      <c r="D2298" s="6">
        <v>184.15</v>
      </c>
      <c r="F2298">
        <v>100</v>
      </c>
    </row>
    <row r="2299" spans="1:6" x14ac:dyDescent="0.2">
      <c r="A2299" s="2" t="str">
        <f>"8719200003217"</f>
        <v>8719200003217</v>
      </c>
      <c r="B2299" s="1" t="s">
        <v>2289</v>
      </c>
      <c r="C2299" s="9" t="s">
        <v>3401</v>
      </c>
      <c r="D2299" s="6">
        <v>349.02</v>
      </c>
      <c r="F2299">
        <v>100</v>
      </c>
    </row>
    <row r="2300" spans="1:6" x14ac:dyDescent="0.2">
      <c r="A2300" s="2" t="str">
        <f>"5996037079667"</f>
        <v>5996037079667</v>
      </c>
      <c r="B2300" s="1" t="s">
        <v>2290</v>
      </c>
      <c r="C2300" s="9" t="s">
        <v>3400</v>
      </c>
      <c r="D2300" s="6">
        <v>405.16</v>
      </c>
      <c r="F2300">
        <v>100</v>
      </c>
    </row>
    <row r="2301" spans="1:6" x14ac:dyDescent="0.2">
      <c r="A2301" s="2" t="str">
        <f>"5998201223630"</f>
        <v>5998201223630</v>
      </c>
      <c r="B2301" s="1" t="s">
        <v>2291</v>
      </c>
      <c r="C2301" s="9" t="s">
        <v>3400</v>
      </c>
      <c r="D2301" s="6">
        <v>295.08</v>
      </c>
      <c r="F2301">
        <v>100</v>
      </c>
    </row>
    <row r="2302" spans="1:6" x14ac:dyDescent="0.2">
      <c r="A2302" s="2" t="str">
        <f>"5997536302843"</f>
        <v>5997536302843</v>
      </c>
      <c r="B2302" s="1" t="s">
        <v>2292</v>
      </c>
      <c r="C2302" s="9" t="s">
        <v>3400</v>
      </c>
      <c r="D2302" s="6">
        <v>151.65</v>
      </c>
      <c r="F2302">
        <v>100</v>
      </c>
    </row>
    <row r="2303" spans="1:6" x14ac:dyDescent="0.2">
      <c r="A2303" s="2" t="str">
        <f>"5997536301952"</f>
        <v>5997536301952</v>
      </c>
      <c r="B2303" s="1" t="s">
        <v>2293</v>
      </c>
      <c r="C2303" s="9" t="s">
        <v>3400</v>
      </c>
      <c r="D2303" s="6">
        <v>241.56</v>
      </c>
      <c r="F2303">
        <v>100</v>
      </c>
    </row>
    <row r="2304" spans="1:6" x14ac:dyDescent="0.2">
      <c r="A2304" s="2" t="str">
        <f>"5999524032350"</f>
        <v>5999524032350</v>
      </c>
      <c r="B2304" s="1" t="s">
        <v>2294</v>
      </c>
      <c r="C2304" s="9" t="s">
        <v>3401</v>
      </c>
      <c r="D2304" s="6">
        <v>176.44</v>
      </c>
      <c r="F2304">
        <v>100</v>
      </c>
    </row>
    <row r="2305" spans="1:6" x14ac:dyDescent="0.2">
      <c r="A2305" s="2" t="str">
        <f>"5998207904281"</f>
        <v>5998207904281</v>
      </c>
      <c r="B2305" s="1" t="s">
        <v>2295</v>
      </c>
      <c r="C2305" s="9" t="s">
        <v>3401</v>
      </c>
      <c r="D2305" s="6">
        <v>170.98</v>
      </c>
      <c r="F2305">
        <v>100</v>
      </c>
    </row>
    <row r="2306" spans="1:6" x14ac:dyDescent="0.2">
      <c r="A2306" s="2" t="str">
        <f>"5998207904298"</f>
        <v>5998207904298</v>
      </c>
      <c r="B2306" s="1" t="s">
        <v>2296</v>
      </c>
      <c r="C2306" s="9" t="s">
        <v>3401</v>
      </c>
      <c r="D2306" s="6">
        <v>170.86</v>
      </c>
      <c r="F2306">
        <v>100</v>
      </c>
    </row>
    <row r="2307" spans="1:6" x14ac:dyDescent="0.2">
      <c r="A2307" s="2" t="str">
        <f>"5998200472435"</f>
        <v>5998200472435</v>
      </c>
      <c r="B2307" s="1" t="s">
        <v>2297</v>
      </c>
      <c r="C2307" s="9" t="s">
        <v>3401</v>
      </c>
      <c r="D2307" s="6">
        <v>100.88</v>
      </c>
      <c r="F2307">
        <v>100</v>
      </c>
    </row>
    <row r="2308" spans="1:6" x14ac:dyDescent="0.2">
      <c r="A2308" s="2" t="str">
        <f>"5998200472459"</f>
        <v>5998200472459</v>
      </c>
      <c r="B2308" s="1" t="s">
        <v>2298</v>
      </c>
      <c r="C2308" s="9" t="s">
        <v>3401</v>
      </c>
      <c r="D2308" s="6">
        <v>98.94</v>
      </c>
      <c r="F2308">
        <v>100</v>
      </c>
    </row>
    <row r="2309" spans="1:6" x14ac:dyDescent="0.2">
      <c r="A2309" s="2" t="str">
        <f>"5998999201339"</f>
        <v>5998999201339</v>
      </c>
      <c r="B2309" s="1" t="s">
        <v>2299</v>
      </c>
      <c r="C2309" s="9" t="s">
        <v>3430</v>
      </c>
      <c r="D2309" s="6">
        <v>228.91</v>
      </c>
      <c r="F2309">
        <v>100</v>
      </c>
    </row>
    <row r="2310" spans="1:6" x14ac:dyDescent="0.2">
      <c r="A2310" s="2" t="str">
        <f>"5998999201315"</f>
        <v>5998999201315</v>
      </c>
      <c r="B2310" s="1" t="s">
        <v>2300</v>
      </c>
      <c r="C2310" s="9" t="s">
        <v>3430</v>
      </c>
      <c r="D2310" s="6">
        <v>228.92</v>
      </c>
      <c r="F2310">
        <v>100</v>
      </c>
    </row>
    <row r="2311" spans="1:6" x14ac:dyDescent="0.2">
      <c r="A2311" s="2" t="str">
        <f>"5998999201414"</f>
        <v>5998999201414</v>
      </c>
      <c r="B2311" s="1" t="s">
        <v>2301</v>
      </c>
      <c r="C2311" s="9" t="s">
        <v>3430</v>
      </c>
      <c r="D2311" s="6">
        <v>228.92</v>
      </c>
      <c r="F2311">
        <v>100</v>
      </c>
    </row>
    <row r="2312" spans="1:6" x14ac:dyDescent="0.2">
      <c r="A2312" s="2" t="str">
        <f>"5998999201216"</f>
        <v>5998999201216</v>
      </c>
      <c r="B2312" s="1" t="s">
        <v>2302</v>
      </c>
      <c r="C2312" s="9" t="s">
        <v>3430</v>
      </c>
      <c r="D2312" s="6">
        <v>318.54000000000002</v>
      </c>
      <c r="F2312">
        <v>100</v>
      </c>
    </row>
    <row r="2313" spans="1:6" x14ac:dyDescent="0.2">
      <c r="A2313" s="2" t="str">
        <f>"5998202942158"</f>
        <v>5998202942158</v>
      </c>
      <c r="B2313" s="1" t="s">
        <v>2303</v>
      </c>
      <c r="C2313" s="9" t="s">
        <v>3400</v>
      </c>
      <c r="D2313" s="6">
        <v>154.1</v>
      </c>
      <c r="F2313">
        <v>100</v>
      </c>
    </row>
    <row r="2314" spans="1:6" x14ac:dyDescent="0.2">
      <c r="A2314" s="2" t="str">
        <f>"5998201203755"</f>
        <v>5998201203755</v>
      </c>
      <c r="B2314" s="1" t="s">
        <v>2304</v>
      </c>
      <c r="C2314" s="9" t="s">
        <v>3400</v>
      </c>
      <c r="D2314" s="6">
        <v>139.59</v>
      </c>
      <c r="F2314">
        <v>100</v>
      </c>
    </row>
    <row r="2315" spans="1:6" x14ac:dyDescent="0.2">
      <c r="A2315" s="2" t="str">
        <f>"8585002505415"</f>
        <v>8585002505415</v>
      </c>
      <c r="B2315" s="1" t="s">
        <v>2305</v>
      </c>
      <c r="C2315" s="9" t="s">
        <v>3400</v>
      </c>
      <c r="D2315" s="6">
        <v>248.6</v>
      </c>
      <c r="F2315">
        <v>100</v>
      </c>
    </row>
    <row r="2316" spans="1:6" x14ac:dyDescent="0.2">
      <c r="A2316" s="2" t="str">
        <f>"5998200746451"</f>
        <v>5998200746451</v>
      </c>
      <c r="B2316" s="1" t="s">
        <v>2306</v>
      </c>
      <c r="C2316" s="9" t="s">
        <v>3400</v>
      </c>
      <c r="D2316" s="6">
        <v>177.51</v>
      </c>
      <c r="F2316">
        <v>100</v>
      </c>
    </row>
    <row r="2317" spans="1:6" x14ac:dyDescent="0.2">
      <c r="A2317" s="2" t="str">
        <f>"5998200747540"</f>
        <v>5998200747540</v>
      </c>
      <c r="B2317" s="1" t="s">
        <v>2307</v>
      </c>
      <c r="C2317" s="9" t="s">
        <v>3400</v>
      </c>
      <c r="D2317" s="6">
        <v>120.5</v>
      </c>
      <c r="F2317">
        <v>100</v>
      </c>
    </row>
    <row r="2318" spans="1:6" x14ac:dyDescent="0.2">
      <c r="A2318" s="2" t="str">
        <f>"5998200748646"</f>
        <v>5998200748646</v>
      </c>
      <c r="B2318" s="1" t="s">
        <v>2308</v>
      </c>
      <c r="C2318" s="9" t="s">
        <v>3400</v>
      </c>
      <c r="D2318" s="6">
        <v>345.27</v>
      </c>
      <c r="F2318">
        <v>100</v>
      </c>
    </row>
    <row r="2319" spans="1:6" x14ac:dyDescent="0.2">
      <c r="A2319" s="2" t="str">
        <f>"5998200748417"</f>
        <v>5998200748417</v>
      </c>
      <c r="B2319" s="1" t="s">
        <v>2309</v>
      </c>
      <c r="C2319" s="9" t="s">
        <v>3400</v>
      </c>
      <c r="D2319" s="6">
        <v>354.09</v>
      </c>
      <c r="F2319">
        <v>100</v>
      </c>
    </row>
    <row r="2320" spans="1:6" x14ac:dyDescent="0.2">
      <c r="A2320" s="2" t="str">
        <f>"5998200473586"</f>
        <v>5998200473586</v>
      </c>
      <c r="B2320" s="1" t="s">
        <v>2310</v>
      </c>
      <c r="C2320" s="9" t="s">
        <v>3400</v>
      </c>
      <c r="D2320" s="6">
        <v>200.67</v>
      </c>
      <c r="F2320">
        <v>100</v>
      </c>
    </row>
    <row r="2321" spans="1:6" x14ac:dyDescent="0.2">
      <c r="A2321" s="2" t="str">
        <f>"5998200459948"</f>
        <v>5998200459948</v>
      </c>
      <c r="B2321" s="1" t="s">
        <v>2311</v>
      </c>
      <c r="C2321" s="9" t="s">
        <v>3400</v>
      </c>
      <c r="D2321" s="6">
        <v>242.56</v>
      </c>
      <c r="F2321">
        <v>100</v>
      </c>
    </row>
    <row r="2322" spans="1:6" x14ac:dyDescent="0.2">
      <c r="A2322" s="2" t="str">
        <f>"5998200460135"</f>
        <v>5998200460135</v>
      </c>
      <c r="B2322" s="1" t="s">
        <v>2312</v>
      </c>
      <c r="C2322" s="9" t="s">
        <v>3400</v>
      </c>
      <c r="D2322" s="6">
        <v>302.94</v>
      </c>
      <c r="F2322">
        <v>100</v>
      </c>
    </row>
    <row r="2323" spans="1:6" x14ac:dyDescent="0.2">
      <c r="A2323" s="2" t="str">
        <f>"42343646     "</f>
        <v xml:space="preserve">42343646     </v>
      </c>
      <c r="B2323" s="1" t="s">
        <v>2313</v>
      </c>
      <c r="C2323" s="9" t="s">
        <v>3400</v>
      </c>
      <c r="D2323" s="6">
        <v>161.01</v>
      </c>
      <c r="F2323">
        <v>100</v>
      </c>
    </row>
    <row r="2324" spans="1:6" x14ac:dyDescent="0.2">
      <c r="A2324" s="2" t="str">
        <f>"5999561310107"</f>
        <v>5999561310107</v>
      </c>
      <c r="B2324" s="1" t="s">
        <v>2314</v>
      </c>
      <c r="C2324" s="9" t="s">
        <v>3401</v>
      </c>
      <c r="D2324" s="6">
        <v>334.54</v>
      </c>
      <c r="F2324">
        <v>100</v>
      </c>
    </row>
    <row r="2325" spans="1:6" x14ac:dyDescent="0.2">
      <c r="A2325" s="2" t="str">
        <f>"8719200003248"</f>
        <v>8719200003248</v>
      </c>
      <c r="B2325" s="1" t="s">
        <v>2315</v>
      </c>
      <c r="C2325" s="9" t="s">
        <v>3401</v>
      </c>
      <c r="D2325" s="6">
        <v>248.71</v>
      </c>
      <c r="F2325">
        <v>100</v>
      </c>
    </row>
    <row r="2326" spans="1:6" x14ac:dyDescent="0.2">
      <c r="A2326" s="2" t="str">
        <f>"5998200558832"</f>
        <v>5998200558832</v>
      </c>
      <c r="B2326" s="1" t="s">
        <v>2316</v>
      </c>
      <c r="C2326" s="9" t="s">
        <v>3401</v>
      </c>
      <c r="D2326" s="6">
        <v>223.81</v>
      </c>
      <c r="F2326">
        <v>100</v>
      </c>
    </row>
    <row r="2327" spans="1:6" x14ac:dyDescent="0.2">
      <c r="A2327" s="2" t="str">
        <f>"5906207687325"</f>
        <v>5906207687325</v>
      </c>
      <c r="B2327" s="1" t="s">
        <v>2317</v>
      </c>
      <c r="C2327" s="9" t="s">
        <v>3400</v>
      </c>
      <c r="D2327" s="6">
        <v>213.56</v>
      </c>
      <c r="F2327">
        <v>100</v>
      </c>
    </row>
    <row r="2328" spans="1:6" x14ac:dyDescent="0.2">
      <c r="A2328" s="2" t="str">
        <f>"5998200311086"</f>
        <v>5998200311086</v>
      </c>
      <c r="B2328" s="1" t="s">
        <v>2318</v>
      </c>
      <c r="C2328" s="9" t="s">
        <v>3400</v>
      </c>
      <c r="D2328" s="6">
        <v>187.2</v>
      </c>
      <c r="F2328">
        <v>100</v>
      </c>
    </row>
    <row r="2329" spans="1:6" x14ac:dyDescent="0.2">
      <c r="A2329" s="2" t="str">
        <f>"8716200279734"</f>
        <v>8716200279734</v>
      </c>
      <c r="B2329" s="1" t="s">
        <v>2319</v>
      </c>
      <c r="C2329" s="9" t="s">
        <v>3400</v>
      </c>
      <c r="D2329" s="6">
        <v>560.72</v>
      </c>
      <c r="F2329">
        <v>100</v>
      </c>
    </row>
    <row r="2330" spans="1:6" x14ac:dyDescent="0.2">
      <c r="A2330" s="2" t="str">
        <f>"5998200467424"</f>
        <v>5998200467424</v>
      </c>
      <c r="B2330" s="1" t="s">
        <v>2320</v>
      </c>
      <c r="C2330" s="9" t="s">
        <v>3401</v>
      </c>
      <c r="D2330" s="6">
        <v>413.98</v>
      </c>
      <c r="F2330">
        <v>100</v>
      </c>
    </row>
    <row r="2331" spans="1:6" x14ac:dyDescent="0.2">
      <c r="A2331" s="2" t="str">
        <f>"5998200472473"</f>
        <v>5998200472473</v>
      </c>
      <c r="B2331" s="1" t="s">
        <v>2321</v>
      </c>
      <c r="C2331" s="9" t="s">
        <v>3401</v>
      </c>
      <c r="D2331" s="6">
        <v>99.54</v>
      </c>
      <c r="F2331">
        <v>100</v>
      </c>
    </row>
    <row r="2332" spans="1:6" x14ac:dyDescent="0.2">
      <c r="A2332" s="2" t="str">
        <f>"5998207909026"</f>
        <v>5998207909026</v>
      </c>
      <c r="B2332" s="1" t="s">
        <v>2322</v>
      </c>
      <c r="C2332" s="9" t="s">
        <v>3401</v>
      </c>
      <c r="D2332" s="6">
        <v>223.91</v>
      </c>
      <c r="F2332">
        <v>100</v>
      </c>
    </row>
    <row r="2333" spans="1:6" x14ac:dyDescent="0.2">
      <c r="A2333" s="2" t="str">
        <f>"5998999201469"</f>
        <v>5998999201469</v>
      </c>
      <c r="B2333" s="1" t="s">
        <v>2323</v>
      </c>
      <c r="C2333" s="9" t="s">
        <v>3430</v>
      </c>
      <c r="D2333" s="6">
        <v>228.86</v>
      </c>
      <c r="F2333">
        <v>100</v>
      </c>
    </row>
    <row r="2334" spans="1:6" x14ac:dyDescent="0.2">
      <c r="A2334" s="2" t="str">
        <f>"5998999202336"</f>
        <v>5998999202336</v>
      </c>
      <c r="B2334" s="1" t="s">
        <v>2324</v>
      </c>
      <c r="C2334" s="9" t="s">
        <v>3430</v>
      </c>
      <c r="D2334" s="6">
        <v>188.79</v>
      </c>
      <c r="F2334">
        <v>100</v>
      </c>
    </row>
    <row r="2335" spans="1:6" x14ac:dyDescent="0.2">
      <c r="A2335" s="2" t="str">
        <f>"8719200003484"</f>
        <v>8719200003484</v>
      </c>
      <c r="B2335" s="1" t="s">
        <v>2325</v>
      </c>
      <c r="C2335" s="9" t="s">
        <v>3401</v>
      </c>
      <c r="D2335" s="6">
        <v>295.89999999999998</v>
      </c>
      <c r="F2335">
        <v>100</v>
      </c>
    </row>
    <row r="2336" spans="1:6" x14ac:dyDescent="0.2">
      <c r="A2336" s="2" t="str">
        <f>"5999564095735"</f>
        <v>5999564095735</v>
      </c>
      <c r="B2336" s="1" t="s">
        <v>2326</v>
      </c>
      <c r="C2336" s="9" t="s">
        <v>3400</v>
      </c>
      <c r="D2336" s="6">
        <v>268.38</v>
      </c>
      <c r="F2336">
        <v>100</v>
      </c>
    </row>
    <row r="2337" spans="1:6" x14ac:dyDescent="0.2">
      <c r="A2337" s="2" t="str">
        <f>"5998201203724"</f>
        <v>5998201203724</v>
      </c>
      <c r="B2337" s="1" t="s">
        <v>2327</v>
      </c>
      <c r="C2337" s="9" t="s">
        <v>3400</v>
      </c>
      <c r="D2337" s="6">
        <v>185.35</v>
      </c>
      <c r="F2337">
        <v>100</v>
      </c>
    </row>
    <row r="2338" spans="1:6" x14ac:dyDescent="0.2">
      <c r="A2338" s="2" t="str">
        <f>"5998201203670"</f>
        <v>5998201203670</v>
      </c>
      <c r="B2338" s="1" t="s">
        <v>2328</v>
      </c>
      <c r="C2338" s="9" t="s">
        <v>3400</v>
      </c>
      <c r="D2338" s="6">
        <v>252.73</v>
      </c>
      <c r="F2338">
        <v>100</v>
      </c>
    </row>
    <row r="2339" spans="1:6" x14ac:dyDescent="0.2">
      <c r="A2339" s="2" t="str">
        <f>"5998200558665"</f>
        <v>5998200558665</v>
      </c>
      <c r="B2339" s="1" t="s">
        <v>2329</v>
      </c>
      <c r="C2339" s="9" t="s">
        <v>3400</v>
      </c>
      <c r="D2339" s="6">
        <v>192.13</v>
      </c>
      <c r="F2339">
        <v>100</v>
      </c>
    </row>
    <row r="2340" spans="1:6" x14ac:dyDescent="0.2">
      <c r="A2340" s="2" t="str">
        <f>"8585002501851"</f>
        <v>8585002501851</v>
      </c>
      <c r="B2340" s="1" t="s">
        <v>2330</v>
      </c>
      <c r="C2340" s="9" t="s">
        <v>3401</v>
      </c>
      <c r="D2340" s="6">
        <v>234.82</v>
      </c>
      <c r="F2340">
        <v>100</v>
      </c>
    </row>
    <row r="2341" spans="1:6" x14ac:dyDescent="0.2">
      <c r="A2341" s="2" t="str">
        <f>"5998200747960"</f>
        <v>5998200747960</v>
      </c>
      <c r="B2341" s="1" t="s">
        <v>2331</v>
      </c>
      <c r="C2341" s="9" t="s">
        <v>3400</v>
      </c>
      <c r="D2341" s="6">
        <v>115.04</v>
      </c>
      <c r="F2341">
        <v>100</v>
      </c>
    </row>
    <row r="2342" spans="1:6" x14ac:dyDescent="0.2">
      <c r="A2342" s="2" t="str">
        <f>"5998200473661"</f>
        <v>5998200473661</v>
      </c>
      <c r="B2342" s="1" t="s">
        <v>2332</v>
      </c>
      <c r="C2342" s="9" t="s">
        <v>3400</v>
      </c>
      <c r="D2342" s="6">
        <v>212.35</v>
      </c>
      <c r="F2342">
        <v>100</v>
      </c>
    </row>
    <row r="2343" spans="1:6" x14ac:dyDescent="0.2">
      <c r="A2343" s="2" t="str">
        <f>"40858210     "</f>
        <v xml:space="preserve">40858210     </v>
      </c>
      <c r="B2343" s="1" t="s">
        <v>2333</v>
      </c>
      <c r="C2343" s="9" t="s">
        <v>3400</v>
      </c>
      <c r="D2343" s="6">
        <v>159.58000000000001</v>
      </c>
      <c r="F2343">
        <v>100</v>
      </c>
    </row>
    <row r="2344" spans="1:6" x14ac:dyDescent="0.2">
      <c r="A2344" s="2" t="str">
        <f>"5998202940277"</f>
        <v>5998202940277</v>
      </c>
      <c r="B2344" s="1" t="s">
        <v>2334</v>
      </c>
      <c r="C2344" s="9" t="s">
        <v>3400</v>
      </c>
      <c r="D2344" s="6">
        <v>284.72000000000003</v>
      </c>
      <c r="F2344">
        <v>100</v>
      </c>
    </row>
    <row r="2345" spans="1:6" x14ac:dyDescent="0.2">
      <c r="A2345" s="2" t="str">
        <f>"5998200749056"</f>
        <v>5998200749056</v>
      </c>
      <c r="B2345" s="1" t="s">
        <v>2335</v>
      </c>
      <c r="C2345" s="9" t="s">
        <v>3400</v>
      </c>
      <c r="D2345" s="6">
        <v>137.77000000000001</v>
      </c>
      <c r="F2345">
        <v>100</v>
      </c>
    </row>
    <row r="2346" spans="1:6" x14ac:dyDescent="0.2">
      <c r="A2346" s="2" t="str">
        <f>"5906207471795"</f>
        <v>5906207471795</v>
      </c>
      <c r="B2346" s="1" t="s">
        <v>2336</v>
      </c>
      <c r="C2346" s="9" t="s">
        <v>3400</v>
      </c>
      <c r="D2346" s="6">
        <v>309.66000000000003</v>
      </c>
      <c r="F2346">
        <v>100</v>
      </c>
    </row>
    <row r="2347" spans="1:6" x14ac:dyDescent="0.2">
      <c r="A2347" s="2" t="str">
        <f>"4008960203611"</f>
        <v>4008960203611</v>
      </c>
      <c r="B2347" s="1" t="s">
        <v>2337</v>
      </c>
      <c r="C2347" s="9" t="s">
        <v>3401</v>
      </c>
      <c r="D2347" s="6">
        <v>499.4</v>
      </c>
      <c r="F2347">
        <v>100</v>
      </c>
    </row>
    <row r="2348" spans="1:6" x14ac:dyDescent="0.2">
      <c r="A2348" s="2" t="str">
        <f>"5941209015127"</f>
        <v>5941209015127</v>
      </c>
      <c r="B2348" s="1" t="s">
        <v>2338</v>
      </c>
      <c r="C2348" s="9" t="s">
        <v>3400</v>
      </c>
      <c r="D2348" s="6">
        <v>243.34</v>
      </c>
      <c r="F2348">
        <v>100</v>
      </c>
    </row>
    <row r="2349" spans="1:6" x14ac:dyDescent="0.2">
      <c r="A2349" s="2" t="str">
        <f>"5997536301242"</f>
        <v>5997536301242</v>
      </c>
      <c r="B2349" s="1" t="s">
        <v>2339</v>
      </c>
      <c r="C2349" s="9" t="s">
        <v>3400</v>
      </c>
      <c r="D2349" s="6">
        <v>221.76</v>
      </c>
      <c r="F2349">
        <v>100</v>
      </c>
    </row>
    <row r="2350" spans="1:6" x14ac:dyDescent="0.2">
      <c r="A2350" s="2" t="str">
        <f>"5998207722519"</f>
        <v>5998207722519</v>
      </c>
      <c r="B2350" s="1" t="s">
        <v>2340</v>
      </c>
      <c r="C2350" s="9" t="s">
        <v>3400</v>
      </c>
      <c r="D2350" s="6">
        <v>326.45</v>
      </c>
      <c r="F2350">
        <v>100</v>
      </c>
    </row>
    <row r="2351" spans="1:6" x14ac:dyDescent="0.2">
      <c r="A2351" s="2" t="str">
        <f>"5998999200301"</f>
        <v>5998999200301</v>
      </c>
      <c r="B2351" s="1" t="s">
        <v>2341</v>
      </c>
      <c r="C2351" s="9" t="s">
        <v>3430</v>
      </c>
      <c r="D2351" s="6">
        <v>466.1</v>
      </c>
      <c r="F2351">
        <v>100</v>
      </c>
    </row>
    <row r="2352" spans="1:6" x14ac:dyDescent="0.2">
      <c r="A2352" s="2" t="str">
        <f>"5997536110356"</f>
        <v>5997536110356</v>
      </c>
      <c r="B2352" s="1" t="s">
        <v>2342</v>
      </c>
      <c r="C2352" s="9" t="s">
        <v>3400</v>
      </c>
      <c r="D2352" s="6">
        <v>403.26</v>
      </c>
      <c r="F2352">
        <v>100</v>
      </c>
    </row>
    <row r="2353" spans="1:6" x14ac:dyDescent="0.2">
      <c r="A2353" s="2" t="str">
        <f>"5997536113227"</f>
        <v>5997536113227</v>
      </c>
      <c r="B2353" s="1" t="s">
        <v>2343</v>
      </c>
      <c r="C2353" s="9" t="s">
        <v>3400</v>
      </c>
      <c r="D2353" s="6">
        <v>425.56</v>
      </c>
      <c r="F2353">
        <v>100</v>
      </c>
    </row>
    <row r="2354" spans="1:6" x14ac:dyDescent="0.2">
      <c r="A2354" s="2" t="str">
        <f>"8712566496099"</f>
        <v>8712566496099</v>
      </c>
      <c r="B2354" s="1" t="s">
        <v>2344</v>
      </c>
      <c r="C2354" s="9" t="s">
        <v>3401</v>
      </c>
      <c r="D2354" s="6">
        <v>177.71</v>
      </c>
      <c r="F2354">
        <v>100</v>
      </c>
    </row>
    <row r="2355" spans="1:6" x14ac:dyDescent="0.2">
      <c r="A2355" s="2" t="str">
        <f>"8712566496075"</f>
        <v>8712566496075</v>
      </c>
      <c r="B2355" s="1" t="s">
        <v>2345</v>
      </c>
      <c r="C2355" s="9" t="s">
        <v>3401</v>
      </c>
      <c r="D2355" s="6">
        <v>236.85</v>
      </c>
      <c r="F2355">
        <v>100</v>
      </c>
    </row>
    <row r="2356" spans="1:6" x14ac:dyDescent="0.2">
      <c r="A2356" s="2" t="str">
        <f>"9019100541505"</f>
        <v>9019100541505</v>
      </c>
      <c r="B2356" s="1" t="s">
        <v>2346</v>
      </c>
      <c r="C2356" s="9" t="s">
        <v>3401</v>
      </c>
      <c r="D2356" s="6">
        <v>270.22000000000003</v>
      </c>
      <c r="F2356">
        <v>100</v>
      </c>
    </row>
    <row r="2357" spans="1:6" x14ac:dyDescent="0.2">
      <c r="A2357" s="2" t="str">
        <f>"9020200002100"</f>
        <v>9020200002100</v>
      </c>
      <c r="B2357" s="1" t="s">
        <v>2347</v>
      </c>
      <c r="C2357" s="9" t="s">
        <v>3401</v>
      </c>
      <c r="D2357" s="6">
        <v>445.77</v>
      </c>
      <c r="F2357">
        <v>100</v>
      </c>
    </row>
    <row r="2358" spans="1:6" x14ac:dyDescent="0.2">
      <c r="A2358" s="2" t="str">
        <f>"5998207744184"</f>
        <v>5998207744184</v>
      </c>
      <c r="B2358" s="1" t="s">
        <v>2348</v>
      </c>
      <c r="C2358" s="9" t="s">
        <v>3401</v>
      </c>
      <c r="D2358" s="6">
        <v>134.57</v>
      </c>
      <c r="F2358">
        <v>100</v>
      </c>
    </row>
    <row r="2359" spans="1:6" x14ac:dyDescent="0.2">
      <c r="A2359" s="2" t="str">
        <f>"8585002505347"</f>
        <v>8585002505347</v>
      </c>
      <c r="B2359" s="1" t="s">
        <v>2349</v>
      </c>
      <c r="C2359" s="9" t="s">
        <v>3401</v>
      </c>
      <c r="D2359" s="6">
        <v>258.42</v>
      </c>
      <c r="F2359">
        <v>100</v>
      </c>
    </row>
    <row r="2360" spans="1:6" x14ac:dyDescent="0.2">
      <c r="A2360" s="2" t="str">
        <f>"5998200749285"</f>
        <v>5998200749285</v>
      </c>
      <c r="B2360" s="1" t="s">
        <v>2350</v>
      </c>
      <c r="C2360" s="9" t="s">
        <v>3400</v>
      </c>
      <c r="D2360" s="6">
        <v>383.22</v>
      </c>
      <c r="F2360">
        <v>100</v>
      </c>
    </row>
    <row r="2361" spans="1:6" x14ac:dyDescent="0.2">
      <c r="A2361" s="2" t="str">
        <f>"5998200748424"</f>
        <v>5998200748424</v>
      </c>
      <c r="B2361" s="1" t="s">
        <v>2351</v>
      </c>
      <c r="C2361" s="9" t="s">
        <v>3400</v>
      </c>
      <c r="D2361" s="6">
        <v>356.29</v>
      </c>
      <c r="F2361">
        <v>100</v>
      </c>
    </row>
    <row r="2362" spans="1:6" x14ac:dyDescent="0.2">
      <c r="A2362" s="2" t="str">
        <f>"5998200470684"</f>
        <v>5998200470684</v>
      </c>
      <c r="B2362" s="1" t="s">
        <v>2352</v>
      </c>
      <c r="C2362" s="9" t="s">
        <v>3400</v>
      </c>
      <c r="D2362" s="6">
        <v>305.83</v>
      </c>
      <c r="F2362">
        <v>100</v>
      </c>
    </row>
    <row r="2363" spans="1:6" x14ac:dyDescent="0.2">
      <c r="A2363" s="2" t="str">
        <f>"5998200474040"</f>
        <v>5998200474040</v>
      </c>
      <c r="B2363" s="1" t="s">
        <v>2353</v>
      </c>
      <c r="C2363" s="9" t="s">
        <v>3400</v>
      </c>
      <c r="D2363" s="6">
        <v>376.04</v>
      </c>
      <c r="F2363">
        <v>100</v>
      </c>
    </row>
    <row r="2364" spans="1:6" x14ac:dyDescent="0.2">
      <c r="A2364" s="2" t="str">
        <f>"4025500135614"</f>
        <v>4025500135614</v>
      </c>
      <c r="B2364" s="1" t="s">
        <v>2354</v>
      </c>
      <c r="C2364" s="9" t="s">
        <v>3400</v>
      </c>
      <c r="D2364" s="6">
        <v>227.79</v>
      </c>
      <c r="F2364">
        <v>100</v>
      </c>
    </row>
    <row r="2365" spans="1:6" x14ac:dyDescent="0.2">
      <c r="A2365" s="2" t="str">
        <f>"4025500132477"</f>
        <v>4025500132477</v>
      </c>
      <c r="B2365" s="1" t="s">
        <v>2355</v>
      </c>
      <c r="C2365" s="9" t="s">
        <v>3400</v>
      </c>
      <c r="D2365" s="6">
        <v>227.44</v>
      </c>
      <c r="F2365">
        <v>100</v>
      </c>
    </row>
    <row r="2366" spans="1:6" x14ac:dyDescent="0.2">
      <c r="A2366" s="2" t="str">
        <f>"5997536119588"</f>
        <v>5997536119588</v>
      </c>
      <c r="B2366" s="1" t="s">
        <v>2356</v>
      </c>
      <c r="C2366" s="9" t="s">
        <v>3400</v>
      </c>
      <c r="D2366" s="6">
        <v>387.02</v>
      </c>
      <c r="F2366">
        <v>100</v>
      </c>
    </row>
    <row r="2367" spans="1:6" x14ac:dyDescent="0.2">
      <c r="A2367" s="2" t="str">
        <f>"5998200749049"</f>
        <v>5998200749049</v>
      </c>
      <c r="B2367" s="1" t="s">
        <v>2357</v>
      </c>
      <c r="C2367" s="9" t="s">
        <v>3400</v>
      </c>
      <c r="D2367" s="6">
        <v>198.93</v>
      </c>
      <c r="F2367">
        <v>100</v>
      </c>
    </row>
    <row r="2368" spans="1:6" x14ac:dyDescent="0.2">
      <c r="A2368" s="2" t="str">
        <f>"5906207572249"</f>
        <v>5906207572249</v>
      </c>
      <c r="B2368" s="1" t="s">
        <v>2358</v>
      </c>
      <c r="C2368" s="9" t="s">
        <v>3400</v>
      </c>
      <c r="D2368" s="6">
        <v>314.82</v>
      </c>
      <c r="F2368">
        <v>100</v>
      </c>
    </row>
    <row r="2369" spans="1:6" x14ac:dyDescent="0.2">
      <c r="A2369" s="2" t="str">
        <f>"5906207512245"</f>
        <v>5906207512245</v>
      </c>
      <c r="B2369" s="1" t="s">
        <v>2359</v>
      </c>
      <c r="C2369" s="9" t="s">
        <v>3400</v>
      </c>
      <c r="D2369" s="6">
        <v>310.89999999999998</v>
      </c>
      <c r="F2369">
        <v>100</v>
      </c>
    </row>
    <row r="2370" spans="1:6" x14ac:dyDescent="0.2">
      <c r="A2370" s="2" t="str">
        <f>"5906207471757"</f>
        <v>5906207471757</v>
      </c>
      <c r="B2370" s="1" t="s">
        <v>2360</v>
      </c>
      <c r="C2370" s="9" t="s">
        <v>3400</v>
      </c>
      <c r="D2370" s="6">
        <v>310.16000000000003</v>
      </c>
      <c r="F2370">
        <v>100</v>
      </c>
    </row>
    <row r="2371" spans="1:6" x14ac:dyDescent="0.2">
      <c r="A2371" s="2" t="str">
        <f>"5998201216205"</f>
        <v>5998201216205</v>
      </c>
      <c r="B2371" s="1" t="s">
        <v>2361</v>
      </c>
      <c r="C2371" s="9" t="s">
        <v>3400</v>
      </c>
      <c r="D2371" s="6">
        <v>272.24</v>
      </c>
      <c r="F2371">
        <v>100</v>
      </c>
    </row>
    <row r="2372" spans="1:6" x14ac:dyDescent="0.2">
      <c r="A2372" s="2" t="str">
        <f>"5997536301235"</f>
        <v>5997536301235</v>
      </c>
      <c r="B2372" s="1" t="s">
        <v>2362</v>
      </c>
      <c r="C2372" s="9" t="s">
        <v>3400</v>
      </c>
      <c r="D2372" s="6">
        <v>242.09</v>
      </c>
      <c r="F2372">
        <v>100</v>
      </c>
    </row>
    <row r="2373" spans="1:6" x14ac:dyDescent="0.2">
      <c r="A2373" s="2" t="str">
        <f>"5998207722502"</f>
        <v>5998207722502</v>
      </c>
      <c r="B2373" s="1" t="s">
        <v>2363</v>
      </c>
      <c r="C2373" s="9" t="s">
        <v>3400</v>
      </c>
      <c r="D2373" s="6">
        <v>321.63</v>
      </c>
      <c r="F2373">
        <v>100</v>
      </c>
    </row>
    <row r="2374" spans="1:6" x14ac:dyDescent="0.2">
      <c r="A2374" s="2" t="str">
        <f>"5998200311048"</f>
        <v>5998200311048</v>
      </c>
      <c r="B2374" s="1" t="s">
        <v>2364</v>
      </c>
      <c r="C2374" s="9" t="s">
        <v>3400</v>
      </c>
      <c r="D2374" s="6">
        <v>308.10000000000002</v>
      </c>
      <c r="F2374">
        <v>100</v>
      </c>
    </row>
    <row r="2375" spans="1:6" x14ac:dyDescent="0.2">
      <c r="A2375" s="2" t="str">
        <f>"5998207904311"</f>
        <v>5998207904311</v>
      </c>
      <c r="B2375" s="1" t="s">
        <v>2365</v>
      </c>
      <c r="C2375" s="9" t="s">
        <v>3401</v>
      </c>
      <c r="D2375" s="6">
        <v>170.98</v>
      </c>
      <c r="F2375">
        <v>100</v>
      </c>
    </row>
    <row r="2376" spans="1:6" x14ac:dyDescent="0.2">
      <c r="A2376" s="2" t="str">
        <f>"5998200326356"</f>
        <v>5998200326356</v>
      </c>
      <c r="B2376" s="1" t="s">
        <v>2366</v>
      </c>
      <c r="C2376" s="9" t="s">
        <v>3401</v>
      </c>
      <c r="D2376" s="6">
        <v>172.83</v>
      </c>
      <c r="F2376">
        <v>100</v>
      </c>
    </row>
    <row r="2377" spans="1:6" x14ac:dyDescent="0.2">
      <c r="A2377" s="2" t="str">
        <f>"5997536112558"</f>
        <v>5997536112558</v>
      </c>
      <c r="B2377" s="1" t="s">
        <v>2367</v>
      </c>
      <c r="C2377" s="9" t="s">
        <v>3400</v>
      </c>
      <c r="D2377" s="6">
        <v>412.53</v>
      </c>
      <c r="F2377">
        <v>100</v>
      </c>
    </row>
    <row r="2378" spans="1:6" x14ac:dyDescent="0.2">
      <c r="A2378" s="2" t="str">
        <f>"5997536115153"</f>
        <v>5997536115153</v>
      </c>
      <c r="B2378" s="1" t="s">
        <v>2368</v>
      </c>
      <c r="C2378" s="9" t="s">
        <v>3400</v>
      </c>
      <c r="D2378" s="6">
        <v>78.239999999999995</v>
      </c>
      <c r="F2378">
        <v>100</v>
      </c>
    </row>
    <row r="2379" spans="1:6" x14ac:dyDescent="0.2">
      <c r="A2379" s="2" t="str">
        <f>"5997536302201"</f>
        <v>5997536302201</v>
      </c>
      <c r="B2379" s="1" t="s">
        <v>2369</v>
      </c>
      <c r="C2379" s="9" t="s">
        <v>3431</v>
      </c>
      <c r="D2379" s="6">
        <v>186.76</v>
      </c>
      <c r="F2379">
        <v>100</v>
      </c>
    </row>
    <row r="2380" spans="1:6" x14ac:dyDescent="0.2">
      <c r="A2380" s="2" t="str">
        <f>"5997536300788"</f>
        <v>5997536300788</v>
      </c>
      <c r="B2380" s="1" t="s">
        <v>2370</v>
      </c>
      <c r="C2380" s="9" t="s">
        <v>3400</v>
      </c>
      <c r="D2380" s="6">
        <v>399.95</v>
      </c>
      <c r="F2380">
        <v>100</v>
      </c>
    </row>
    <row r="2381" spans="1:6" x14ac:dyDescent="0.2">
      <c r="A2381" s="2" t="str">
        <f>"5997536301440"</f>
        <v>5997536301440</v>
      </c>
      <c r="B2381" s="1" t="s">
        <v>2371</v>
      </c>
      <c r="C2381" s="9" t="s">
        <v>3400</v>
      </c>
      <c r="D2381" s="6">
        <v>341.96</v>
      </c>
      <c r="F2381">
        <v>100</v>
      </c>
    </row>
    <row r="2382" spans="1:6" x14ac:dyDescent="0.2">
      <c r="A2382" s="2" t="str">
        <f>"8719200021013"</f>
        <v>8719200021013</v>
      </c>
      <c r="B2382" s="1" t="s">
        <v>2372</v>
      </c>
      <c r="C2382" s="9" t="s">
        <v>3400</v>
      </c>
      <c r="D2382" s="6">
        <v>292.10000000000002</v>
      </c>
      <c r="F2382">
        <v>100</v>
      </c>
    </row>
    <row r="2383" spans="1:6" x14ac:dyDescent="0.2">
      <c r="A2383" s="2" t="str">
        <f>"5998200471940"</f>
        <v>5998200471940</v>
      </c>
      <c r="B2383" s="1" t="s">
        <v>2373</v>
      </c>
      <c r="C2383" s="9" t="s">
        <v>3400</v>
      </c>
      <c r="D2383" s="6">
        <v>374.06</v>
      </c>
      <c r="F2383">
        <v>100</v>
      </c>
    </row>
    <row r="2384" spans="1:6" x14ac:dyDescent="0.2">
      <c r="A2384" s="2" t="str">
        <f>"5998200470516"</f>
        <v>5998200470516</v>
      </c>
      <c r="B2384" s="1" t="s">
        <v>2374</v>
      </c>
      <c r="C2384" s="9" t="s">
        <v>3400</v>
      </c>
      <c r="D2384" s="6">
        <v>383.67</v>
      </c>
      <c r="F2384">
        <v>100</v>
      </c>
    </row>
    <row r="2385" spans="1:6" x14ac:dyDescent="0.2">
      <c r="A2385" s="2" t="str">
        <f>"5998200470493"</f>
        <v>5998200470493</v>
      </c>
      <c r="B2385" s="1" t="s">
        <v>2375</v>
      </c>
      <c r="C2385" s="9" t="s">
        <v>3400</v>
      </c>
      <c r="D2385" s="6">
        <v>378.33</v>
      </c>
      <c r="F2385">
        <v>100</v>
      </c>
    </row>
    <row r="2386" spans="1:6" x14ac:dyDescent="0.2">
      <c r="A2386" s="2" t="str">
        <f>"5999564094905"</f>
        <v>5999564094905</v>
      </c>
      <c r="B2386" s="1" t="s">
        <v>2376</v>
      </c>
      <c r="C2386" s="9" t="s">
        <v>3400</v>
      </c>
      <c r="D2386" s="6">
        <v>87.88</v>
      </c>
      <c r="F2386">
        <v>100</v>
      </c>
    </row>
    <row r="2387" spans="1:6" x14ac:dyDescent="0.2">
      <c r="A2387" s="2" t="str">
        <f>"5998115760016"</f>
        <v>5998115760016</v>
      </c>
      <c r="B2387" s="1" t="s">
        <v>2377</v>
      </c>
      <c r="C2387" s="9" t="s">
        <v>3401</v>
      </c>
      <c r="D2387" s="6">
        <v>358.43</v>
      </c>
      <c r="F2387">
        <v>100</v>
      </c>
    </row>
    <row r="2388" spans="1:6" x14ac:dyDescent="0.2">
      <c r="A2388" s="2" t="str">
        <f>"5998200748639"</f>
        <v>5998200748639</v>
      </c>
      <c r="B2388" s="1" t="s">
        <v>2378</v>
      </c>
      <c r="C2388" s="9" t="s">
        <v>3400</v>
      </c>
      <c r="D2388" s="6">
        <v>120.5</v>
      </c>
      <c r="F2388">
        <v>100</v>
      </c>
    </row>
    <row r="2389" spans="1:6" x14ac:dyDescent="0.2">
      <c r="A2389" s="2" t="str">
        <f>"5998200748431"</f>
        <v>5998200748431</v>
      </c>
      <c r="B2389" s="1" t="s">
        <v>2379</v>
      </c>
      <c r="C2389" s="9" t="s">
        <v>3400</v>
      </c>
      <c r="D2389" s="6">
        <v>352.87</v>
      </c>
      <c r="F2389">
        <v>100</v>
      </c>
    </row>
    <row r="2390" spans="1:6" x14ac:dyDescent="0.2">
      <c r="A2390" s="2" t="str">
        <f>"5998200465604"</f>
        <v>5998200465604</v>
      </c>
      <c r="B2390" s="1" t="s">
        <v>2380</v>
      </c>
      <c r="C2390" s="9" t="s">
        <v>3400</v>
      </c>
      <c r="D2390" s="6">
        <v>192.12</v>
      </c>
      <c r="F2390">
        <v>100</v>
      </c>
    </row>
    <row r="2391" spans="1:6" x14ac:dyDescent="0.2">
      <c r="A2391" s="2" t="str">
        <f>"5998200474323"</f>
        <v>5998200474323</v>
      </c>
      <c r="B2391" s="1" t="s">
        <v>2381</v>
      </c>
      <c r="C2391" s="9" t="s">
        <v>3400</v>
      </c>
      <c r="D2391" s="6">
        <v>195.04</v>
      </c>
      <c r="F2391">
        <v>100</v>
      </c>
    </row>
    <row r="2392" spans="1:6" x14ac:dyDescent="0.2">
      <c r="A2392" s="2" t="str">
        <f>"5998200469169"</f>
        <v>5998200469169</v>
      </c>
      <c r="B2392" s="1" t="s">
        <v>2382</v>
      </c>
      <c r="C2392" s="9" t="s">
        <v>3400</v>
      </c>
      <c r="D2392" s="6">
        <v>123.19</v>
      </c>
      <c r="F2392">
        <v>100</v>
      </c>
    </row>
    <row r="2393" spans="1:6" x14ac:dyDescent="0.2">
      <c r="A2393" s="2" t="str">
        <f>"5998200474026"</f>
        <v>5998200474026</v>
      </c>
      <c r="B2393" s="1" t="s">
        <v>2383</v>
      </c>
      <c r="C2393" s="9" t="s">
        <v>3400</v>
      </c>
      <c r="D2393" s="6">
        <v>408.86</v>
      </c>
      <c r="F2393">
        <v>100</v>
      </c>
    </row>
    <row r="2394" spans="1:6" x14ac:dyDescent="0.2">
      <c r="A2394" s="2" t="str">
        <f>"42354017     "</f>
        <v xml:space="preserve">42354017     </v>
      </c>
      <c r="B2394" s="1" t="s">
        <v>2384</v>
      </c>
      <c r="C2394" s="9" t="s">
        <v>3400</v>
      </c>
      <c r="D2394" s="6">
        <v>161.57</v>
      </c>
      <c r="F2394">
        <v>100</v>
      </c>
    </row>
    <row r="2395" spans="1:6" x14ac:dyDescent="0.2">
      <c r="A2395" s="2" t="str">
        <f>"40255699     "</f>
        <v xml:space="preserve">40255699     </v>
      </c>
      <c r="B2395" s="1" t="s">
        <v>2385</v>
      </c>
      <c r="C2395" s="9" t="s">
        <v>3400</v>
      </c>
      <c r="D2395" s="6">
        <v>165.01</v>
      </c>
      <c r="F2395">
        <v>100</v>
      </c>
    </row>
    <row r="2396" spans="1:6" x14ac:dyDescent="0.2">
      <c r="A2396" s="2" t="str">
        <f>"42373261     "</f>
        <v xml:space="preserve">42373261     </v>
      </c>
      <c r="B2396" s="1" t="s">
        <v>2386</v>
      </c>
      <c r="C2396" s="9" t="s">
        <v>3400</v>
      </c>
      <c r="D2396" s="6">
        <v>155.05000000000001</v>
      </c>
      <c r="F2396">
        <v>100</v>
      </c>
    </row>
    <row r="2397" spans="1:6" x14ac:dyDescent="0.2">
      <c r="A2397" s="2" t="str">
        <f>"5998207700029"</f>
        <v>5998207700029</v>
      </c>
      <c r="B2397" s="1" t="s">
        <v>2387</v>
      </c>
      <c r="C2397" s="9" t="s">
        <v>3401</v>
      </c>
      <c r="D2397" s="6">
        <v>459.02</v>
      </c>
      <c r="F2397">
        <v>100</v>
      </c>
    </row>
    <row r="2398" spans="1:6" x14ac:dyDescent="0.2">
      <c r="A2398" s="2" t="str">
        <f>"5998202941458"</f>
        <v>5998202941458</v>
      </c>
      <c r="B2398" s="1" t="s">
        <v>2388</v>
      </c>
      <c r="C2398" s="9" t="s">
        <v>3400</v>
      </c>
      <c r="D2398" s="6">
        <v>499.86</v>
      </c>
      <c r="F2398">
        <v>100</v>
      </c>
    </row>
    <row r="2399" spans="1:6" x14ac:dyDescent="0.2">
      <c r="A2399" s="2" t="str">
        <f>"5998202942370"</f>
        <v>5998202942370</v>
      </c>
      <c r="B2399" s="1" t="s">
        <v>2389</v>
      </c>
      <c r="C2399" s="9" t="s">
        <v>3400</v>
      </c>
      <c r="D2399" s="6">
        <v>256.02</v>
      </c>
      <c r="F2399">
        <v>100</v>
      </c>
    </row>
    <row r="2400" spans="1:6" x14ac:dyDescent="0.2">
      <c r="A2400" s="2" t="str">
        <f>"5998202940635"</f>
        <v>5998202940635</v>
      </c>
      <c r="B2400" s="1" t="s">
        <v>2390</v>
      </c>
      <c r="C2400" s="9" t="s">
        <v>3400</v>
      </c>
      <c r="D2400" s="6">
        <v>259.45999999999998</v>
      </c>
      <c r="F2400">
        <v>100</v>
      </c>
    </row>
    <row r="2401" spans="1:6" x14ac:dyDescent="0.2">
      <c r="A2401" s="2" t="str">
        <f>"5999561310053"</f>
        <v>5999561310053</v>
      </c>
      <c r="B2401" s="1" t="s">
        <v>2391</v>
      </c>
      <c r="C2401" s="9" t="s">
        <v>3400</v>
      </c>
      <c r="D2401" s="6">
        <v>289.99</v>
      </c>
      <c r="F2401">
        <v>100</v>
      </c>
    </row>
    <row r="2402" spans="1:6" x14ac:dyDescent="0.2">
      <c r="A2402" s="2" t="str">
        <f>"5998200747458"</f>
        <v>5998200747458</v>
      </c>
      <c r="B2402" s="1" t="s">
        <v>2392</v>
      </c>
      <c r="C2402" s="9" t="s">
        <v>3400</v>
      </c>
      <c r="D2402" s="6">
        <v>128.13</v>
      </c>
      <c r="F2402">
        <v>100</v>
      </c>
    </row>
    <row r="2403" spans="1:6" x14ac:dyDescent="0.2">
      <c r="A2403" s="2" t="str">
        <f>"5998200749223"</f>
        <v>5998200749223</v>
      </c>
      <c r="B2403" s="1" t="s">
        <v>2393</v>
      </c>
      <c r="C2403" s="9" t="s">
        <v>3400</v>
      </c>
      <c r="D2403" s="6">
        <v>207.35</v>
      </c>
      <c r="F2403">
        <v>100</v>
      </c>
    </row>
    <row r="2404" spans="1:6" x14ac:dyDescent="0.2">
      <c r="A2404" s="2" t="str">
        <f>"5999885040544"</f>
        <v>5999885040544</v>
      </c>
      <c r="B2404" s="1" t="s">
        <v>2394</v>
      </c>
      <c r="C2404" s="9" t="s">
        <v>3400</v>
      </c>
      <c r="D2404" s="6">
        <v>327.08999999999997</v>
      </c>
      <c r="F2404">
        <v>100</v>
      </c>
    </row>
    <row r="2405" spans="1:6" x14ac:dyDescent="0.2">
      <c r="A2405" s="2" t="str">
        <f>"5998200566394"</f>
        <v>5998200566394</v>
      </c>
      <c r="B2405" s="1" t="s">
        <v>2395</v>
      </c>
      <c r="C2405" s="9" t="s">
        <v>3400</v>
      </c>
      <c r="D2405" s="6">
        <v>188.52</v>
      </c>
      <c r="F2405">
        <v>100</v>
      </c>
    </row>
    <row r="2406" spans="1:6" x14ac:dyDescent="0.2">
      <c r="A2406" s="2" t="str">
        <f>"5998200567360"</f>
        <v>5998200567360</v>
      </c>
      <c r="B2406" s="1" t="s">
        <v>2396</v>
      </c>
      <c r="C2406" s="9" t="s">
        <v>3400</v>
      </c>
      <c r="D2406" s="6">
        <v>131.36000000000001</v>
      </c>
      <c r="F2406">
        <v>100</v>
      </c>
    </row>
    <row r="2407" spans="1:6" x14ac:dyDescent="0.2">
      <c r="A2407" s="2" t="str">
        <f>"5997536302713"</f>
        <v>5997536302713</v>
      </c>
      <c r="B2407" s="1" t="s">
        <v>2397</v>
      </c>
      <c r="C2407" s="9" t="s">
        <v>3400</v>
      </c>
      <c r="D2407" s="6">
        <v>412.53</v>
      </c>
      <c r="F2407">
        <v>100</v>
      </c>
    </row>
    <row r="2408" spans="1:6" x14ac:dyDescent="0.2">
      <c r="A2408" s="2" t="str">
        <f>"5997536302003"</f>
        <v>5997536302003</v>
      </c>
      <c r="B2408" s="1" t="s">
        <v>2398</v>
      </c>
      <c r="C2408" s="9" t="s">
        <v>3400</v>
      </c>
      <c r="D2408" s="6">
        <v>410.36</v>
      </c>
      <c r="F2408">
        <v>100</v>
      </c>
    </row>
    <row r="2409" spans="1:6" x14ac:dyDescent="0.2">
      <c r="A2409" s="2" t="str">
        <f>"5941209011945"</f>
        <v>5941209011945</v>
      </c>
      <c r="B2409" s="1" t="s">
        <v>2399</v>
      </c>
      <c r="C2409" s="9" t="s">
        <v>3400</v>
      </c>
      <c r="D2409" s="6">
        <v>233.53</v>
      </c>
      <c r="F2409">
        <v>100</v>
      </c>
    </row>
    <row r="2410" spans="1:6" x14ac:dyDescent="0.2">
      <c r="A2410" s="2" t="str">
        <f>"5941209011969"</f>
        <v>5941209011969</v>
      </c>
      <c r="B2410" s="1" t="s">
        <v>2400</v>
      </c>
      <c r="C2410" s="9" t="s">
        <v>3431</v>
      </c>
      <c r="D2410" s="6">
        <v>251.62</v>
      </c>
      <c r="F2410">
        <v>100</v>
      </c>
    </row>
    <row r="2411" spans="1:6" x14ac:dyDescent="0.2">
      <c r="A2411" s="2" t="str">
        <f>"5998025345006"</f>
        <v>5998025345006</v>
      </c>
      <c r="B2411" s="1" t="s">
        <v>2401</v>
      </c>
      <c r="C2411" s="9" t="s">
        <v>3382</v>
      </c>
      <c r="D2411" s="6">
        <v>273.60000000000002</v>
      </c>
      <c r="F2411">
        <v>100</v>
      </c>
    </row>
    <row r="2412" spans="1:6" x14ac:dyDescent="0.2">
      <c r="A2412" s="2" t="str">
        <f>"9120025831418"</f>
        <v>9120025831418</v>
      </c>
      <c r="B2412" s="1" t="s">
        <v>2402</v>
      </c>
      <c r="C2412" s="9" t="s">
        <v>3401</v>
      </c>
      <c r="D2412" s="6">
        <v>86.85</v>
      </c>
      <c r="F2412">
        <v>100</v>
      </c>
    </row>
    <row r="2413" spans="1:6" x14ac:dyDescent="0.2">
      <c r="A2413" s="2" t="str">
        <f>"5998201210500"</f>
        <v>5998201210500</v>
      </c>
      <c r="B2413" s="1" t="s">
        <v>2403</v>
      </c>
      <c r="C2413" s="9" t="s">
        <v>3401</v>
      </c>
      <c r="D2413" s="6">
        <v>250.05</v>
      </c>
      <c r="F2413">
        <v>100</v>
      </c>
    </row>
    <row r="2414" spans="1:6" x14ac:dyDescent="0.2">
      <c r="A2414" s="2" t="str">
        <f>"5997536119564"</f>
        <v>5997536119564</v>
      </c>
      <c r="B2414" s="1" t="s">
        <v>2404</v>
      </c>
      <c r="C2414" s="9" t="s">
        <v>3400</v>
      </c>
      <c r="D2414" s="6">
        <v>356.46</v>
      </c>
      <c r="F2414">
        <v>100</v>
      </c>
    </row>
    <row r="2415" spans="1:6" x14ac:dyDescent="0.2">
      <c r="A2415" s="2" t="str">
        <f>"8595002101227"</f>
        <v>8595002101227</v>
      </c>
      <c r="B2415" s="1" t="s">
        <v>2405</v>
      </c>
      <c r="C2415" s="9" t="s">
        <v>3400</v>
      </c>
      <c r="D2415" s="6">
        <v>405.02</v>
      </c>
      <c r="F2415">
        <v>100</v>
      </c>
    </row>
    <row r="2416" spans="1:6" x14ac:dyDescent="0.2">
      <c r="A2416" s="2" t="str">
        <f>"5941209011907"</f>
        <v>5941209011907</v>
      </c>
      <c r="B2416" s="1" t="s">
        <v>2406</v>
      </c>
      <c r="C2416" s="9" t="s">
        <v>3400</v>
      </c>
      <c r="D2416" s="6">
        <v>236.29</v>
      </c>
      <c r="F2416">
        <v>100</v>
      </c>
    </row>
    <row r="2417" spans="1:6" x14ac:dyDescent="0.2">
      <c r="A2417" s="2" t="str">
        <f>"5997536301433"</f>
        <v>5997536301433</v>
      </c>
      <c r="B2417" s="1" t="s">
        <v>2407</v>
      </c>
      <c r="C2417" s="9" t="s">
        <v>3400</v>
      </c>
      <c r="D2417" s="6">
        <v>319.32</v>
      </c>
      <c r="F2417">
        <v>100</v>
      </c>
    </row>
    <row r="2418" spans="1:6" x14ac:dyDescent="0.2">
      <c r="A2418" s="2" t="str">
        <f>"5997536301488"</f>
        <v>5997536301488</v>
      </c>
      <c r="B2418" s="1" t="s">
        <v>2408</v>
      </c>
      <c r="C2418" s="9" t="s">
        <v>3400</v>
      </c>
      <c r="D2418" s="6">
        <v>323.85000000000002</v>
      </c>
      <c r="F2418">
        <v>100</v>
      </c>
    </row>
    <row r="2419" spans="1:6" x14ac:dyDescent="0.2">
      <c r="A2419" s="2" t="str">
        <f>"5997536301471"</f>
        <v>5997536301471</v>
      </c>
      <c r="B2419" s="1" t="s">
        <v>2409</v>
      </c>
      <c r="C2419" s="9" t="s">
        <v>3400</v>
      </c>
      <c r="D2419" s="6">
        <v>313.37</v>
      </c>
      <c r="F2419">
        <v>100</v>
      </c>
    </row>
    <row r="2420" spans="1:6" x14ac:dyDescent="0.2">
      <c r="A2420" s="2" t="str">
        <f>"5997536302072"</f>
        <v>5997536302072</v>
      </c>
      <c r="B2420" s="1" t="s">
        <v>2410</v>
      </c>
      <c r="C2420" s="9" t="s">
        <v>3400</v>
      </c>
      <c r="D2420" s="6">
        <v>364.45</v>
      </c>
      <c r="F2420">
        <v>100</v>
      </c>
    </row>
    <row r="2421" spans="1:6" x14ac:dyDescent="0.2">
      <c r="A2421" s="2" t="str">
        <f>"5998200470479"</f>
        <v>5998200470479</v>
      </c>
      <c r="B2421" s="1" t="s">
        <v>2411</v>
      </c>
      <c r="C2421" s="9" t="s">
        <v>3400</v>
      </c>
      <c r="D2421" s="6">
        <v>385.8</v>
      </c>
      <c r="F2421">
        <v>100</v>
      </c>
    </row>
    <row r="2422" spans="1:6" x14ac:dyDescent="0.2">
      <c r="A2422" s="2" t="str">
        <f>"5998207901563"</f>
        <v>5998207901563</v>
      </c>
      <c r="B2422" s="1" t="s">
        <v>2412</v>
      </c>
      <c r="C2422" s="9" t="s">
        <v>3400</v>
      </c>
      <c r="D2422" s="6">
        <v>219.92</v>
      </c>
      <c r="F2422">
        <v>100</v>
      </c>
    </row>
    <row r="2423" spans="1:6" x14ac:dyDescent="0.2">
      <c r="A2423" s="2" t="str">
        <f>"5998985521915"</f>
        <v>5998985521915</v>
      </c>
      <c r="B2423" s="1" t="s">
        <v>2413</v>
      </c>
      <c r="C2423" s="9" t="s">
        <v>3400</v>
      </c>
      <c r="D2423" s="6">
        <v>418.01</v>
      </c>
      <c r="F2423">
        <v>100</v>
      </c>
    </row>
    <row r="2424" spans="1:6" x14ac:dyDescent="0.2">
      <c r="A2424" s="2" t="str">
        <f>"9020200013199"</f>
        <v>9020200013199</v>
      </c>
      <c r="B2424" s="1" t="s">
        <v>2414</v>
      </c>
      <c r="C2424" s="9" t="s">
        <v>3389</v>
      </c>
      <c r="D2424" s="6">
        <v>0</v>
      </c>
      <c r="F2424">
        <v>100</v>
      </c>
    </row>
    <row r="2425" spans="1:6" x14ac:dyDescent="0.2">
      <c r="A2425" s="2" t="str">
        <f>"5998201207456"</f>
        <v>5998201207456</v>
      </c>
      <c r="B2425" s="1" t="s">
        <v>2415</v>
      </c>
      <c r="C2425" s="9" t="s">
        <v>3400</v>
      </c>
      <c r="D2425" s="6">
        <v>167.31</v>
      </c>
      <c r="F2425">
        <v>100</v>
      </c>
    </row>
    <row r="2426" spans="1:6" x14ac:dyDescent="0.2">
      <c r="A2426" s="2" t="str">
        <f>"5998201207401"</f>
        <v>5998201207401</v>
      </c>
      <c r="B2426" s="1" t="s">
        <v>2416</v>
      </c>
      <c r="C2426" s="9" t="s">
        <v>3400</v>
      </c>
      <c r="D2426" s="6">
        <v>165.31</v>
      </c>
      <c r="F2426">
        <v>100</v>
      </c>
    </row>
    <row r="2427" spans="1:6" x14ac:dyDescent="0.2">
      <c r="A2427" s="2" t="str">
        <f>"8594050840164"</f>
        <v>8594050840164</v>
      </c>
      <c r="B2427" s="1" t="s">
        <v>2417</v>
      </c>
      <c r="C2427" s="9" t="s">
        <v>3401</v>
      </c>
      <c r="D2427" s="6">
        <v>322.8</v>
      </c>
      <c r="F2427">
        <v>100</v>
      </c>
    </row>
    <row r="2428" spans="1:6" x14ac:dyDescent="0.2">
      <c r="A2428" s="2" t="str">
        <f>"5998200103605"</f>
        <v>5998200103605</v>
      </c>
      <c r="B2428" s="1" t="s">
        <v>2418</v>
      </c>
      <c r="C2428" s="9" t="s">
        <v>3400</v>
      </c>
      <c r="D2428" s="6">
        <v>159.58000000000001</v>
      </c>
      <c r="F2428">
        <v>100</v>
      </c>
    </row>
    <row r="2429" spans="1:6" x14ac:dyDescent="0.2">
      <c r="A2429" s="2" t="str">
        <f>"5998204825633"</f>
        <v>5998204825633</v>
      </c>
      <c r="B2429" s="1" t="s">
        <v>2419</v>
      </c>
      <c r="C2429" s="9" t="s">
        <v>3401</v>
      </c>
      <c r="D2429" s="6">
        <v>327.2</v>
      </c>
      <c r="F2429">
        <v>100</v>
      </c>
    </row>
    <row r="2430" spans="1:6" x14ac:dyDescent="0.2">
      <c r="A2430" s="2" t="str">
        <f>"5998207770473"</f>
        <v>5998207770473</v>
      </c>
      <c r="B2430" s="1" t="s">
        <v>2420</v>
      </c>
      <c r="C2430" s="9" t="s">
        <v>3400</v>
      </c>
      <c r="D2430" s="6">
        <v>213.73</v>
      </c>
      <c r="F2430">
        <v>100</v>
      </c>
    </row>
    <row r="2431" spans="1:6" x14ac:dyDescent="0.2">
      <c r="A2431" s="2" t="str">
        <f>"8585002505514"</f>
        <v>8585002505514</v>
      </c>
      <c r="B2431" s="1" t="s">
        <v>2421</v>
      </c>
      <c r="C2431" s="9" t="s">
        <v>3401</v>
      </c>
      <c r="D2431" s="6">
        <v>176.53</v>
      </c>
      <c r="F2431">
        <v>100</v>
      </c>
    </row>
    <row r="2432" spans="1:6" x14ac:dyDescent="0.2">
      <c r="A2432" s="2" t="str">
        <f>"8585002514660"</f>
        <v>8585002514660</v>
      </c>
      <c r="B2432" s="1" t="s">
        <v>2422</v>
      </c>
      <c r="C2432" s="9" t="s">
        <v>3400</v>
      </c>
      <c r="D2432" s="6">
        <v>391.18</v>
      </c>
      <c r="F2432">
        <v>100</v>
      </c>
    </row>
    <row r="2433" spans="1:6" x14ac:dyDescent="0.2">
      <c r="A2433" s="2" t="str">
        <f>"5998200747557"</f>
        <v>5998200747557</v>
      </c>
      <c r="B2433" s="1" t="s">
        <v>2423</v>
      </c>
      <c r="C2433" s="9" t="s">
        <v>3400</v>
      </c>
      <c r="D2433" s="6">
        <v>118.18</v>
      </c>
      <c r="F2433">
        <v>100</v>
      </c>
    </row>
    <row r="2434" spans="1:6" x14ac:dyDescent="0.2">
      <c r="A2434" s="2" t="str">
        <f>"5998200748622"</f>
        <v>5998200748622</v>
      </c>
      <c r="B2434" s="1" t="s">
        <v>2424</v>
      </c>
      <c r="C2434" s="9" t="s">
        <v>3400</v>
      </c>
      <c r="D2434" s="6">
        <v>116.38</v>
      </c>
      <c r="F2434">
        <v>100</v>
      </c>
    </row>
    <row r="2435" spans="1:6" x14ac:dyDescent="0.2">
      <c r="A2435" s="2" t="str">
        <f>"5998200748608"</f>
        <v>5998200748608</v>
      </c>
      <c r="B2435" s="1" t="s">
        <v>2425</v>
      </c>
      <c r="C2435" s="9" t="s">
        <v>3400</v>
      </c>
      <c r="D2435" s="6">
        <v>116.56</v>
      </c>
      <c r="F2435">
        <v>100</v>
      </c>
    </row>
    <row r="2436" spans="1:6" x14ac:dyDescent="0.2">
      <c r="A2436" s="2" t="str">
        <f>"5998200746598"</f>
        <v>5998200746598</v>
      </c>
      <c r="B2436" s="1" t="s">
        <v>2426</v>
      </c>
      <c r="C2436" s="9" t="s">
        <v>3400</v>
      </c>
      <c r="D2436" s="6">
        <v>387.93</v>
      </c>
      <c r="F2436">
        <v>100</v>
      </c>
    </row>
    <row r="2437" spans="1:6" x14ac:dyDescent="0.2">
      <c r="A2437" s="2" t="str">
        <f>"5998200749261"</f>
        <v>5998200749261</v>
      </c>
      <c r="B2437" s="1" t="s">
        <v>2427</v>
      </c>
      <c r="C2437" s="9" t="s">
        <v>3400</v>
      </c>
      <c r="D2437" s="6">
        <v>383.22</v>
      </c>
      <c r="F2437">
        <v>100</v>
      </c>
    </row>
    <row r="2438" spans="1:6" x14ac:dyDescent="0.2">
      <c r="A2438" s="2" t="str">
        <f>"5998200473623"</f>
        <v>5998200473623</v>
      </c>
      <c r="B2438" s="1" t="s">
        <v>2428</v>
      </c>
      <c r="C2438" s="9" t="s">
        <v>3400</v>
      </c>
      <c r="D2438" s="6">
        <v>202.37</v>
      </c>
      <c r="F2438">
        <v>100</v>
      </c>
    </row>
    <row r="2439" spans="1:6" x14ac:dyDescent="0.2">
      <c r="A2439" s="2" t="str">
        <f>"5998200473166"</f>
        <v>5998200473166</v>
      </c>
      <c r="B2439" s="1" t="s">
        <v>2429</v>
      </c>
      <c r="C2439" s="9" t="s">
        <v>3400</v>
      </c>
      <c r="D2439" s="6">
        <v>427.73</v>
      </c>
      <c r="F2439">
        <v>100</v>
      </c>
    </row>
    <row r="2440" spans="1:6" x14ac:dyDescent="0.2">
      <c r="A2440" s="2" t="str">
        <f>"5998200469084"</f>
        <v>5998200469084</v>
      </c>
      <c r="B2440" s="1" t="s">
        <v>2430</v>
      </c>
      <c r="C2440" s="9" t="s">
        <v>3400</v>
      </c>
      <c r="D2440" s="6">
        <v>120.08</v>
      </c>
      <c r="F2440">
        <v>100</v>
      </c>
    </row>
    <row r="2441" spans="1:6" x14ac:dyDescent="0.2">
      <c r="A2441" s="2" t="str">
        <f>"5998200474002"</f>
        <v>5998200474002</v>
      </c>
      <c r="B2441" s="1" t="s">
        <v>2431</v>
      </c>
      <c r="C2441" s="9" t="s">
        <v>3400</v>
      </c>
      <c r="D2441" s="6">
        <v>408.41</v>
      </c>
      <c r="F2441">
        <v>100</v>
      </c>
    </row>
    <row r="2442" spans="1:6" x14ac:dyDescent="0.2">
      <c r="A2442" s="2" t="str">
        <f>"42373308     "</f>
        <v xml:space="preserve">42373308     </v>
      </c>
      <c r="B2442" s="1" t="s">
        <v>2432</v>
      </c>
      <c r="C2442" s="9" t="s">
        <v>3400</v>
      </c>
      <c r="D2442" s="6">
        <v>154.54</v>
      </c>
      <c r="F2442">
        <v>100</v>
      </c>
    </row>
    <row r="2443" spans="1:6" x14ac:dyDescent="0.2">
      <c r="A2443" s="2" t="str">
        <f>"4025500135645"</f>
        <v>4025500135645</v>
      </c>
      <c r="B2443" s="1" t="s">
        <v>2433</v>
      </c>
      <c r="C2443" s="9" t="s">
        <v>3400</v>
      </c>
      <c r="D2443" s="6">
        <v>226.88</v>
      </c>
      <c r="F2443">
        <v>100</v>
      </c>
    </row>
    <row r="2444" spans="1:6" x14ac:dyDescent="0.2">
      <c r="A2444" s="2" t="str">
        <f>"4025500132446"</f>
        <v>4025500132446</v>
      </c>
      <c r="B2444" s="1" t="s">
        <v>2434</v>
      </c>
      <c r="C2444" s="9" t="s">
        <v>3400</v>
      </c>
      <c r="D2444" s="6">
        <v>227.17</v>
      </c>
      <c r="F2444">
        <v>100</v>
      </c>
    </row>
    <row r="2445" spans="1:6" x14ac:dyDescent="0.2">
      <c r="A2445" s="2" t="str">
        <f>"8594000681557"</f>
        <v>8594000681557</v>
      </c>
      <c r="B2445" s="1" t="s">
        <v>2435</v>
      </c>
      <c r="C2445" s="9" t="s">
        <v>3400</v>
      </c>
      <c r="D2445" s="6">
        <v>320.83</v>
      </c>
      <c r="F2445">
        <v>100</v>
      </c>
    </row>
    <row r="2446" spans="1:6" x14ac:dyDescent="0.2">
      <c r="A2446" s="2" t="str">
        <f>"5998200566462"</f>
        <v>5998200566462</v>
      </c>
      <c r="B2446" s="1" t="s">
        <v>2436</v>
      </c>
      <c r="C2446" s="9" t="s">
        <v>3400</v>
      </c>
      <c r="D2446" s="6">
        <v>187.37</v>
      </c>
      <c r="F2446">
        <v>100</v>
      </c>
    </row>
    <row r="2447" spans="1:6" x14ac:dyDescent="0.2">
      <c r="A2447" s="2" t="str">
        <f>"5998200566837"</f>
        <v>5998200566837</v>
      </c>
      <c r="B2447" s="1" t="s">
        <v>2437</v>
      </c>
      <c r="C2447" s="9" t="s">
        <v>3400</v>
      </c>
      <c r="D2447" s="6">
        <v>188.89</v>
      </c>
      <c r="F2447">
        <v>100</v>
      </c>
    </row>
    <row r="2448" spans="1:6" x14ac:dyDescent="0.2">
      <c r="A2448" s="2" t="str">
        <f>"5999880625906"</f>
        <v>5999880625906</v>
      </c>
      <c r="B2448" s="1" t="s">
        <v>2438</v>
      </c>
      <c r="C2448" s="9" t="s">
        <v>3400</v>
      </c>
      <c r="D2448" s="6">
        <v>288.18</v>
      </c>
      <c r="F2448">
        <v>100</v>
      </c>
    </row>
    <row r="2449" spans="1:6" x14ac:dyDescent="0.2">
      <c r="A2449" s="2" t="str">
        <f>"5998201222046"</f>
        <v>5998201222046</v>
      </c>
      <c r="B2449" s="1" t="s">
        <v>2439</v>
      </c>
      <c r="C2449" s="9" t="s">
        <v>3400</v>
      </c>
      <c r="D2449" s="6">
        <v>211.28</v>
      </c>
      <c r="F2449">
        <v>100</v>
      </c>
    </row>
    <row r="2450" spans="1:6" x14ac:dyDescent="0.2">
      <c r="A2450" s="2" t="str">
        <f>"5998201222503"</f>
        <v>5998201222503</v>
      </c>
      <c r="B2450" s="1" t="s">
        <v>2440</v>
      </c>
      <c r="C2450" s="9" t="s">
        <v>3400</v>
      </c>
      <c r="D2450" s="6">
        <v>195.88</v>
      </c>
      <c r="F2450">
        <v>100</v>
      </c>
    </row>
    <row r="2451" spans="1:6" x14ac:dyDescent="0.2">
      <c r="A2451" s="2" t="str">
        <f>"5998201215215"</f>
        <v>5998201215215</v>
      </c>
      <c r="B2451" s="1" t="s">
        <v>2441</v>
      </c>
      <c r="C2451" s="9" t="s">
        <v>3400</v>
      </c>
      <c r="D2451" s="6">
        <v>265.97000000000003</v>
      </c>
      <c r="F2451">
        <v>100</v>
      </c>
    </row>
    <row r="2452" spans="1:6" x14ac:dyDescent="0.2">
      <c r="A2452" s="2" t="str">
        <f>"5998201216113"</f>
        <v>5998201216113</v>
      </c>
      <c r="B2452" s="1" t="s">
        <v>2442</v>
      </c>
      <c r="C2452" s="9" t="s">
        <v>3400</v>
      </c>
      <c r="D2452" s="6">
        <v>272.32</v>
      </c>
      <c r="F2452">
        <v>100</v>
      </c>
    </row>
    <row r="2453" spans="1:6" x14ac:dyDescent="0.2">
      <c r="A2453" s="2" t="str">
        <f>"2800465000000"</f>
        <v>2800465000000</v>
      </c>
      <c r="B2453" s="1" t="s">
        <v>2443</v>
      </c>
      <c r="C2453" s="9" t="s">
        <v>3400</v>
      </c>
      <c r="D2453" s="6">
        <v>3283.7</v>
      </c>
      <c r="F2453">
        <v>100</v>
      </c>
    </row>
    <row r="2454" spans="1:6" x14ac:dyDescent="0.2">
      <c r="A2454" s="2" t="str">
        <f>"2800502000000"</f>
        <v>2800502000000</v>
      </c>
      <c r="B2454" s="1" t="s">
        <v>2444</v>
      </c>
      <c r="C2454" s="9" t="s">
        <v>3400</v>
      </c>
      <c r="D2454" s="6">
        <v>2273.58</v>
      </c>
      <c r="F2454">
        <v>100</v>
      </c>
    </row>
    <row r="2455" spans="1:6" x14ac:dyDescent="0.2">
      <c r="A2455" s="2" t="str">
        <f>"5997490187722"</f>
        <v>5997490187722</v>
      </c>
      <c r="B2455" s="1" t="s">
        <v>2445</v>
      </c>
      <c r="C2455" s="9" t="s">
        <v>3376</v>
      </c>
      <c r="D2455" s="6">
        <v>202.25</v>
      </c>
      <c r="F2455">
        <v>100</v>
      </c>
    </row>
    <row r="2456" spans="1:6" x14ac:dyDescent="0.2">
      <c r="A2456" s="2" t="str">
        <f>"5997490113790"</f>
        <v>5997490113790</v>
      </c>
      <c r="B2456" s="1" t="s">
        <v>2446</v>
      </c>
      <c r="C2456" s="9" t="s">
        <v>3376</v>
      </c>
      <c r="D2456" s="6">
        <v>204.06</v>
      </c>
      <c r="F2456">
        <v>100</v>
      </c>
    </row>
    <row r="2457" spans="1:6" x14ac:dyDescent="0.2">
      <c r="A2457" s="2" t="str">
        <f>"5997490112045"</f>
        <v>5997490112045</v>
      </c>
      <c r="B2457" s="1" t="s">
        <v>2447</v>
      </c>
      <c r="C2457" s="9" t="s">
        <v>3376</v>
      </c>
      <c r="D2457" s="6">
        <v>283.24</v>
      </c>
      <c r="F2457">
        <v>100</v>
      </c>
    </row>
    <row r="2458" spans="1:6" x14ac:dyDescent="0.2">
      <c r="A2458" s="2" t="str">
        <f>"5998089101105"</f>
        <v>5998089101105</v>
      </c>
      <c r="B2458" s="1" t="s">
        <v>2448</v>
      </c>
      <c r="C2458" s="9" t="s">
        <v>3432</v>
      </c>
      <c r="D2458" s="6">
        <v>180</v>
      </c>
      <c r="F2458">
        <v>100</v>
      </c>
    </row>
    <row r="2459" spans="1:6" x14ac:dyDescent="0.2">
      <c r="A2459" s="2" t="str">
        <f>"5997132559061"</f>
        <v>5997132559061</v>
      </c>
      <c r="B2459" s="1" t="s">
        <v>2449</v>
      </c>
      <c r="C2459" s="9" t="s">
        <v>3376</v>
      </c>
      <c r="D2459" s="6">
        <v>260.82</v>
      </c>
      <c r="F2459">
        <v>100</v>
      </c>
    </row>
    <row r="2460" spans="1:6" x14ac:dyDescent="0.2">
      <c r="A2460" s="2" t="str">
        <f>"5997132563327"</f>
        <v>5997132563327</v>
      </c>
      <c r="B2460" s="1" t="s">
        <v>2450</v>
      </c>
      <c r="C2460" s="9" t="s">
        <v>3376</v>
      </c>
      <c r="D2460" s="6">
        <v>202.99</v>
      </c>
      <c r="F2460">
        <v>100</v>
      </c>
    </row>
    <row r="2461" spans="1:6" x14ac:dyDescent="0.2">
      <c r="A2461" s="2" t="str">
        <f>"5997132506669"</f>
        <v>5997132506669</v>
      </c>
      <c r="B2461" s="1" t="s">
        <v>2451</v>
      </c>
      <c r="C2461" s="9" t="s">
        <v>3376</v>
      </c>
      <c r="D2461" s="6">
        <v>278.89</v>
      </c>
      <c r="F2461">
        <v>100</v>
      </c>
    </row>
    <row r="2462" spans="1:6" x14ac:dyDescent="0.2">
      <c r="A2462" s="2" t="str">
        <f>"5997490187708"</f>
        <v>5997490187708</v>
      </c>
      <c r="B2462" s="1" t="s">
        <v>2452</v>
      </c>
      <c r="C2462" s="9" t="s">
        <v>3376</v>
      </c>
      <c r="D2462" s="6">
        <v>204.04</v>
      </c>
      <c r="F2462">
        <v>100</v>
      </c>
    </row>
    <row r="2463" spans="1:6" x14ac:dyDescent="0.2">
      <c r="A2463" s="2" t="str">
        <f>"5997222302119"</f>
        <v>5997222302119</v>
      </c>
      <c r="B2463" s="1" t="s">
        <v>2453</v>
      </c>
      <c r="C2463" s="9" t="s">
        <v>3376</v>
      </c>
      <c r="D2463" s="6">
        <v>169.8</v>
      </c>
      <c r="F2463">
        <v>100</v>
      </c>
    </row>
    <row r="2464" spans="1:6" x14ac:dyDescent="0.2">
      <c r="A2464" s="2" t="str">
        <f>"5997222302201"</f>
        <v>5997222302201</v>
      </c>
      <c r="B2464" s="1" t="s">
        <v>2454</v>
      </c>
      <c r="C2464" s="9" t="s">
        <v>3376</v>
      </c>
      <c r="D2464" s="6">
        <v>211.73</v>
      </c>
      <c r="F2464">
        <v>100</v>
      </c>
    </row>
    <row r="2465" spans="1:6" x14ac:dyDescent="0.2">
      <c r="A2465" s="2" t="str">
        <f>"5997222305776"</f>
        <v>5997222305776</v>
      </c>
      <c r="B2465" s="1" t="s">
        <v>2455</v>
      </c>
      <c r="C2465" s="9" t="s">
        <v>3376</v>
      </c>
      <c r="D2465" s="6">
        <v>206.53</v>
      </c>
      <c r="F2465">
        <v>100</v>
      </c>
    </row>
    <row r="2466" spans="1:6" x14ac:dyDescent="0.2">
      <c r="A2466" s="2" t="str">
        <f>"5998400380868"</f>
        <v>5998400380868</v>
      </c>
      <c r="B2466" s="1" t="s">
        <v>2456</v>
      </c>
      <c r="C2466" s="9" t="s">
        <v>3375</v>
      </c>
      <c r="D2466" s="6">
        <v>238.83</v>
      </c>
      <c r="F2466">
        <v>100</v>
      </c>
    </row>
    <row r="2467" spans="1:6" x14ac:dyDescent="0.2">
      <c r="A2467" s="2" t="str">
        <f>"5997132565611"</f>
        <v>5997132565611</v>
      </c>
      <c r="B2467" s="1" t="s">
        <v>2457</v>
      </c>
      <c r="C2467" s="9" t="s">
        <v>3376</v>
      </c>
      <c r="D2467" s="6">
        <v>118.3</v>
      </c>
      <c r="F2467">
        <v>100</v>
      </c>
    </row>
    <row r="2468" spans="1:6" x14ac:dyDescent="0.2">
      <c r="A2468" s="2" t="str">
        <f>"5997132506430"</f>
        <v>5997132506430</v>
      </c>
      <c r="B2468" s="1" t="s">
        <v>2458</v>
      </c>
      <c r="C2468" s="9" t="s">
        <v>3376</v>
      </c>
      <c r="D2468" s="6">
        <v>303.29000000000002</v>
      </c>
      <c r="F2468">
        <v>100</v>
      </c>
    </row>
    <row r="2469" spans="1:6" x14ac:dyDescent="0.2">
      <c r="A2469" s="2" t="str">
        <f>"5997132506690"</f>
        <v>5997132506690</v>
      </c>
      <c r="B2469" s="1" t="s">
        <v>2459</v>
      </c>
      <c r="C2469" s="9" t="s">
        <v>3376</v>
      </c>
      <c r="D2469" s="6">
        <v>289.48</v>
      </c>
      <c r="F2469">
        <v>100</v>
      </c>
    </row>
    <row r="2470" spans="1:6" x14ac:dyDescent="0.2">
      <c r="A2470" s="2" t="str">
        <f>"5998089182302"</f>
        <v>5998089182302</v>
      </c>
      <c r="B2470" s="1" t="s">
        <v>2460</v>
      </c>
      <c r="C2470" s="9" t="s">
        <v>3432</v>
      </c>
      <c r="D2470" s="6">
        <v>180</v>
      </c>
      <c r="F2470">
        <v>100</v>
      </c>
    </row>
    <row r="2471" spans="1:6" x14ac:dyDescent="0.2">
      <c r="A2471" s="2" t="str">
        <f>"5997222305899"</f>
        <v>5997222305899</v>
      </c>
      <c r="B2471" s="1" t="s">
        <v>2461</v>
      </c>
      <c r="C2471" s="9" t="s">
        <v>3376</v>
      </c>
      <c r="D2471" s="6">
        <v>203.78</v>
      </c>
      <c r="F2471">
        <v>100</v>
      </c>
    </row>
    <row r="2472" spans="1:6" x14ac:dyDescent="0.2">
      <c r="A2472" s="2" t="str">
        <f>"5997490113783"</f>
        <v>5997490113783</v>
      </c>
      <c r="B2472" s="1" t="s">
        <v>2462</v>
      </c>
      <c r="C2472" s="9" t="s">
        <v>3376</v>
      </c>
      <c r="D2472" s="6">
        <v>203.41</v>
      </c>
      <c r="F2472">
        <v>100</v>
      </c>
    </row>
    <row r="2473" spans="1:6" x14ac:dyDescent="0.2">
      <c r="A2473" s="2" t="str">
        <f>"5998400380431"</f>
        <v>5998400380431</v>
      </c>
      <c r="B2473" s="1" t="s">
        <v>2463</v>
      </c>
      <c r="C2473" s="9" t="s">
        <v>3375</v>
      </c>
      <c r="D2473" s="6">
        <v>244.02</v>
      </c>
      <c r="F2473">
        <v>100</v>
      </c>
    </row>
    <row r="2474" spans="1:6" x14ac:dyDescent="0.2">
      <c r="A2474" s="2" t="str">
        <f>"5997132506638"</f>
        <v>5997132506638</v>
      </c>
      <c r="B2474" s="1" t="s">
        <v>2464</v>
      </c>
      <c r="C2474" s="9" t="s">
        <v>3376</v>
      </c>
      <c r="D2474" s="6">
        <v>291.64999999999998</v>
      </c>
      <c r="F2474">
        <v>100</v>
      </c>
    </row>
    <row r="2475" spans="1:6" x14ac:dyDescent="0.2">
      <c r="A2475" s="2" t="str">
        <f>"5997132559573"</f>
        <v>5997132559573</v>
      </c>
      <c r="B2475" s="1" t="s">
        <v>2465</v>
      </c>
      <c r="C2475" s="9" t="s">
        <v>3376</v>
      </c>
      <c r="D2475" s="6">
        <v>313.51</v>
      </c>
      <c r="F2475">
        <v>100</v>
      </c>
    </row>
    <row r="2476" spans="1:6" x14ac:dyDescent="0.2">
      <c r="A2476" s="2" t="str">
        <f>"5997132560043"</f>
        <v>5997132560043</v>
      </c>
      <c r="B2476" s="1" t="s">
        <v>2466</v>
      </c>
      <c r="C2476" s="9" t="s">
        <v>3376</v>
      </c>
      <c r="D2476" s="6">
        <v>544.16</v>
      </c>
      <c r="F2476">
        <v>100</v>
      </c>
    </row>
    <row r="2477" spans="1:6" x14ac:dyDescent="0.2">
      <c r="A2477" s="2" t="str">
        <f>"5997132506423"</f>
        <v>5997132506423</v>
      </c>
      <c r="B2477" s="1" t="s">
        <v>2467</v>
      </c>
      <c r="C2477" s="9" t="s">
        <v>3376</v>
      </c>
      <c r="D2477" s="6">
        <v>283.54000000000002</v>
      </c>
      <c r="F2477">
        <v>100</v>
      </c>
    </row>
    <row r="2478" spans="1:6" x14ac:dyDescent="0.2">
      <c r="A2478" s="2" t="str">
        <f>"5998089101099"</f>
        <v>5998089101099</v>
      </c>
      <c r="B2478" s="1" t="s">
        <v>2468</v>
      </c>
      <c r="C2478" s="9" t="s">
        <v>3432</v>
      </c>
      <c r="D2478" s="6">
        <v>180</v>
      </c>
      <c r="F2478">
        <v>100</v>
      </c>
    </row>
    <row r="2479" spans="1:6" x14ac:dyDescent="0.2">
      <c r="A2479" s="2" t="str">
        <f>"5998089109019"</f>
        <v>5998089109019</v>
      </c>
      <c r="B2479" s="1" t="s">
        <v>2469</v>
      </c>
      <c r="C2479" s="9" t="s">
        <v>3432</v>
      </c>
      <c r="D2479" s="6">
        <v>180</v>
      </c>
      <c r="F2479">
        <v>100</v>
      </c>
    </row>
    <row r="2480" spans="1:6" x14ac:dyDescent="0.2">
      <c r="A2480" s="2" t="str">
        <f>"5997490187746"</f>
        <v>5997490187746</v>
      </c>
      <c r="B2480" s="1" t="s">
        <v>2470</v>
      </c>
      <c r="C2480" s="9" t="s">
        <v>3376</v>
      </c>
      <c r="D2480" s="6">
        <v>201.95</v>
      </c>
      <c r="F2480">
        <v>100</v>
      </c>
    </row>
    <row r="2481" spans="1:6" x14ac:dyDescent="0.2">
      <c r="A2481" s="2" t="str">
        <f>"5997490114872"</f>
        <v>5997490114872</v>
      </c>
      <c r="B2481" s="1" t="s">
        <v>2471</v>
      </c>
      <c r="C2481" s="9" t="s">
        <v>3376</v>
      </c>
      <c r="D2481" s="6">
        <v>180.22</v>
      </c>
      <c r="F2481">
        <v>100</v>
      </c>
    </row>
    <row r="2482" spans="1:6" x14ac:dyDescent="0.2">
      <c r="A2482" s="2" t="str">
        <f>"5997490187760"</f>
        <v>5997490187760</v>
      </c>
      <c r="B2482" s="1" t="s">
        <v>2472</v>
      </c>
      <c r="C2482" s="9" t="s">
        <v>3376</v>
      </c>
      <c r="D2482" s="6">
        <v>203.91</v>
      </c>
      <c r="F2482">
        <v>100</v>
      </c>
    </row>
    <row r="2483" spans="1:6" x14ac:dyDescent="0.2">
      <c r="A2483" s="2" t="str">
        <f>"5997490110171"</f>
        <v>5997490110171</v>
      </c>
      <c r="B2483" s="1" t="s">
        <v>2473</v>
      </c>
      <c r="C2483" s="9" t="s">
        <v>3376</v>
      </c>
      <c r="D2483" s="6">
        <v>201.31</v>
      </c>
      <c r="F2483">
        <v>100</v>
      </c>
    </row>
    <row r="2484" spans="1:6" x14ac:dyDescent="0.2">
      <c r="A2484" s="2" t="str">
        <f>"5998400306134"</f>
        <v>5998400306134</v>
      </c>
      <c r="B2484" s="1" t="s">
        <v>2474</v>
      </c>
      <c r="C2484" s="9" t="s">
        <v>3375</v>
      </c>
      <c r="D2484" s="6">
        <v>254.39</v>
      </c>
      <c r="F2484">
        <v>100</v>
      </c>
    </row>
    <row r="2485" spans="1:6" x14ac:dyDescent="0.2">
      <c r="A2485" s="2" t="str">
        <f>"5997132504054"</f>
        <v>5997132504054</v>
      </c>
      <c r="B2485" s="1" t="s">
        <v>2475</v>
      </c>
      <c r="C2485" s="9" t="s">
        <v>3376</v>
      </c>
      <c r="D2485" s="6">
        <v>216.92</v>
      </c>
      <c r="F2485">
        <v>100</v>
      </c>
    </row>
    <row r="2486" spans="1:6" x14ac:dyDescent="0.2">
      <c r="A2486" s="2" t="str">
        <f>"5997132506607"</f>
        <v>5997132506607</v>
      </c>
      <c r="B2486" s="1" t="s">
        <v>2476</v>
      </c>
      <c r="C2486" s="9" t="s">
        <v>3376</v>
      </c>
      <c r="D2486" s="6">
        <v>311.8</v>
      </c>
      <c r="F2486">
        <v>100</v>
      </c>
    </row>
    <row r="2487" spans="1:6" x14ac:dyDescent="0.2">
      <c r="A2487" s="2" t="str">
        <f>"5997132504009"</f>
        <v>5997132504009</v>
      </c>
      <c r="B2487" s="1" t="s">
        <v>2477</v>
      </c>
      <c r="C2487" s="9" t="s">
        <v>3376</v>
      </c>
      <c r="D2487" s="6">
        <v>194.73</v>
      </c>
      <c r="F2487">
        <v>100</v>
      </c>
    </row>
    <row r="2488" spans="1:6" x14ac:dyDescent="0.2">
      <c r="A2488" s="2" t="str">
        <f>"5997132506416"</f>
        <v>5997132506416</v>
      </c>
      <c r="B2488" s="1" t="s">
        <v>2478</v>
      </c>
      <c r="C2488" s="9" t="s">
        <v>3376</v>
      </c>
      <c r="D2488" s="6">
        <v>288.81</v>
      </c>
      <c r="F2488">
        <v>100</v>
      </c>
    </row>
    <row r="2489" spans="1:6" x14ac:dyDescent="0.2">
      <c r="A2489" s="2" t="str">
        <f>"5997132506539"</f>
        <v>5997132506539</v>
      </c>
      <c r="B2489" s="1" t="s">
        <v>2479</v>
      </c>
      <c r="C2489" s="9" t="s">
        <v>3376</v>
      </c>
      <c r="D2489" s="6">
        <v>279.62</v>
      </c>
      <c r="F2489">
        <v>100</v>
      </c>
    </row>
    <row r="2490" spans="1:6" x14ac:dyDescent="0.2">
      <c r="A2490" s="2" t="str">
        <f>"5998089111159"</f>
        <v>5998089111159</v>
      </c>
      <c r="B2490" s="1" t="s">
        <v>2480</v>
      </c>
      <c r="C2490" s="9" t="s">
        <v>3432</v>
      </c>
      <c r="D2490" s="6">
        <v>240</v>
      </c>
      <c r="F2490">
        <v>100</v>
      </c>
    </row>
    <row r="2491" spans="1:6" x14ac:dyDescent="0.2">
      <c r="A2491" s="2" t="str">
        <f>"5998089108012"</f>
        <v>5998089108012</v>
      </c>
      <c r="B2491" s="1" t="s">
        <v>2481</v>
      </c>
      <c r="C2491" s="9" t="s">
        <v>3432</v>
      </c>
      <c r="D2491" s="6">
        <v>240</v>
      </c>
      <c r="F2491">
        <v>100</v>
      </c>
    </row>
    <row r="2492" spans="1:6" x14ac:dyDescent="0.2">
      <c r="A2492" s="2" t="str">
        <f>"5998089109033"</f>
        <v>5998089109033</v>
      </c>
      <c r="B2492" s="1" t="s">
        <v>2482</v>
      </c>
      <c r="C2492" s="9" t="s">
        <v>3432</v>
      </c>
      <c r="D2492" s="6">
        <v>180</v>
      </c>
      <c r="F2492">
        <v>100</v>
      </c>
    </row>
    <row r="2493" spans="1:6" x14ac:dyDescent="0.2">
      <c r="A2493" s="2" t="str">
        <f>"5997132506553"</f>
        <v>5997132506553</v>
      </c>
      <c r="B2493" s="1" t="s">
        <v>2483</v>
      </c>
      <c r="C2493" s="9" t="s">
        <v>3376</v>
      </c>
      <c r="D2493" s="6">
        <v>302.63</v>
      </c>
      <c r="F2493">
        <v>100</v>
      </c>
    </row>
    <row r="2494" spans="1:6" x14ac:dyDescent="0.2">
      <c r="A2494" s="2" t="str">
        <f>"5997132560753"</f>
        <v>5997132560753</v>
      </c>
      <c r="B2494" s="1" t="s">
        <v>2484</v>
      </c>
      <c r="C2494" s="9" t="s">
        <v>3426</v>
      </c>
      <c r="D2494" s="6">
        <v>142.24</v>
      </c>
      <c r="F2494">
        <v>100</v>
      </c>
    </row>
    <row r="2495" spans="1:6" x14ac:dyDescent="0.2">
      <c r="A2495" s="2" t="str">
        <f>"5997132504047"</f>
        <v>5997132504047</v>
      </c>
      <c r="B2495" s="1" t="s">
        <v>2485</v>
      </c>
      <c r="C2495" s="9" t="s">
        <v>3376</v>
      </c>
      <c r="D2495" s="6">
        <v>213.49</v>
      </c>
      <c r="F2495">
        <v>100</v>
      </c>
    </row>
    <row r="2496" spans="1:6" x14ac:dyDescent="0.2">
      <c r="A2496" s="2" t="str">
        <f>"5997132506447"</f>
        <v>5997132506447</v>
      </c>
      <c r="B2496" s="1" t="s">
        <v>2486</v>
      </c>
      <c r="C2496" s="9" t="s">
        <v>3376</v>
      </c>
      <c r="D2496" s="6">
        <v>273.76</v>
      </c>
      <c r="F2496">
        <v>100</v>
      </c>
    </row>
    <row r="2497" spans="1:6" x14ac:dyDescent="0.2">
      <c r="A2497" s="2" t="str">
        <f>"5997132506614"</f>
        <v>5997132506614</v>
      </c>
      <c r="B2497" s="1" t="s">
        <v>2487</v>
      </c>
      <c r="C2497" s="9" t="s">
        <v>3376</v>
      </c>
      <c r="D2497" s="6">
        <v>289.33</v>
      </c>
      <c r="F2497">
        <v>100</v>
      </c>
    </row>
    <row r="2498" spans="1:6" x14ac:dyDescent="0.2">
      <c r="A2498" s="2" t="str">
        <f>"5997132506584"</f>
        <v>5997132506584</v>
      </c>
      <c r="B2498" s="1" t="s">
        <v>2488</v>
      </c>
      <c r="C2498" s="9" t="s">
        <v>3376</v>
      </c>
      <c r="D2498" s="6">
        <v>281.25</v>
      </c>
      <c r="F2498">
        <v>100</v>
      </c>
    </row>
    <row r="2499" spans="1:6" x14ac:dyDescent="0.2">
      <c r="A2499" s="2" t="str">
        <f>"5997132504061"</f>
        <v>5997132504061</v>
      </c>
      <c r="B2499" s="1" t="s">
        <v>2489</v>
      </c>
      <c r="C2499" s="9" t="s">
        <v>3376</v>
      </c>
      <c r="D2499" s="6">
        <v>212.11</v>
      </c>
      <c r="F2499">
        <v>100</v>
      </c>
    </row>
    <row r="2500" spans="1:6" x14ac:dyDescent="0.2">
      <c r="A2500" s="2" t="str">
        <f>"5998089101129"</f>
        <v>5998089101129</v>
      </c>
      <c r="B2500" s="1" t="s">
        <v>2490</v>
      </c>
      <c r="C2500" s="9" t="s">
        <v>3432</v>
      </c>
      <c r="D2500" s="6">
        <v>180</v>
      </c>
      <c r="F2500">
        <v>100</v>
      </c>
    </row>
    <row r="2501" spans="1:6" x14ac:dyDescent="0.2">
      <c r="A2501" s="2" t="str">
        <f>"5998089108517"</f>
        <v>5998089108517</v>
      </c>
      <c r="B2501" s="1" t="s">
        <v>2491</v>
      </c>
      <c r="C2501" s="9" t="s">
        <v>3432</v>
      </c>
      <c r="D2501" s="6">
        <v>177.83</v>
      </c>
      <c r="F2501">
        <v>100</v>
      </c>
    </row>
    <row r="2502" spans="1:6" x14ac:dyDescent="0.2">
      <c r="A2502" s="2" t="str">
        <f>"5998089109521"</f>
        <v>5998089109521</v>
      </c>
      <c r="B2502" s="1" t="s">
        <v>2492</v>
      </c>
      <c r="C2502" s="9" t="s">
        <v>3432</v>
      </c>
      <c r="D2502" s="6">
        <v>180</v>
      </c>
      <c r="F2502">
        <v>100</v>
      </c>
    </row>
    <row r="2503" spans="1:6" x14ac:dyDescent="0.2">
      <c r="A2503" s="2" t="str">
        <f>"5998089103017"</f>
        <v>5998089103017</v>
      </c>
      <c r="B2503" s="1" t="s">
        <v>2493</v>
      </c>
      <c r="C2503" s="9" t="s">
        <v>3432</v>
      </c>
      <c r="D2503" s="6">
        <v>180</v>
      </c>
      <c r="F2503">
        <v>100</v>
      </c>
    </row>
    <row r="2504" spans="1:6" x14ac:dyDescent="0.2">
      <c r="A2504" s="2" t="str">
        <f>"5998089103024"</f>
        <v>5998089103024</v>
      </c>
      <c r="B2504" s="1" t="s">
        <v>2494</v>
      </c>
      <c r="C2504" s="9" t="s">
        <v>3432</v>
      </c>
      <c r="D2504" s="6">
        <v>180</v>
      </c>
      <c r="F2504">
        <v>100</v>
      </c>
    </row>
    <row r="2505" spans="1:6" x14ac:dyDescent="0.2">
      <c r="A2505" s="2" t="str">
        <f>"5998089101082"</f>
        <v>5998089101082</v>
      </c>
      <c r="B2505" s="1" t="s">
        <v>2495</v>
      </c>
      <c r="C2505" s="9" t="s">
        <v>3432</v>
      </c>
      <c r="D2505" s="6">
        <v>240</v>
      </c>
      <c r="F2505">
        <v>100</v>
      </c>
    </row>
    <row r="2506" spans="1:6" x14ac:dyDescent="0.2">
      <c r="A2506" s="2" t="str">
        <f>"5998089111142"</f>
        <v>5998089111142</v>
      </c>
      <c r="B2506" s="1" t="s">
        <v>2496</v>
      </c>
      <c r="C2506" s="9" t="s">
        <v>3432</v>
      </c>
      <c r="D2506" s="6">
        <v>240</v>
      </c>
      <c r="F2506">
        <v>100</v>
      </c>
    </row>
    <row r="2507" spans="1:6" x14ac:dyDescent="0.2">
      <c r="A2507" s="2" t="str">
        <f>"8008857400839"</f>
        <v>8008857400839</v>
      </c>
      <c r="B2507" s="1" t="s">
        <v>2497</v>
      </c>
      <c r="C2507" s="9" t="s">
        <v>3375</v>
      </c>
      <c r="D2507" s="6">
        <v>254.39</v>
      </c>
      <c r="F2507">
        <v>100</v>
      </c>
    </row>
    <row r="2508" spans="1:6" x14ac:dyDescent="0.2">
      <c r="A2508" s="2" t="str">
        <f>"5999886831080"</f>
        <v>5999886831080</v>
      </c>
      <c r="B2508" s="1" t="s">
        <v>2498</v>
      </c>
      <c r="C2508" s="9" t="s">
        <v>3433</v>
      </c>
      <c r="D2508" s="6">
        <v>352.13</v>
      </c>
      <c r="F2508">
        <v>100</v>
      </c>
    </row>
    <row r="2509" spans="1:6" x14ac:dyDescent="0.2">
      <c r="A2509" s="2" t="str">
        <f>"5999886831073"</f>
        <v>5999886831073</v>
      </c>
      <c r="B2509" s="1" t="s">
        <v>2499</v>
      </c>
      <c r="C2509" s="9" t="s">
        <v>3433</v>
      </c>
      <c r="D2509" s="6">
        <v>348.25</v>
      </c>
      <c r="F2509">
        <v>100</v>
      </c>
    </row>
    <row r="2510" spans="1:6" x14ac:dyDescent="0.2">
      <c r="A2510" s="2" t="str">
        <f>"1267         "</f>
        <v xml:space="preserve">1267         </v>
      </c>
      <c r="B2510" s="1" t="s">
        <v>2500</v>
      </c>
      <c r="C2510" s="9" t="s">
        <v>3434</v>
      </c>
      <c r="D2510" s="6">
        <v>24</v>
      </c>
      <c r="F2510">
        <v>100</v>
      </c>
    </row>
    <row r="2511" spans="1:6" x14ac:dyDescent="0.2">
      <c r="A2511" s="2" t="str">
        <f>"5999885704255"</f>
        <v>5999885704255</v>
      </c>
      <c r="B2511" s="1" t="s">
        <v>2501</v>
      </c>
      <c r="C2511" s="9" t="s">
        <v>3433</v>
      </c>
      <c r="D2511" s="6">
        <v>356.28</v>
      </c>
      <c r="F2511">
        <v>100</v>
      </c>
    </row>
    <row r="2512" spans="1:6" x14ac:dyDescent="0.2">
      <c r="A2512" s="2" t="str">
        <f>"8001620018170"</f>
        <v>8001620018170</v>
      </c>
      <c r="B2512" s="1" t="s">
        <v>2502</v>
      </c>
      <c r="C2512" s="9" t="s">
        <v>3377</v>
      </c>
      <c r="D2512" s="6">
        <v>284.04000000000002</v>
      </c>
      <c r="F2512">
        <v>100</v>
      </c>
    </row>
    <row r="2513" spans="1:6" x14ac:dyDescent="0.2">
      <c r="A2513" s="2" t="str">
        <f>"5449000130389"</f>
        <v>5449000130389</v>
      </c>
      <c r="B2513" s="1" t="s">
        <v>2503</v>
      </c>
      <c r="C2513" s="9" t="s">
        <v>3376</v>
      </c>
      <c r="D2513" s="6">
        <v>303.66000000000003</v>
      </c>
      <c r="F2513">
        <v>100</v>
      </c>
    </row>
    <row r="2514" spans="1:6" x14ac:dyDescent="0.2">
      <c r="A2514" s="2" t="str">
        <f>"5449000028921"</f>
        <v>5449000028921</v>
      </c>
      <c r="B2514" s="1" t="s">
        <v>2504</v>
      </c>
      <c r="C2514" s="9" t="s">
        <v>3376</v>
      </c>
      <c r="D2514" s="6">
        <v>263.81</v>
      </c>
      <c r="F2514">
        <v>100</v>
      </c>
    </row>
    <row r="2515" spans="1:6" x14ac:dyDescent="0.2">
      <c r="A2515" s="2" t="str">
        <f>"5449000214911"</f>
        <v>5449000214911</v>
      </c>
      <c r="B2515" s="1" t="s">
        <v>2505</v>
      </c>
      <c r="C2515" s="9" t="s">
        <v>3376</v>
      </c>
      <c r="D2515" s="6">
        <v>160.91</v>
      </c>
      <c r="F2515">
        <v>100</v>
      </c>
    </row>
    <row r="2516" spans="1:6" x14ac:dyDescent="0.2">
      <c r="A2516" s="2" t="str">
        <f>"5449000025173"</f>
        <v>5449000025173</v>
      </c>
      <c r="B2516" s="1" t="s">
        <v>2506</v>
      </c>
      <c r="C2516" s="9" t="s">
        <v>3376</v>
      </c>
      <c r="D2516" s="6">
        <v>444.81</v>
      </c>
      <c r="F2516">
        <v>100</v>
      </c>
    </row>
    <row r="2517" spans="1:6" x14ac:dyDescent="0.2">
      <c r="A2517" s="2" t="str">
        <f>"54491472     "</f>
        <v xml:space="preserve">54491472     </v>
      </c>
      <c r="B2517" s="1" t="s">
        <v>2507</v>
      </c>
      <c r="C2517" s="9" t="s">
        <v>3376</v>
      </c>
      <c r="D2517" s="6">
        <v>214.36</v>
      </c>
      <c r="F2517">
        <v>100</v>
      </c>
    </row>
    <row r="2518" spans="1:6" x14ac:dyDescent="0.2">
      <c r="A2518" s="2" t="str">
        <f>"5997264163877"</f>
        <v>5997264163877</v>
      </c>
      <c r="B2518" s="1" t="s">
        <v>2508</v>
      </c>
      <c r="C2518" s="9" t="s">
        <v>3386</v>
      </c>
      <c r="D2518" s="6">
        <v>160.02000000000001</v>
      </c>
      <c r="F2518">
        <v>100</v>
      </c>
    </row>
    <row r="2519" spans="1:6" x14ac:dyDescent="0.2">
      <c r="A2519" s="2" t="str">
        <f>"9008700179041"</f>
        <v>9008700179041</v>
      </c>
      <c r="B2519" s="1" t="s">
        <v>2509</v>
      </c>
      <c r="C2519" s="9" t="s">
        <v>3377</v>
      </c>
      <c r="D2519" s="6">
        <v>143.4</v>
      </c>
      <c r="F2519">
        <v>100</v>
      </c>
    </row>
    <row r="2520" spans="1:6" x14ac:dyDescent="0.2">
      <c r="A2520" s="2" t="str">
        <f>"5449000133724"</f>
        <v>5449000133724</v>
      </c>
      <c r="B2520" s="1" t="s">
        <v>2510</v>
      </c>
      <c r="C2520" s="9" t="s">
        <v>3376</v>
      </c>
      <c r="D2520" s="6">
        <v>261.37</v>
      </c>
      <c r="F2520">
        <v>100</v>
      </c>
    </row>
    <row r="2521" spans="1:6" x14ac:dyDescent="0.2">
      <c r="A2521" s="2" t="str">
        <f>"5997642111292"</f>
        <v>5997642111292</v>
      </c>
      <c r="B2521" s="1" t="s">
        <v>2511</v>
      </c>
      <c r="C2521" s="9" t="s">
        <v>3374</v>
      </c>
      <c r="D2521" s="6">
        <v>180.09</v>
      </c>
      <c r="F2521">
        <v>100</v>
      </c>
    </row>
    <row r="2522" spans="1:6" x14ac:dyDescent="0.2">
      <c r="A2522" s="2" t="str">
        <f>"8594008049229"</f>
        <v>8594008049229</v>
      </c>
      <c r="B2522" s="1" t="s">
        <v>2512</v>
      </c>
      <c r="C2522" s="9" t="s">
        <v>3386</v>
      </c>
      <c r="D2522" s="6">
        <v>165.84</v>
      </c>
      <c r="F2522">
        <v>100</v>
      </c>
    </row>
    <row r="2523" spans="1:6" x14ac:dyDescent="0.2">
      <c r="A2523" s="2" t="str">
        <f>"5900334000514"</f>
        <v>5900334000514</v>
      </c>
      <c r="B2523" s="1" t="s">
        <v>2513</v>
      </c>
      <c r="C2523" s="9" t="s">
        <v>3374</v>
      </c>
      <c r="D2523" s="6">
        <v>130.93</v>
      </c>
      <c r="F2523">
        <v>100</v>
      </c>
    </row>
    <row r="2524" spans="1:6" x14ac:dyDescent="0.2">
      <c r="A2524" s="2" t="str">
        <f>"5900334015723"</f>
        <v>5900334015723</v>
      </c>
      <c r="B2524" s="1" t="s">
        <v>2514</v>
      </c>
      <c r="C2524" s="9" t="s">
        <v>3374</v>
      </c>
      <c r="D2524" s="6">
        <v>102.52</v>
      </c>
      <c r="F2524">
        <v>100</v>
      </c>
    </row>
    <row r="2525" spans="1:6" x14ac:dyDescent="0.2">
      <c r="A2525" s="2" t="str">
        <f>"5449000214805"</f>
        <v>5449000214805</v>
      </c>
      <c r="B2525" s="1" t="s">
        <v>2515</v>
      </c>
      <c r="C2525" s="9" t="s">
        <v>3376</v>
      </c>
      <c r="D2525" s="6">
        <v>159.55000000000001</v>
      </c>
      <c r="F2525">
        <v>100</v>
      </c>
    </row>
    <row r="2526" spans="1:6" x14ac:dyDescent="0.2">
      <c r="A2526" s="2" t="str">
        <f>"5998815197389"</f>
        <v>5998815197389</v>
      </c>
      <c r="B2526" s="1" t="s">
        <v>2516</v>
      </c>
      <c r="C2526" s="9" t="s">
        <v>3374</v>
      </c>
      <c r="D2526" s="6">
        <v>72.760000000000005</v>
      </c>
      <c r="F2526">
        <v>100</v>
      </c>
    </row>
    <row r="2527" spans="1:6" x14ac:dyDescent="0.2">
      <c r="A2527" s="2" t="str">
        <f>"5998815116830"</f>
        <v>5998815116830</v>
      </c>
      <c r="B2527" s="1" t="s">
        <v>2517</v>
      </c>
      <c r="C2527" s="9" t="s">
        <v>3377</v>
      </c>
      <c r="D2527" s="6">
        <v>241.37</v>
      </c>
      <c r="F2527">
        <v>100</v>
      </c>
    </row>
    <row r="2528" spans="1:6" x14ac:dyDescent="0.2">
      <c r="A2528" s="2" t="str">
        <f>"5449000080806"</f>
        <v>5449000080806</v>
      </c>
      <c r="B2528" s="1" t="s">
        <v>2518</v>
      </c>
      <c r="C2528" s="9" t="s">
        <v>3376</v>
      </c>
      <c r="D2528" s="6">
        <v>307.75</v>
      </c>
      <c r="F2528">
        <v>100</v>
      </c>
    </row>
    <row r="2529" spans="1:6" x14ac:dyDescent="0.2">
      <c r="A2529" s="2" t="str">
        <f>"5449000226457"</f>
        <v>5449000226457</v>
      </c>
      <c r="B2529" s="1" t="s">
        <v>2519</v>
      </c>
      <c r="C2529" s="9" t="s">
        <v>3376</v>
      </c>
      <c r="D2529" s="6">
        <v>212.32</v>
      </c>
      <c r="F2529">
        <v>100</v>
      </c>
    </row>
    <row r="2530" spans="1:6" x14ac:dyDescent="0.2">
      <c r="A2530" s="2" t="str">
        <f>"5999860497073"</f>
        <v>5999860497073</v>
      </c>
      <c r="B2530" s="1" t="s">
        <v>2520</v>
      </c>
      <c r="C2530" s="9" t="s">
        <v>3395</v>
      </c>
      <c r="D2530" s="6">
        <v>220.02</v>
      </c>
      <c r="F2530">
        <v>100</v>
      </c>
    </row>
    <row r="2531" spans="1:6" x14ac:dyDescent="0.2">
      <c r="A2531" s="2" t="str">
        <f>"5449000235954"</f>
        <v>5449000235954</v>
      </c>
      <c r="B2531" s="1" t="s">
        <v>2521</v>
      </c>
      <c r="C2531" s="9" t="s">
        <v>3376</v>
      </c>
      <c r="D2531" s="6">
        <v>279.16000000000003</v>
      </c>
      <c r="F2531">
        <v>100</v>
      </c>
    </row>
    <row r="2532" spans="1:6" x14ac:dyDescent="0.2">
      <c r="A2532" s="2" t="str">
        <f>"5998815115680"</f>
        <v>5998815115680</v>
      </c>
      <c r="B2532" s="1" t="s">
        <v>2522</v>
      </c>
      <c r="C2532" s="9" t="s">
        <v>3377</v>
      </c>
      <c r="D2532" s="6">
        <v>233.15</v>
      </c>
      <c r="F2532">
        <v>100</v>
      </c>
    </row>
    <row r="2533" spans="1:6" x14ac:dyDescent="0.2">
      <c r="A2533" s="2" t="str">
        <f>"5449000132499"</f>
        <v>5449000132499</v>
      </c>
      <c r="B2533" s="1" t="s">
        <v>2523</v>
      </c>
      <c r="C2533" s="9" t="s">
        <v>3376</v>
      </c>
      <c r="D2533" s="6">
        <v>304</v>
      </c>
      <c r="F2533">
        <v>100</v>
      </c>
    </row>
    <row r="2534" spans="1:6" x14ac:dyDescent="0.2">
      <c r="A2534" s="2" t="str">
        <f>"40822938     "</f>
        <v xml:space="preserve">40822938     </v>
      </c>
      <c r="B2534" s="1" t="s">
        <v>2524</v>
      </c>
      <c r="C2534" s="9" t="s">
        <v>3376</v>
      </c>
      <c r="D2534" s="6">
        <v>215.93</v>
      </c>
      <c r="F2534">
        <v>100</v>
      </c>
    </row>
    <row r="2535" spans="1:6" x14ac:dyDescent="0.2">
      <c r="A2535" s="2" t="str">
        <f>"5998815195804"</f>
        <v>5998815195804</v>
      </c>
      <c r="B2535" s="1" t="s">
        <v>2525</v>
      </c>
      <c r="C2535" s="9" t="s">
        <v>3377</v>
      </c>
      <c r="D2535" s="6">
        <v>72.760000000000005</v>
      </c>
      <c r="F2535">
        <v>100</v>
      </c>
    </row>
    <row r="2536" spans="1:6" x14ac:dyDescent="0.2">
      <c r="A2536" s="2" t="str">
        <f>"5998815115444"</f>
        <v>5998815115444</v>
      </c>
      <c r="B2536" s="1" t="s">
        <v>2526</v>
      </c>
      <c r="C2536" s="9" t="s">
        <v>3377</v>
      </c>
      <c r="D2536" s="6">
        <v>240.88</v>
      </c>
      <c r="F2536">
        <v>100</v>
      </c>
    </row>
    <row r="2537" spans="1:6" x14ac:dyDescent="0.2">
      <c r="A2537" s="2" t="str">
        <f>"9008700179102"</f>
        <v>9008700179102</v>
      </c>
      <c r="B2537" s="1" t="s">
        <v>2527</v>
      </c>
      <c r="C2537" s="9" t="s">
        <v>3377</v>
      </c>
      <c r="D2537" s="6">
        <v>221.56</v>
      </c>
      <c r="F2537">
        <v>100</v>
      </c>
    </row>
    <row r="2538" spans="1:6" x14ac:dyDescent="0.2">
      <c r="A2538" s="2" t="str">
        <f>"5900334003423"</f>
        <v>5900334003423</v>
      </c>
      <c r="B2538" s="1" t="s">
        <v>2528</v>
      </c>
      <c r="C2538" s="9" t="s">
        <v>3377</v>
      </c>
      <c r="D2538" s="6">
        <v>270.56</v>
      </c>
      <c r="F2538">
        <v>100</v>
      </c>
    </row>
    <row r="2539" spans="1:6" x14ac:dyDescent="0.2">
      <c r="A2539" s="2" t="str">
        <f>"5998821598194"</f>
        <v>5998821598194</v>
      </c>
      <c r="B2539" s="1" t="s">
        <v>2529</v>
      </c>
      <c r="C2539" s="9" t="s">
        <v>3382</v>
      </c>
      <c r="D2539" s="6">
        <v>240.88</v>
      </c>
      <c r="F2539">
        <v>100</v>
      </c>
    </row>
    <row r="2540" spans="1:6" x14ac:dyDescent="0.2">
      <c r="A2540" s="2" t="str">
        <f>"5900497019323"</f>
        <v>5900497019323</v>
      </c>
      <c r="B2540" s="1" t="s">
        <v>2530</v>
      </c>
      <c r="C2540" s="9" t="s">
        <v>3386</v>
      </c>
      <c r="D2540" s="6">
        <v>258.13</v>
      </c>
      <c r="F2540">
        <v>100</v>
      </c>
    </row>
    <row r="2541" spans="1:6" x14ac:dyDescent="0.2">
      <c r="A2541" s="2" t="str">
        <f>"5998815114799"</f>
        <v>5998815114799</v>
      </c>
      <c r="B2541" s="1" t="s">
        <v>2531</v>
      </c>
      <c r="C2541" s="9" t="s">
        <v>3374</v>
      </c>
      <c r="D2541" s="6">
        <v>240.57</v>
      </c>
      <c r="F2541">
        <v>100</v>
      </c>
    </row>
    <row r="2542" spans="1:6" x14ac:dyDescent="0.2">
      <c r="A2542" s="2" t="str">
        <f>"5060608740406"</f>
        <v>5060608740406</v>
      </c>
      <c r="B2542" s="1" t="s">
        <v>2532</v>
      </c>
      <c r="C2542" s="9" t="s">
        <v>3376</v>
      </c>
      <c r="D2542" s="6">
        <v>219.67</v>
      </c>
      <c r="F2542">
        <v>100</v>
      </c>
    </row>
    <row r="2543" spans="1:6" x14ac:dyDescent="0.2">
      <c r="A2543" s="2" t="str">
        <f>"5449000008046"</f>
        <v>5449000008046</v>
      </c>
      <c r="B2543" s="1" t="s">
        <v>2533</v>
      </c>
      <c r="C2543" s="9" t="s">
        <v>3389</v>
      </c>
      <c r="D2543" s="6">
        <v>0</v>
      </c>
      <c r="F2543">
        <v>100</v>
      </c>
    </row>
    <row r="2544" spans="1:6" x14ac:dyDescent="0.2">
      <c r="A2544" s="2" t="str">
        <f>"5449000270146"</f>
        <v>5449000270146</v>
      </c>
      <c r="B2544" s="1" t="s">
        <v>2534</v>
      </c>
      <c r="C2544" s="9" t="s">
        <v>3376</v>
      </c>
      <c r="D2544" s="6">
        <v>282.01</v>
      </c>
      <c r="F2544">
        <v>100</v>
      </c>
    </row>
    <row r="2545" spans="1:6" x14ac:dyDescent="0.2">
      <c r="A2545" s="2" t="str">
        <f>"5999545592369"</f>
        <v>5999545592369</v>
      </c>
      <c r="B2545" s="1" t="s">
        <v>2535</v>
      </c>
      <c r="C2545" s="9" t="s">
        <v>3377</v>
      </c>
      <c r="D2545" s="6">
        <v>65.81</v>
      </c>
      <c r="F2545">
        <v>100</v>
      </c>
    </row>
    <row r="2546" spans="1:6" x14ac:dyDescent="0.2">
      <c r="A2546" s="2" t="str">
        <f>"8594008040202"</f>
        <v>8594008040202</v>
      </c>
      <c r="B2546" s="1" t="s">
        <v>2536</v>
      </c>
      <c r="C2546" s="9" t="s">
        <v>3386</v>
      </c>
      <c r="D2546" s="6">
        <v>312.10000000000002</v>
      </c>
      <c r="F2546">
        <v>100</v>
      </c>
    </row>
    <row r="2547" spans="1:6" x14ac:dyDescent="0.2">
      <c r="A2547" s="2" t="str">
        <f>"5997642113265"</f>
        <v>5997642113265</v>
      </c>
      <c r="B2547" s="1" t="s">
        <v>2537</v>
      </c>
      <c r="C2547" s="9" t="s">
        <v>3374</v>
      </c>
      <c r="D2547" s="6">
        <v>183.34</v>
      </c>
      <c r="F2547">
        <v>100</v>
      </c>
    </row>
    <row r="2548" spans="1:6" x14ac:dyDescent="0.2">
      <c r="A2548" s="2" t="str">
        <f>"5998815155358"</f>
        <v>5998815155358</v>
      </c>
      <c r="B2548" s="1" t="s">
        <v>2538</v>
      </c>
      <c r="C2548" s="9" t="s">
        <v>3374</v>
      </c>
      <c r="D2548" s="6">
        <v>72.760000000000005</v>
      </c>
      <c r="F2548">
        <v>100</v>
      </c>
    </row>
    <row r="2549" spans="1:6" x14ac:dyDescent="0.2">
      <c r="A2549" s="2" t="str">
        <f>"5998815113082"</f>
        <v>5998815113082</v>
      </c>
      <c r="B2549" s="1" t="s">
        <v>2539</v>
      </c>
      <c r="C2549" s="9" t="s">
        <v>3377</v>
      </c>
      <c r="D2549" s="6">
        <v>404.85</v>
      </c>
      <c r="F2549">
        <v>100</v>
      </c>
    </row>
    <row r="2550" spans="1:6" x14ac:dyDescent="0.2">
      <c r="A2550" s="2" t="str">
        <f>"90492969     "</f>
        <v xml:space="preserve">90492969     </v>
      </c>
      <c r="B2550" s="1" t="s">
        <v>2540</v>
      </c>
      <c r="C2550" s="9" t="s">
        <v>3376</v>
      </c>
      <c r="D2550" s="6">
        <v>213.02</v>
      </c>
      <c r="F2550">
        <v>100</v>
      </c>
    </row>
    <row r="2551" spans="1:6" x14ac:dyDescent="0.2">
      <c r="A2551" s="2" t="str">
        <f>"5901067400237"</f>
        <v>5901067400237</v>
      </c>
      <c r="B2551" s="1" t="s">
        <v>2541</v>
      </c>
      <c r="C2551" s="9" t="s">
        <v>3374</v>
      </c>
      <c r="D2551" s="6">
        <v>169.76</v>
      </c>
      <c r="F2551">
        <v>100</v>
      </c>
    </row>
    <row r="2552" spans="1:6" x14ac:dyDescent="0.2">
      <c r="A2552" s="2" t="str">
        <f>"5900497032933"</f>
        <v>5900497032933</v>
      </c>
      <c r="B2552" s="1" t="s">
        <v>2542</v>
      </c>
      <c r="C2552" s="9" t="s">
        <v>3386</v>
      </c>
      <c r="D2552" s="6">
        <v>65.2</v>
      </c>
      <c r="F2552">
        <v>100</v>
      </c>
    </row>
    <row r="2553" spans="1:6" x14ac:dyDescent="0.2">
      <c r="A2553" s="2" t="str">
        <f>"5900334010438"</f>
        <v>5900334010438</v>
      </c>
      <c r="B2553" s="1" t="s">
        <v>2543</v>
      </c>
      <c r="C2553" s="9" t="s">
        <v>3374</v>
      </c>
      <c r="D2553" s="6">
        <v>124.64</v>
      </c>
      <c r="F2553">
        <v>100</v>
      </c>
    </row>
    <row r="2554" spans="1:6" x14ac:dyDescent="0.2">
      <c r="A2554" s="2" t="str">
        <f>"9008700141987"</f>
        <v>9008700141987</v>
      </c>
      <c r="B2554" s="1" t="s">
        <v>2544</v>
      </c>
      <c r="C2554" s="9" t="s">
        <v>3374</v>
      </c>
      <c r="D2554" s="6">
        <v>183.69</v>
      </c>
      <c r="F2554">
        <v>100</v>
      </c>
    </row>
    <row r="2555" spans="1:6" x14ac:dyDescent="0.2">
      <c r="A2555" s="2" t="str">
        <f>"3800003308465"</f>
        <v>3800003308465</v>
      </c>
      <c r="B2555" s="1" t="s">
        <v>2545</v>
      </c>
      <c r="C2555" s="9" t="s">
        <v>3388</v>
      </c>
      <c r="D2555" s="6">
        <v>39.76</v>
      </c>
      <c r="F2555">
        <v>100</v>
      </c>
    </row>
    <row r="2556" spans="1:6" x14ac:dyDescent="0.2">
      <c r="A2556" s="2" t="str">
        <f>"5449000081926"</f>
        <v>5449000081926</v>
      </c>
      <c r="B2556" s="1" t="s">
        <v>2546</v>
      </c>
      <c r="C2556" s="9" t="s">
        <v>3376</v>
      </c>
      <c r="D2556" s="6">
        <v>346.38</v>
      </c>
      <c r="F2556">
        <v>100</v>
      </c>
    </row>
    <row r="2557" spans="1:6" x14ac:dyDescent="0.2">
      <c r="A2557" s="2" t="str">
        <f>"5998815118216"</f>
        <v>5998815118216</v>
      </c>
      <c r="B2557" s="1" t="s">
        <v>2547</v>
      </c>
      <c r="C2557" s="9" t="s">
        <v>3374</v>
      </c>
      <c r="D2557" s="6">
        <v>72.790000000000006</v>
      </c>
      <c r="F2557">
        <v>100</v>
      </c>
    </row>
    <row r="2558" spans="1:6" x14ac:dyDescent="0.2">
      <c r="A2558" s="2" t="str">
        <f>"5998815195767"</f>
        <v>5998815195767</v>
      </c>
      <c r="B2558" s="1" t="s">
        <v>2548</v>
      </c>
      <c r="C2558" s="9" t="s">
        <v>3377</v>
      </c>
      <c r="D2558" s="6">
        <v>241.92</v>
      </c>
      <c r="F2558">
        <v>100</v>
      </c>
    </row>
    <row r="2559" spans="1:6" x14ac:dyDescent="0.2">
      <c r="A2559" s="2" t="str">
        <f>"5900334000767"</f>
        <v>5900334000767</v>
      </c>
      <c r="B2559" s="1" t="s">
        <v>2549</v>
      </c>
      <c r="C2559" s="9" t="s">
        <v>3374</v>
      </c>
      <c r="D2559" s="6">
        <v>125.49</v>
      </c>
      <c r="F2559">
        <v>100</v>
      </c>
    </row>
    <row r="2560" spans="1:6" x14ac:dyDescent="0.2">
      <c r="A2560" s="2" t="str">
        <f>"5900334013323"</f>
        <v>5900334013323</v>
      </c>
      <c r="B2560" s="1" t="s">
        <v>2550</v>
      </c>
      <c r="C2560" s="9" t="s">
        <v>3374</v>
      </c>
      <c r="D2560" s="6">
        <v>124.61</v>
      </c>
      <c r="F2560">
        <v>100</v>
      </c>
    </row>
    <row r="2561" spans="1:6" x14ac:dyDescent="0.2">
      <c r="A2561" s="2" t="str">
        <f>"5998821503006"</f>
        <v>5998821503006</v>
      </c>
      <c r="B2561" s="1" t="s">
        <v>2551</v>
      </c>
      <c r="C2561" s="9" t="s">
        <v>3377</v>
      </c>
      <c r="D2561" s="6">
        <v>154.80000000000001</v>
      </c>
      <c r="F2561">
        <v>100</v>
      </c>
    </row>
    <row r="2562" spans="1:6" x14ac:dyDescent="0.2">
      <c r="A2562" s="2" t="str">
        <f>"9008700112543"</f>
        <v>9008700112543</v>
      </c>
      <c r="B2562" s="1" t="s">
        <v>2552</v>
      </c>
      <c r="C2562" s="9" t="s">
        <v>3375</v>
      </c>
      <c r="D2562" s="6">
        <v>56.64</v>
      </c>
      <c r="F2562">
        <v>100</v>
      </c>
    </row>
    <row r="2563" spans="1:6" x14ac:dyDescent="0.2">
      <c r="A2563" s="2" t="str">
        <f>"5449000227553"</f>
        <v>5449000227553</v>
      </c>
      <c r="B2563" s="1" t="s">
        <v>2553</v>
      </c>
      <c r="C2563" s="9" t="s">
        <v>3376</v>
      </c>
      <c r="D2563" s="6">
        <v>217.91</v>
      </c>
      <c r="F2563">
        <v>100</v>
      </c>
    </row>
    <row r="2564" spans="1:6" x14ac:dyDescent="0.2">
      <c r="A2564" s="2" t="str">
        <f>"9008700112505"</f>
        <v>9008700112505</v>
      </c>
      <c r="B2564" s="1" t="s">
        <v>2554</v>
      </c>
      <c r="C2564" s="9" t="s">
        <v>3374</v>
      </c>
      <c r="D2564" s="6">
        <v>105.74</v>
      </c>
      <c r="F2564">
        <v>100</v>
      </c>
    </row>
    <row r="2565" spans="1:6" x14ac:dyDescent="0.2">
      <c r="A2565" s="2" t="str">
        <f>"5901067405263"</f>
        <v>5901067405263</v>
      </c>
      <c r="B2565" s="1" t="s">
        <v>2555</v>
      </c>
      <c r="C2565" s="9" t="s">
        <v>3374</v>
      </c>
      <c r="D2565" s="6">
        <v>169.76</v>
      </c>
      <c r="F2565">
        <v>100</v>
      </c>
    </row>
    <row r="2566" spans="1:6" x14ac:dyDescent="0.2">
      <c r="A2566" s="2" t="str">
        <f>"5901067470018"</f>
        <v>5901067470018</v>
      </c>
      <c r="B2566" s="1" t="s">
        <v>2556</v>
      </c>
      <c r="C2566" s="9" t="s">
        <v>3374</v>
      </c>
      <c r="D2566" s="6">
        <v>169.28</v>
      </c>
      <c r="F2566">
        <v>100</v>
      </c>
    </row>
    <row r="2567" spans="1:6" x14ac:dyDescent="0.2">
      <c r="A2567" s="2" t="str">
        <f>"5998821598705"</f>
        <v>5998821598705</v>
      </c>
      <c r="B2567" s="1" t="s">
        <v>2557</v>
      </c>
      <c r="C2567" s="9" t="s">
        <v>3382</v>
      </c>
      <c r="D2567" s="6">
        <v>163.38999999999999</v>
      </c>
      <c r="F2567">
        <v>100</v>
      </c>
    </row>
    <row r="2568" spans="1:6" x14ac:dyDescent="0.2">
      <c r="A2568" s="2" t="str">
        <f>"8001620005163"</f>
        <v>8001620005163</v>
      </c>
      <c r="B2568" s="1" t="s">
        <v>2558</v>
      </c>
      <c r="C2568" s="9" t="s">
        <v>3377</v>
      </c>
      <c r="D2568" s="6">
        <v>305</v>
      </c>
      <c r="F2568">
        <v>100</v>
      </c>
    </row>
    <row r="2569" spans="1:6" x14ac:dyDescent="0.2">
      <c r="A2569" s="2" t="str">
        <f>"5998815118438"</f>
        <v>5998815118438</v>
      </c>
      <c r="B2569" s="1" t="s">
        <v>2559</v>
      </c>
      <c r="C2569" s="9" t="s">
        <v>3377</v>
      </c>
      <c r="D2569" s="6">
        <v>198.63</v>
      </c>
      <c r="F2569">
        <v>100</v>
      </c>
    </row>
    <row r="2570" spans="1:6" x14ac:dyDescent="0.2">
      <c r="A2570" s="2" t="str">
        <f>"5998821503624"</f>
        <v>5998821503624</v>
      </c>
      <c r="B2570" s="1" t="s">
        <v>2560</v>
      </c>
      <c r="C2570" s="9" t="s">
        <v>3377</v>
      </c>
      <c r="D2570" s="6">
        <v>153.99</v>
      </c>
      <c r="F2570">
        <v>100</v>
      </c>
    </row>
    <row r="2571" spans="1:6" x14ac:dyDescent="0.2">
      <c r="A2571" s="2" t="str">
        <f>"8435185944009"</f>
        <v>8435185944009</v>
      </c>
      <c r="B2571" s="1" t="s">
        <v>2561</v>
      </c>
      <c r="C2571" s="9" t="s">
        <v>3386</v>
      </c>
      <c r="D2571" s="6">
        <v>109.8</v>
      </c>
      <c r="F2571">
        <v>100</v>
      </c>
    </row>
    <row r="2572" spans="1:6" x14ac:dyDescent="0.2">
      <c r="A2572" s="2" t="str">
        <f>"9555589205519"</f>
        <v>9555589205519</v>
      </c>
      <c r="B2572" s="1" t="s">
        <v>2562</v>
      </c>
      <c r="C2572" s="9" t="s">
        <v>3389</v>
      </c>
      <c r="D2572" s="6">
        <v>308</v>
      </c>
      <c r="F2572">
        <v>100</v>
      </c>
    </row>
    <row r="2573" spans="1:6" x14ac:dyDescent="0.2">
      <c r="A2573" s="2" t="str">
        <f>"3800003308106"</f>
        <v>3800003308106</v>
      </c>
      <c r="B2573" s="1" t="s">
        <v>2563</v>
      </c>
      <c r="C2573" s="9" t="s">
        <v>3388</v>
      </c>
      <c r="D2573" s="6">
        <v>39.99</v>
      </c>
      <c r="F2573">
        <v>100</v>
      </c>
    </row>
    <row r="2574" spans="1:6" x14ac:dyDescent="0.2">
      <c r="A2574" s="2" t="str">
        <f>"5449000236678"</f>
        <v>5449000236678</v>
      </c>
      <c r="B2574" s="1" t="s">
        <v>2564</v>
      </c>
      <c r="C2574" s="9" t="s">
        <v>3376</v>
      </c>
      <c r="D2574" s="6">
        <v>261.01</v>
      </c>
      <c r="F2574">
        <v>100</v>
      </c>
    </row>
    <row r="2575" spans="1:6" x14ac:dyDescent="0.2">
      <c r="A2575" s="2" t="str">
        <f>"5449000236630"</f>
        <v>5449000236630</v>
      </c>
      <c r="B2575" s="1" t="s">
        <v>2565</v>
      </c>
      <c r="C2575" s="9" t="s">
        <v>3376</v>
      </c>
      <c r="D2575" s="6">
        <v>276.08</v>
      </c>
      <c r="F2575">
        <v>100</v>
      </c>
    </row>
    <row r="2576" spans="1:6" x14ac:dyDescent="0.2">
      <c r="A2576" s="2" t="str">
        <f>"90087493     "</f>
        <v xml:space="preserve">90087493     </v>
      </c>
      <c r="B2576" s="1" t="s">
        <v>2566</v>
      </c>
      <c r="C2576" s="9" t="s">
        <v>3377</v>
      </c>
      <c r="D2576" s="6">
        <v>359.91</v>
      </c>
      <c r="F2576">
        <v>100</v>
      </c>
    </row>
    <row r="2577" spans="1:6" x14ac:dyDescent="0.2">
      <c r="A2577" s="2" t="str">
        <f>"9008700179065"</f>
        <v>9008700179065</v>
      </c>
      <c r="B2577" s="1" t="s">
        <v>2567</v>
      </c>
      <c r="C2577" s="9" t="s">
        <v>3377</v>
      </c>
      <c r="D2577" s="6">
        <v>142.38</v>
      </c>
      <c r="F2577">
        <v>100</v>
      </c>
    </row>
    <row r="2578" spans="1:6" x14ac:dyDescent="0.2">
      <c r="A2578" s="2" t="str">
        <f>"3858884605388"</f>
        <v>3858884605388</v>
      </c>
      <c r="B2578" s="1" t="s">
        <v>2568</v>
      </c>
      <c r="C2578" s="9" t="s">
        <v>3377</v>
      </c>
      <c r="D2578" s="6">
        <v>208</v>
      </c>
      <c r="F2578">
        <v>100</v>
      </c>
    </row>
    <row r="2579" spans="1:6" x14ac:dyDescent="0.2">
      <c r="A2579" s="2" t="str">
        <f>"5997264159313"</f>
        <v>5997264159313</v>
      </c>
      <c r="B2579" s="1" t="s">
        <v>2569</v>
      </c>
      <c r="C2579" s="9" t="s">
        <v>3386</v>
      </c>
      <c r="D2579" s="6">
        <v>205.92</v>
      </c>
      <c r="F2579">
        <v>100</v>
      </c>
    </row>
    <row r="2580" spans="1:6" x14ac:dyDescent="0.2">
      <c r="A2580" s="2" t="str">
        <f>"5900497031592"</f>
        <v>5900497031592</v>
      </c>
      <c r="B2580" s="1" t="s">
        <v>2570</v>
      </c>
      <c r="C2580" s="9" t="s">
        <v>3386</v>
      </c>
      <c r="D2580" s="6">
        <v>109.8</v>
      </c>
      <c r="F2580">
        <v>100</v>
      </c>
    </row>
    <row r="2581" spans="1:6" x14ac:dyDescent="0.2">
      <c r="A2581" s="2" t="str">
        <f>"8594008040509"</f>
        <v>8594008040509</v>
      </c>
      <c r="B2581" s="1" t="s">
        <v>2571</v>
      </c>
      <c r="C2581" s="9" t="s">
        <v>3386</v>
      </c>
      <c r="D2581" s="6">
        <v>205.43</v>
      </c>
      <c r="F2581">
        <v>100</v>
      </c>
    </row>
    <row r="2582" spans="1:6" x14ac:dyDescent="0.2">
      <c r="A2582" s="2" t="str">
        <f>"5998815110494"</f>
        <v>5998815110494</v>
      </c>
      <c r="B2582" s="1" t="s">
        <v>2572</v>
      </c>
      <c r="C2582" s="9" t="s">
        <v>3377</v>
      </c>
      <c r="D2582" s="6">
        <v>316.76</v>
      </c>
      <c r="F2582">
        <v>100</v>
      </c>
    </row>
    <row r="2583" spans="1:6" x14ac:dyDescent="0.2">
      <c r="A2583" s="2" t="str">
        <f>"5998815196382"</f>
        <v>5998815196382</v>
      </c>
      <c r="B2583" s="1" t="s">
        <v>2573</v>
      </c>
      <c r="C2583" s="9" t="s">
        <v>3377</v>
      </c>
      <c r="D2583" s="6">
        <v>239.62</v>
      </c>
      <c r="F2583">
        <v>100</v>
      </c>
    </row>
    <row r="2584" spans="1:6" x14ac:dyDescent="0.2">
      <c r="A2584" s="2" t="str">
        <f>"5998815118391"</f>
        <v>5998815118391</v>
      </c>
      <c r="B2584" s="1" t="s">
        <v>2574</v>
      </c>
      <c r="C2584" s="9" t="s">
        <v>3377</v>
      </c>
      <c r="D2584" s="6">
        <v>198.69</v>
      </c>
      <c r="F2584">
        <v>100</v>
      </c>
    </row>
    <row r="2585" spans="1:6" x14ac:dyDescent="0.2">
      <c r="A2585" s="2" t="str">
        <f>"5998815117233"</f>
        <v>5998815117233</v>
      </c>
      <c r="B2585" s="1" t="s">
        <v>2575</v>
      </c>
      <c r="C2585" s="9" t="s">
        <v>3377</v>
      </c>
      <c r="D2585" s="6">
        <v>115</v>
      </c>
      <c r="F2585">
        <v>100</v>
      </c>
    </row>
    <row r="2586" spans="1:6" x14ac:dyDescent="0.2">
      <c r="A2586" s="2" t="str">
        <f>"54491069     "</f>
        <v xml:space="preserve">54491069     </v>
      </c>
      <c r="B2586" s="1" t="s">
        <v>2576</v>
      </c>
      <c r="C2586" s="9" t="s">
        <v>3376</v>
      </c>
      <c r="D2586" s="6">
        <v>209.91</v>
      </c>
      <c r="F2586">
        <v>100</v>
      </c>
    </row>
    <row r="2587" spans="1:6" x14ac:dyDescent="0.2">
      <c r="A2587" s="2" t="str">
        <f>"5998821510424"</f>
        <v>5998821510424</v>
      </c>
      <c r="B2587" s="1" t="s">
        <v>2577</v>
      </c>
      <c r="C2587" s="9" t="s">
        <v>3374</v>
      </c>
      <c r="D2587" s="6">
        <v>130.94999999999999</v>
      </c>
      <c r="F2587">
        <v>100</v>
      </c>
    </row>
    <row r="2588" spans="1:6" x14ac:dyDescent="0.2">
      <c r="A2588" s="2" t="str">
        <f>"5999885746842"</f>
        <v>5999885746842</v>
      </c>
      <c r="B2588" s="1" t="s">
        <v>2578</v>
      </c>
      <c r="C2588" s="9" t="s">
        <v>3395</v>
      </c>
      <c r="D2588" s="6">
        <v>178.16</v>
      </c>
      <c r="F2588">
        <v>100</v>
      </c>
    </row>
    <row r="2589" spans="1:6" x14ac:dyDescent="0.2">
      <c r="A2589" s="2" t="str">
        <f>"5998835905438"</f>
        <v>5998835905438</v>
      </c>
      <c r="B2589" s="1" t="s">
        <v>2579</v>
      </c>
      <c r="C2589" s="9" t="s">
        <v>3378</v>
      </c>
      <c r="D2589" s="6">
        <v>209</v>
      </c>
      <c r="F2589">
        <v>100</v>
      </c>
    </row>
    <row r="2590" spans="1:6" x14ac:dyDescent="0.2">
      <c r="A2590" s="2" t="str">
        <f>"5998821502368"</f>
        <v>5998821502368</v>
      </c>
      <c r="B2590" s="1" t="s">
        <v>2580</v>
      </c>
      <c r="C2590" s="9" t="s">
        <v>3374</v>
      </c>
      <c r="D2590" s="6">
        <v>152.37</v>
      </c>
      <c r="F2590">
        <v>100</v>
      </c>
    </row>
    <row r="2591" spans="1:6" x14ac:dyDescent="0.2">
      <c r="A2591" s="2" t="str">
        <f>"9008700112529"</f>
        <v>9008700112529</v>
      </c>
      <c r="B2591" s="1" t="s">
        <v>2581</v>
      </c>
      <c r="C2591" s="9" t="s">
        <v>3375</v>
      </c>
      <c r="D2591" s="6">
        <v>54.02</v>
      </c>
      <c r="F2591">
        <v>100</v>
      </c>
    </row>
    <row r="2592" spans="1:6" x14ac:dyDescent="0.2">
      <c r="A2592" s="2" t="str">
        <f>"5449000124449"</f>
        <v>5449000124449</v>
      </c>
      <c r="B2592" s="1" t="s">
        <v>2582</v>
      </c>
      <c r="C2592" s="9" t="s">
        <v>3389</v>
      </c>
      <c r="D2592" s="6">
        <v>175.01</v>
      </c>
      <c r="F2592">
        <v>100</v>
      </c>
    </row>
    <row r="2593" spans="1:6" x14ac:dyDescent="0.2">
      <c r="A2593" s="2" t="str">
        <f>"5449000028938"</f>
        <v>5449000028938</v>
      </c>
      <c r="B2593" s="1" t="s">
        <v>2583</v>
      </c>
      <c r="C2593" s="9" t="s">
        <v>3376</v>
      </c>
      <c r="D2593" s="6">
        <v>262.91000000000003</v>
      </c>
      <c r="F2593">
        <v>100</v>
      </c>
    </row>
    <row r="2594" spans="1:6" x14ac:dyDescent="0.2">
      <c r="A2594" s="2" t="str">
        <f>"90087066     "</f>
        <v xml:space="preserve">90087066     </v>
      </c>
      <c r="B2594" s="1" t="s">
        <v>2584</v>
      </c>
      <c r="C2594" s="9" t="s">
        <v>3377</v>
      </c>
      <c r="D2594" s="6">
        <v>359.91</v>
      </c>
      <c r="F2594">
        <v>100</v>
      </c>
    </row>
    <row r="2595" spans="1:6" x14ac:dyDescent="0.2">
      <c r="A2595" s="2" t="str">
        <f>"9008700179188"</f>
        <v>9008700179188</v>
      </c>
      <c r="B2595" s="1" t="s">
        <v>2585</v>
      </c>
      <c r="C2595" s="9" t="s">
        <v>3377</v>
      </c>
      <c r="D2595" s="6">
        <v>228</v>
      </c>
      <c r="F2595">
        <v>100</v>
      </c>
    </row>
    <row r="2596" spans="1:6" x14ac:dyDescent="0.2">
      <c r="A2596" s="2" t="str">
        <f>"5998815117653"</f>
        <v>5998815117653</v>
      </c>
      <c r="B2596" s="1" t="s">
        <v>2586</v>
      </c>
      <c r="C2596" s="9" t="s">
        <v>3377</v>
      </c>
      <c r="D2596" s="6">
        <v>389</v>
      </c>
      <c r="F2596">
        <v>100</v>
      </c>
    </row>
    <row r="2597" spans="1:6" x14ac:dyDescent="0.2">
      <c r="A2597" s="2" t="str">
        <f>"3858884605463"</f>
        <v>3858884605463</v>
      </c>
      <c r="B2597" s="1" t="s">
        <v>2587</v>
      </c>
      <c r="C2597" s="9" t="s">
        <v>3377</v>
      </c>
      <c r="D2597" s="6">
        <v>208</v>
      </c>
      <c r="F2597">
        <v>100</v>
      </c>
    </row>
    <row r="2598" spans="1:6" x14ac:dyDescent="0.2">
      <c r="A2598" s="2" t="str">
        <f>"50112982     "</f>
        <v xml:space="preserve">50112982     </v>
      </c>
      <c r="B2598" s="1" t="s">
        <v>2588</v>
      </c>
      <c r="C2598" s="9" t="s">
        <v>3376</v>
      </c>
      <c r="D2598" s="6">
        <v>215.9</v>
      </c>
      <c r="F2598">
        <v>100</v>
      </c>
    </row>
    <row r="2599" spans="1:6" x14ac:dyDescent="0.2">
      <c r="A2599" s="2" t="str">
        <f>"5449000016010"</f>
        <v>5449000016010</v>
      </c>
      <c r="B2599" s="1" t="s">
        <v>2589</v>
      </c>
      <c r="C2599" s="9" t="s">
        <v>3376</v>
      </c>
      <c r="D2599" s="6">
        <v>348.2</v>
      </c>
      <c r="F2599">
        <v>100</v>
      </c>
    </row>
    <row r="2600" spans="1:6" x14ac:dyDescent="0.2">
      <c r="A2600" s="2" t="str">
        <f>"5901067405256"</f>
        <v>5901067405256</v>
      </c>
      <c r="B2600" s="1" t="s">
        <v>2590</v>
      </c>
      <c r="C2600" s="9" t="s">
        <v>3374</v>
      </c>
      <c r="D2600" s="6">
        <v>169.76</v>
      </c>
      <c r="F2600">
        <v>100</v>
      </c>
    </row>
    <row r="2601" spans="1:6" x14ac:dyDescent="0.2">
      <c r="A2601" s="2" t="str">
        <f>"8594008040288"</f>
        <v>8594008040288</v>
      </c>
      <c r="B2601" s="1" t="s">
        <v>2591</v>
      </c>
      <c r="C2601" s="9" t="s">
        <v>3386</v>
      </c>
      <c r="D2601" s="6">
        <v>299.76</v>
      </c>
      <c r="F2601">
        <v>100</v>
      </c>
    </row>
    <row r="2602" spans="1:6" x14ac:dyDescent="0.2">
      <c r="A2602" s="2" t="str">
        <f>"5998835990298"</f>
        <v>5998835990298</v>
      </c>
      <c r="B2602" s="1" t="s">
        <v>2592</v>
      </c>
      <c r="C2602" s="9" t="s">
        <v>3378</v>
      </c>
      <c r="D2602" s="6">
        <v>240</v>
      </c>
      <c r="F2602">
        <v>100</v>
      </c>
    </row>
    <row r="2603" spans="1:6" x14ac:dyDescent="0.2">
      <c r="A2603" s="2" t="str">
        <f>"5998815110296"</f>
        <v>5998815110296</v>
      </c>
      <c r="B2603" s="1" t="s">
        <v>2593</v>
      </c>
      <c r="C2603" s="9" t="s">
        <v>3374</v>
      </c>
      <c r="D2603" s="6">
        <v>77.45</v>
      </c>
      <c r="F2603">
        <v>100</v>
      </c>
    </row>
    <row r="2604" spans="1:6" x14ac:dyDescent="0.2">
      <c r="A2604" s="2" t="str">
        <f>"5998815117097"</f>
        <v>5998815117097</v>
      </c>
      <c r="B2604" s="1" t="s">
        <v>2594</v>
      </c>
      <c r="C2604" s="9" t="s">
        <v>3377</v>
      </c>
      <c r="D2604" s="6">
        <v>254.08</v>
      </c>
      <c r="F2604">
        <v>100</v>
      </c>
    </row>
    <row r="2605" spans="1:6" x14ac:dyDescent="0.2">
      <c r="A2605" s="2" t="str">
        <f>"5998815117998"</f>
        <v>5998815117998</v>
      </c>
      <c r="B2605" s="1" t="s">
        <v>2595</v>
      </c>
      <c r="C2605" s="9" t="s">
        <v>3374</v>
      </c>
      <c r="D2605" s="6">
        <v>261.18</v>
      </c>
      <c r="F2605">
        <v>100</v>
      </c>
    </row>
    <row r="2606" spans="1:6" x14ac:dyDescent="0.2">
      <c r="A2606" s="2" t="str">
        <f>"5998815114775"</f>
        <v>5998815114775</v>
      </c>
      <c r="B2606" s="1" t="s">
        <v>2596</v>
      </c>
      <c r="C2606" s="9" t="s">
        <v>3377</v>
      </c>
      <c r="D2606" s="6">
        <v>247.36</v>
      </c>
      <c r="F2606">
        <v>100</v>
      </c>
    </row>
    <row r="2607" spans="1:6" x14ac:dyDescent="0.2">
      <c r="A2607" s="2" t="str">
        <f>"5998815155365"</f>
        <v>5998815155365</v>
      </c>
      <c r="B2607" s="1" t="s">
        <v>2597</v>
      </c>
      <c r="C2607" s="9" t="s">
        <v>3377</v>
      </c>
      <c r="D2607" s="6">
        <v>243</v>
      </c>
      <c r="F2607">
        <v>100</v>
      </c>
    </row>
    <row r="2608" spans="1:6" x14ac:dyDescent="0.2">
      <c r="A2608" s="2" t="str">
        <f>"5998835990243"</f>
        <v>5998835990243</v>
      </c>
      <c r="B2608" s="1" t="s">
        <v>2598</v>
      </c>
      <c r="C2608" s="9" t="s">
        <v>3378</v>
      </c>
      <c r="D2608" s="6">
        <v>205</v>
      </c>
      <c r="F2608">
        <v>100</v>
      </c>
    </row>
    <row r="2609" spans="1:6" x14ac:dyDescent="0.2">
      <c r="A2609" s="2" t="str">
        <f>"5449000214775"</f>
        <v>5449000214775</v>
      </c>
      <c r="B2609" s="1" t="s">
        <v>2599</v>
      </c>
      <c r="C2609" s="9" t="s">
        <v>3376</v>
      </c>
      <c r="D2609" s="6">
        <v>158.61000000000001</v>
      </c>
      <c r="F2609">
        <v>100</v>
      </c>
    </row>
    <row r="2610" spans="1:6" x14ac:dyDescent="0.2">
      <c r="A2610" s="2" t="str">
        <f>"5449000165695"</f>
        <v>5449000165695</v>
      </c>
      <c r="B2610" s="1" t="s">
        <v>2600</v>
      </c>
      <c r="C2610" s="9" t="s">
        <v>3376</v>
      </c>
      <c r="D2610" s="6">
        <v>311.56</v>
      </c>
      <c r="F2610">
        <v>100</v>
      </c>
    </row>
    <row r="2611" spans="1:6" x14ac:dyDescent="0.2">
      <c r="A2611" s="2" t="str">
        <f>"5900497023436"</f>
        <v>5900497023436</v>
      </c>
      <c r="B2611" s="1" t="s">
        <v>2601</v>
      </c>
      <c r="C2611" s="9" t="s">
        <v>3386</v>
      </c>
      <c r="D2611" s="6">
        <v>306.26</v>
      </c>
      <c r="F2611">
        <v>100</v>
      </c>
    </row>
    <row r="2612" spans="1:6" x14ac:dyDescent="0.2">
      <c r="A2612" s="2" t="str">
        <f>"5998835905414"</f>
        <v>5998835905414</v>
      </c>
      <c r="B2612" s="1" t="s">
        <v>2602</v>
      </c>
      <c r="C2612" s="9" t="s">
        <v>3378</v>
      </c>
      <c r="D2612" s="6">
        <v>209</v>
      </c>
      <c r="F2612">
        <v>100</v>
      </c>
    </row>
    <row r="2613" spans="1:6" x14ac:dyDescent="0.2">
      <c r="A2613" s="2" t="str">
        <f>"5998811761287"</f>
        <v>5998811761287</v>
      </c>
      <c r="B2613" s="1" t="s">
        <v>2603</v>
      </c>
      <c r="C2613" s="9" t="s">
        <v>3375</v>
      </c>
      <c r="D2613" s="6">
        <v>114.24</v>
      </c>
      <c r="F2613">
        <v>100</v>
      </c>
    </row>
    <row r="2614" spans="1:6" x14ac:dyDescent="0.2">
      <c r="A2614" s="2" t="str">
        <f>"5998821501811"</f>
        <v>5998821501811</v>
      </c>
      <c r="B2614" s="1" t="s">
        <v>2604</v>
      </c>
      <c r="C2614" s="9" t="s">
        <v>3374</v>
      </c>
      <c r="D2614" s="6">
        <v>152.18</v>
      </c>
      <c r="F2614">
        <v>100</v>
      </c>
    </row>
    <row r="2615" spans="1:6" x14ac:dyDescent="0.2">
      <c r="A2615" s="2" t="str">
        <f>"5998824743690"</f>
        <v>5998824743690</v>
      </c>
      <c r="B2615" s="1" t="s">
        <v>2605</v>
      </c>
      <c r="C2615" s="9" t="s">
        <v>3377</v>
      </c>
      <c r="D2615" s="6">
        <v>157.99</v>
      </c>
      <c r="F2615">
        <v>100</v>
      </c>
    </row>
    <row r="2616" spans="1:6" x14ac:dyDescent="0.2">
      <c r="A2616" s="2" t="str">
        <f>"5998824744390"</f>
        <v>5998824744390</v>
      </c>
      <c r="B2616" s="1" t="s">
        <v>2606</v>
      </c>
      <c r="C2616" s="9" t="s">
        <v>3377</v>
      </c>
      <c r="D2616" s="6">
        <v>153.87</v>
      </c>
      <c r="F2616">
        <v>100</v>
      </c>
    </row>
    <row r="2617" spans="1:6" x14ac:dyDescent="0.2">
      <c r="A2617" s="2" t="str">
        <f>"5449000137555"</f>
        <v>5449000137555</v>
      </c>
      <c r="B2617" s="1" t="s">
        <v>2607</v>
      </c>
      <c r="C2617" s="9" t="s">
        <v>3376</v>
      </c>
      <c r="D2617" s="6">
        <v>219.06</v>
      </c>
      <c r="F2617">
        <v>100</v>
      </c>
    </row>
    <row r="2618" spans="1:6" x14ac:dyDescent="0.2">
      <c r="A2618" s="2" t="str">
        <f>"5449000001634"</f>
        <v>5449000001634</v>
      </c>
      <c r="B2618" s="1" t="s">
        <v>2608</v>
      </c>
      <c r="C2618" s="9" t="s">
        <v>3382</v>
      </c>
      <c r="D2618" s="6">
        <v>319.67</v>
      </c>
      <c r="F2618">
        <v>100</v>
      </c>
    </row>
    <row r="2619" spans="1:6" x14ac:dyDescent="0.2">
      <c r="A2619" s="2" t="str">
        <f>"04936509     "</f>
        <v xml:space="preserve">04936509     </v>
      </c>
      <c r="B2619" s="1" t="s">
        <v>2609</v>
      </c>
      <c r="C2619" s="9" t="s">
        <v>3377</v>
      </c>
      <c r="D2619" s="6">
        <v>288</v>
      </c>
      <c r="F2619">
        <v>100</v>
      </c>
    </row>
    <row r="2620" spans="1:6" x14ac:dyDescent="0.2">
      <c r="A2620" s="2" t="str">
        <f>"5449000225832"</f>
        <v>5449000225832</v>
      </c>
      <c r="B2620" s="1" t="s">
        <v>2610</v>
      </c>
      <c r="C2620" s="9" t="s">
        <v>3376</v>
      </c>
      <c r="D2620" s="6">
        <v>401.98</v>
      </c>
      <c r="F2620">
        <v>100</v>
      </c>
    </row>
    <row r="2621" spans="1:6" x14ac:dyDescent="0.2">
      <c r="A2621" s="2" t="str">
        <f>"5449000034113"</f>
        <v>5449000034113</v>
      </c>
      <c r="B2621" s="1" t="s">
        <v>2611</v>
      </c>
      <c r="C2621" s="9" t="s">
        <v>3376</v>
      </c>
      <c r="D2621" s="6">
        <v>429.94</v>
      </c>
      <c r="F2621">
        <v>100</v>
      </c>
    </row>
    <row r="2622" spans="1:6" x14ac:dyDescent="0.2">
      <c r="A2622" s="2" t="str">
        <f>"5449000665034"</f>
        <v>5449000665034</v>
      </c>
      <c r="B2622" s="1" t="s">
        <v>2612</v>
      </c>
      <c r="C2622" s="9" t="s">
        <v>3376</v>
      </c>
      <c r="D2622" s="6">
        <v>272.83</v>
      </c>
      <c r="F2622">
        <v>100</v>
      </c>
    </row>
    <row r="2623" spans="1:6" x14ac:dyDescent="0.2">
      <c r="A2623" s="2" t="str">
        <f>"5449000236951"</f>
        <v>5449000236951</v>
      </c>
      <c r="B2623" s="1" t="s">
        <v>2613</v>
      </c>
      <c r="C2623" s="9" t="s">
        <v>3376</v>
      </c>
      <c r="D2623" s="6">
        <v>261.01</v>
      </c>
      <c r="F2623">
        <v>100</v>
      </c>
    </row>
    <row r="2624" spans="1:6" x14ac:dyDescent="0.2">
      <c r="A2624" s="2" t="str">
        <f>"90087011     "</f>
        <v xml:space="preserve">90087011     </v>
      </c>
      <c r="B2624" s="1" t="s">
        <v>2614</v>
      </c>
      <c r="C2624" s="9" t="s">
        <v>3377</v>
      </c>
      <c r="D2624" s="6">
        <v>328.73</v>
      </c>
      <c r="F2624">
        <v>100</v>
      </c>
    </row>
    <row r="2625" spans="1:6" x14ac:dyDescent="0.2">
      <c r="A2625" s="2" t="str">
        <f>"90087769     "</f>
        <v xml:space="preserve">90087769     </v>
      </c>
      <c r="B2625" s="1" t="s">
        <v>2615</v>
      </c>
      <c r="C2625" s="9" t="s">
        <v>3377</v>
      </c>
      <c r="D2625" s="6">
        <v>339.2</v>
      </c>
      <c r="F2625">
        <v>100</v>
      </c>
    </row>
    <row r="2626" spans="1:6" x14ac:dyDescent="0.2">
      <c r="A2626" s="2" t="str">
        <f>"9008700180153"</f>
        <v>9008700180153</v>
      </c>
      <c r="B2626" s="1" t="s">
        <v>2616</v>
      </c>
      <c r="C2626" s="9" t="s">
        <v>3377</v>
      </c>
      <c r="D2626" s="6">
        <v>228.69</v>
      </c>
      <c r="F2626">
        <v>100</v>
      </c>
    </row>
    <row r="2627" spans="1:6" x14ac:dyDescent="0.2">
      <c r="A2627" s="2" t="str">
        <f>"9008700181549"</f>
        <v>9008700181549</v>
      </c>
      <c r="B2627" s="1" t="s">
        <v>2617</v>
      </c>
      <c r="C2627" s="9" t="s">
        <v>3377</v>
      </c>
      <c r="D2627" s="6">
        <v>230.12</v>
      </c>
      <c r="F2627">
        <v>100</v>
      </c>
    </row>
    <row r="2628" spans="1:6" x14ac:dyDescent="0.2">
      <c r="A2628" s="2" t="str">
        <f>"9008700179126"</f>
        <v>9008700179126</v>
      </c>
      <c r="B2628" s="1" t="s">
        <v>2618</v>
      </c>
      <c r="C2628" s="9" t="s">
        <v>3377</v>
      </c>
      <c r="D2628" s="6">
        <v>223.95</v>
      </c>
      <c r="F2628">
        <v>100</v>
      </c>
    </row>
    <row r="2629" spans="1:6" x14ac:dyDescent="0.2">
      <c r="A2629" s="2" t="str">
        <f>"9008700180870"</f>
        <v>9008700180870</v>
      </c>
      <c r="B2629" s="1" t="s">
        <v>2619</v>
      </c>
      <c r="C2629" s="9" t="s">
        <v>3377</v>
      </c>
      <c r="D2629" s="6">
        <v>219.14</v>
      </c>
      <c r="F2629">
        <v>100</v>
      </c>
    </row>
    <row r="2630" spans="1:6" x14ac:dyDescent="0.2">
      <c r="A2630" s="2" t="str">
        <f>"9008700179164"</f>
        <v>9008700179164</v>
      </c>
      <c r="B2630" s="1" t="s">
        <v>2620</v>
      </c>
      <c r="C2630" s="9" t="s">
        <v>3374</v>
      </c>
      <c r="D2630" s="6">
        <v>224.74</v>
      </c>
      <c r="F2630">
        <v>100</v>
      </c>
    </row>
    <row r="2631" spans="1:6" x14ac:dyDescent="0.2">
      <c r="A2631" s="2" t="str">
        <f>"3858884605425"</f>
        <v>3858884605425</v>
      </c>
      <c r="B2631" s="1" t="s">
        <v>2621</v>
      </c>
      <c r="C2631" s="9" t="s">
        <v>3377</v>
      </c>
      <c r="D2631" s="6">
        <v>208</v>
      </c>
      <c r="F2631">
        <v>100</v>
      </c>
    </row>
    <row r="2632" spans="1:6" x14ac:dyDescent="0.2">
      <c r="A2632" s="2" t="str">
        <f>"5901067400718"</f>
        <v>5901067400718</v>
      </c>
      <c r="B2632" s="1" t="s">
        <v>2622</v>
      </c>
      <c r="C2632" s="9" t="s">
        <v>3374</v>
      </c>
      <c r="D2632" s="6">
        <v>145.09</v>
      </c>
      <c r="F2632">
        <v>100</v>
      </c>
    </row>
    <row r="2633" spans="1:6" x14ac:dyDescent="0.2">
      <c r="A2633" s="2" t="str">
        <f>"5901067471015"</f>
        <v>5901067471015</v>
      </c>
      <c r="B2633" s="1" t="s">
        <v>2623</v>
      </c>
      <c r="C2633" s="9" t="s">
        <v>3374</v>
      </c>
      <c r="D2633" s="6">
        <v>169.76</v>
      </c>
      <c r="F2633">
        <v>100</v>
      </c>
    </row>
    <row r="2634" spans="1:6" x14ac:dyDescent="0.2">
      <c r="A2634" s="2" t="str">
        <f>"5900497025638"</f>
        <v>5900497025638</v>
      </c>
      <c r="B2634" s="1" t="s">
        <v>2624</v>
      </c>
      <c r="C2634" s="9" t="s">
        <v>3386</v>
      </c>
      <c r="D2634" s="6">
        <v>247.97</v>
      </c>
      <c r="F2634">
        <v>100</v>
      </c>
    </row>
    <row r="2635" spans="1:6" x14ac:dyDescent="0.2">
      <c r="A2635" s="2" t="str">
        <f>"5997264166182"</f>
        <v>5997264166182</v>
      </c>
      <c r="B2635" s="1" t="s">
        <v>2625</v>
      </c>
      <c r="C2635" s="9" t="s">
        <v>3386</v>
      </c>
      <c r="D2635" s="6">
        <v>184.27</v>
      </c>
      <c r="F2635">
        <v>100</v>
      </c>
    </row>
    <row r="2636" spans="1:6" x14ac:dyDescent="0.2">
      <c r="A2636" s="2" t="str">
        <f>"5900497601504"</f>
        <v>5900497601504</v>
      </c>
      <c r="B2636" s="1" t="s">
        <v>2626</v>
      </c>
      <c r="C2636" s="9" t="s">
        <v>3386</v>
      </c>
      <c r="D2636" s="6">
        <v>247.99</v>
      </c>
      <c r="F2636">
        <v>100</v>
      </c>
    </row>
    <row r="2637" spans="1:6" x14ac:dyDescent="0.2">
      <c r="A2637" s="2" t="str">
        <f>"5997264166168"</f>
        <v>5997264166168</v>
      </c>
      <c r="B2637" s="1" t="s">
        <v>2627</v>
      </c>
      <c r="C2637" s="9" t="s">
        <v>3386</v>
      </c>
      <c r="D2637" s="6">
        <v>248.92</v>
      </c>
      <c r="F2637">
        <v>100</v>
      </c>
    </row>
    <row r="2638" spans="1:6" x14ac:dyDescent="0.2">
      <c r="A2638" s="2" t="str">
        <f>"5997264159320"</f>
        <v>5997264159320</v>
      </c>
      <c r="B2638" s="1" t="s">
        <v>2628</v>
      </c>
      <c r="C2638" s="9" t="s">
        <v>3386</v>
      </c>
      <c r="D2638" s="6">
        <v>248.92</v>
      </c>
      <c r="F2638">
        <v>100</v>
      </c>
    </row>
    <row r="2639" spans="1:6" x14ac:dyDescent="0.2">
      <c r="A2639" s="2" t="str">
        <f>"5999885140046"</f>
        <v>5999885140046</v>
      </c>
      <c r="B2639" s="1" t="s">
        <v>2629</v>
      </c>
      <c r="C2639" s="9" t="s">
        <v>3377</v>
      </c>
      <c r="D2639" s="6">
        <v>168</v>
      </c>
      <c r="F2639">
        <v>100</v>
      </c>
    </row>
    <row r="2640" spans="1:6" x14ac:dyDescent="0.2">
      <c r="A2640" s="2" t="str">
        <f>"5999885140565"</f>
        <v>5999885140565</v>
      </c>
      <c r="B2640" s="1" t="s">
        <v>2630</v>
      </c>
      <c r="C2640" s="9" t="s">
        <v>3377</v>
      </c>
      <c r="D2640" s="6">
        <v>167.56</v>
      </c>
      <c r="F2640">
        <v>100</v>
      </c>
    </row>
    <row r="2641" spans="1:6" x14ac:dyDescent="0.2">
      <c r="A2641" s="2" t="str">
        <f>"5999885140015"</f>
        <v>5999885140015</v>
      </c>
      <c r="B2641" s="1" t="s">
        <v>2631</v>
      </c>
      <c r="C2641" s="9" t="s">
        <v>3377</v>
      </c>
      <c r="D2641" s="6">
        <v>167.93</v>
      </c>
      <c r="F2641">
        <v>100</v>
      </c>
    </row>
    <row r="2642" spans="1:6" x14ac:dyDescent="0.2">
      <c r="A2642" s="2" t="str">
        <f>"5900334003454"</f>
        <v>5900334003454</v>
      </c>
      <c r="B2642" s="1" t="s">
        <v>2632</v>
      </c>
      <c r="C2642" s="9" t="s">
        <v>3374</v>
      </c>
      <c r="D2642" s="6">
        <v>163.04</v>
      </c>
      <c r="F2642">
        <v>100</v>
      </c>
    </row>
    <row r="2643" spans="1:6" x14ac:dyDescent="0.2">
      <c r="A2643" s="2" t="str">
        <f>"5997642111285"</f>
        <v>5997642111285</v>
      </c>
      <c r="B2643" s="1" t="s">
        <v>2633</v>
      </c>
      <c r="C2643" s="9" t="s">
        <v>3374</v>
      </c>
      <c r="D2643" s="6">
        <v>183.34</v>
      </c>
      <c r="F2643">
        <v>100</v>
      </c>
    </row>
    <row r="2644" spans="1:6" x14ac:dyDescent="0.2">
      <c r="A2644" s="2" t="str">
        <f>"5997642111308"</f>
        <v>5997642111308</v>
      </c>
      <c r="B2644" s="1" t="s">
        <v>2634</v>
      </c>
      <c r="C2644" s="9" t="s">
        <v>3374</v>
      </c>
      <c r="D2644" s="6">
        <v>181.88</v>
      </c>
      <c r="F2644">
        <v>100</v>
      </c>
    </row>
    <row r="2645" spans="1:6" x14ac:dyDescent="0.2">
      <c r="A2645" s="2" t="str">
        <f>"9008700181310"</f>
        <v>9008700181310</v>
      </c>
      <c r="B2645" s="1" t="s">
        <v>2635</v>
      </c>
      <c r="C2645" s="9" t="s">
        <v>3374</v>
      </c>
      <c r="D2645" s="6">
        <v>160.03</v>
      </c>
      <c r="F2645">
        <v>100</v>
      </c>
    </row>
    <row r="2646" spans="1:6" x14ac:dyDescent="0.2">
      <c r="A2646" s="2" t="str">
        <f>"8001620005354"</f>
        <v>8001620005354</v>
      </c>
      <c r="B2646" s="1" t="s">
        <v>2636</v>
      </c>
      <c r="C2646" s="9" t="s">
        <v>3374</v>
      </c>
      <c r="D2646" s="6">
        <v>283.43</v>
      </c>
      <c r="F2646">
        <v>100</v>
      </c>
    </row>
    <row r="2647" spans="1:6" x14ac:dyDescent="0.2">
      <c r="A2647" s="2" t="str">
        <f>"5998815111705"</f>
        <v>5998815111705</v>
      </c>
      <c r="B2647" s="1" t="s">
        <v>2637</v>
      </c>
      <c r="C2647" s="9" t="s">
        <v>3377</v>
      </c>
      <c r="D2647" s="6">
        <v>398.35</v>
      </c>
      <c r="F2647">
        <v>100</v>
      </c>
    </row>
    <row r="2648" spans="1:6" x14ac:dyDescent="0.2">
      <c r="A2648" s="2" t="str">
        <f>"5998815117332"</f>
        <v>5998815117332</v>
      </c>
      <c r="B2648" s="1" t="s">
        <v>2638</v>
      </c>
      <c r="C2648" s="9" t="s">
        <v>3377</v>
      </c>
      <c r="D2648" s="6">
        <v>343.82</v>
      </c>
      <c r="F2648">
        <v>100</v>
      </c>
    </row>
    <row r="2649" spans="1:6" x14ac:dyDescent="0.2">
      <c r="A2649" s="2" t="str">
        <f>"5998835905278"</f>
        <v>5998835905278</v>
      </c>
      <c r="B2649" s="1" t="s">
        <v>2639</v>
      </c>
      <c r="C2649" s="9" t="s">
        <v>3378</v>
      </c>
      <c r="D2649" s="6">
        <v>350</v>
      </c>
      <c r="F2649">
        <v>100</v>
      </c>
    </row>
    <row r="2650" spans="1:6" x14ac:dyDescent="0.2">
      <c r="A2650" s="2" t="str">
        <f>"5998821510271"</f>
        <v>5998821510271</v>
      </c>
      <c r="B2650" s="1" t="s">
        <v>2640</v>
      </c>
      <c r="C2650" s="9" t="s">
        <v>3377</v>
      </c>
      <c r="D2650" s="6">
        <v>154.71</v>
      </c>
      <c r="F2650">
        <v>100</v>
      </c>
    </row>
    <row r="2651" spans="1:6" x14ac:dyDescent="0.2">
      <c r="A2651" s="2" t="str">
        <f>"5998821502900"</f>
        <v>5998821502900</v>
      </c>
      <c r="B2651" s="1" t="s">
        <v>2641</v>
      </c>
      <c r="C2651" s="9" t="s">
        <v>3374</v>
      </c>
      <c r="D2651" s="6">
        <v>155</v>
      </c>
      <c r="F2651">
        <v>100</v>
      </c>
    </row>
    <row r="2652" spans="1:6" x14ac:dyDescent="0.2">
      <c r="A2652" s="2" t="str">
        <f>"5998821598583"</f>
        <v>5998821598583</v>
      </c>
      <c r="B2652" s="1" t="s">
        <v>2642</v>
      </c>
      <c r="C2652" s="9" t="s">
        <v>3376</v>
      </c>
      <c r="D2652" s="6">
        <v>159.21</v>
      </c>
      <c r="F2652">
        <v>100</v>
      </c>
    </row>
    <row r="2653" spans="1:6" x14ac:dyDescent="0.2">
      <c r="A2653" s="2" t="str">
        <f>"5449000097750"</f>
        <v>5449000097750</v>
      </c>
      <c r="B2653" s="1" t="s">
        <v>2643</v>
      </c>
      <c r="C2653" s="9" t="s">
        <v>3376</v>
      </c>
      <c r="D2653" s="6">
        <v>372.29</v>
      </c>
      <c r="F2653">
        <v>100</v>
      </c>
    </row>
    <row r="2654" spans="1:6" x14ac:dyDescent="0.2">
      <c r="A2654" s="2" t="str">
        <f>"5449000191410"</f>
        <v>5449000191410</v>
      </c>
      <c r="B2654" s="1" t="s">
        <v>2644</v>
      </c>
      <c r="C2654" s="9" t="s">
        <v>3376</v>
      </c>
      <c r="D2654" s="6">
        <v>358.19</v>
      </c>
      <c r="F2654">
        <v>100</v>
      </c>
    </row>
    <row r="2655" spans="1:6" x14ac:dyDescent="0.2">
      <c r="A2655" s="2" t="str">
        <f>"42099697     "</f>
        <v xml:space="preserve">42099697     </v>
      </c>
      <c r="B2655" s="1" t="s">
        <v>2645</v>
      </c>
      <c r="C2655" s="9" t="s">
        <v>3377</v>
      </c>
      <c r="D2655" s="6">
        <v>280</v>
      </c>
      <c r="F2655">
        <v>100</v>
      </c>
    </row>
    <row r="2656" spans="1:6" x14ac:dyDescent="0.2">
      <c r="A2656" s="2" t="str">
        <f>"5449000196613"</f>
        <v>5449000196613</v>
      </c>
      <c r="B2656" s="1" t="s">
        <v>2646</v>
      </c>
      <c r="C2656" s="9" t="s">
        <v>3377</v>
      </c>
      <c r="D2656" s="6">
        <v>498.01</v>
      </c>
      <c r="F2656">
        <v>100</v>
      </c>
    </row>
    <row r="2657" spans="1:6" x14ac:dyDescent="0.2">
      <c r="A2657" s="2" t="str">
        <f>"5999558122591"</f>
        <v>5999558122591</v>
      </c>
      <c r="B2657" s="1" t="s">
        <v>2647</v>
      </c>
      <c r="C2657" s="9" t="s">
        <v>3376</v>
      </c>
      <c r="D2657" s="6">
        <v>264.41000000000003</v>
      </c>
      <c r="F2657">
        <v>100</v>
      </c>
    </row>
    <row r="2658" spans="1:6" x14ac:dyDescent="0.2">
      <c r="A2658" s="2" t="str">
        <f>"5449000109347"</f>
        <v>5449000109347</v>
      </c>
      <c r="B2658" s="1" t="s">
        <v>2648</v>
      </c>
      <c r="C2658" s="9" t="s">
        <v>3376</v>
      </c>
      <c r="D2658" s="6">
        <v>263.11</v>
      </c>
      <c r="F2658">
        <v>100</v>
      </c>
    </row>
    <row r="2659" spans="1:6" x14ac:dyDescent="0.2">
      <c r="A2659" s="2" t="str">
        <f>"049000067729 "</f>
        <v xml:space="preserve">049000067729 </v>
      </c>
      <c r="B2659" s="1" t="s">
        <v>2649</v>
      </c>
      <c r="C2659" s="9" t="s">
        <v>3377</v>
      </c>
      <c r="D2659" s="6">
        <v>288</v>
      </c>
      <c r="F2659">
        <v>100</v>
      </c>
    </row>
    <row r="2660" spans="1:6" x14ac:dyDescent="0.2">
      <c r="A2660" s="2" t="str">
        <f>"3800003308793"</f>
        <v>3800003308793</v>
      </c>
      <c r="B2660" s="1" t="s">
        <v>2650</v>
      </c>
      <c r="C2660" s="9" t="s">
        <v>3388</v>
      </c>
      <c r="D2660" s="6">
        <v>39.99</v>
      </c>
      <c r="F2660">
        <v>100</v>
      </c>
    </row>
    <row r="2661" spans="1:6" x14ac:dyDescent="0.2">
      <c r="A2661" s="2" t="str">
        <f>"9008700179140"</f>
        <v>9008700179140</v>
      </c>
      <c r="B2661" s="1" t="s">
        <v>2651</v>
      </c>
      <c r="C2661" s="9" t="s">
        <v>3377</v>
      </c>
      <c r="D2661" s="6">
        <v>223.32</v>
      </c>
      <c r="F2661">
        <v>100</v>
      </c>
    </row>
    <row r="2662" spans="1:6" x14ac:dyDescent="0.2">
      <c r="A2662" s="2" t="str">
        <f>"5998815111781"</f>
        <v>5998815111781</v>
      </c>
      <c r="B2662" s="1" t="s">
        <v>2652</v>
      </c>
      <c r="C2662" s="9" t="s">
        <v>3377</v>
      </c>
      <c r="D2662" s="6">
        <v>400.21</v>
      </c>
      <c r="F2662">
        <v>100</v>
      </c>
    </row>
    <row r="2663" spans="1:6" x14ac:dyDescent="0.2">
      <c r="A2663" s="2" t="str">
        <f>"5999885140701"</f>
        <v>5999885140701</v>
      </c>
      <c r="B2663" s="1" t="s">
        <v>2653</v>
      </c>
      <c r="C2663" s="9" t="s">
        <v>3374</v>
      </c>
      <c r="D2663" s="6">
        <v>96.9</v>
      </c>
      <c r="F2663">
        <v>100</v>
      </c>
    </row>
    <row r="2664" spans="1:6" x14ac:dyDescent="0.2">
      <c r="A2664" s="2" t="str">
        <f>"5999885140428"</f>
        <v>5999885140428</v>
      </c>
      <c r="B2664" s="1" t="s">
        <v>2654</v>
      </c>
      <c r="C2664" s="9" t="s">
        <v>3377</v>
      </c>
      <c r="D2664" s="6">
        <v>238</v>
      </c>
      <c r="F2664">
        <v>100</v>
      </c>
    </row>
    <row r="2665" spans="1:6" x14ac:dyDescent="0.2">
      <c r="A2665" s="2" t="str">
        <f>"5999885140169"</f>
        <v>5999885140169</v>
      </c>
      <c r="B2665" s="1" t="s">
        <v>2655</v>
      </c>
      <c r="C2665" s="9" t="s">
        <v>3377</v>
      </c>
      <c r="D2665" s="6">
        <v>144.38</v>
      </c>
      <c r="F2665">
        <v>100</v>
      </c>
    </row>
    <row r="2666" spans="1:6" x14ac:dyDescent="0.2">
      <c r="A2666" s="2" t="str">
        <f>"5999885140954"</f>
        <v>5999885140954</v>
      </c>
      <c r="B2666" s="1" t="s">
        <v>2656</v>
      </c>
      <c r="C2666" s="9" t="s">
        <v>3377</v>
      </c>
      <c r="D2666" s="6">
        <v>168</v>
      </c>
      <c r="F2666">
        <v>100</v>
      </c>
    </row>
    <row r="2667" spans="1:6" x14ac:dyDescent="0.2">
      <c r="A2667" s="2" t="str">
        <f>"5999885140527"</f>
        <v>5999885140527</v>
      </c>
      <c r="B2667" s="1" t="s">
        <v>2657</v>
      </c>
      <c r="C2667" s="9" t="s">
        <v>3377</v>
      </c>
      <c r="D2667" s="6">
        <v>238</v>
      </c>
      <c r="F2667">
        <v>100</v>
      </c>
    </row>
    <row r="2668" spans="1:6" x14ac:dyDescent="0.2">
      <c r="A2668" s="2" t="str">
        <f>"5900497019354"</f>
        <v>5900497019354</v>
      </c>
      <c r="B2668" s="1" t="s">
        <v>2658</v>
      </c>
      <c r="C2668" s="9" t="s">
        <v>3386</v>
      </c>
      <c r="D2668" s="6">
        <v>258.13</v>
      </c>
      <c r="F2668">
        <v>100</v>
      </c>
    </row>
    <row r="2669" spans="1:6" x14ac:dyDescent="0.2">
      <c r="A2669" s="2" t="str">
        <f>"5900497029636"</f>
        <v>5900497029636</v>
      </c>
      <c r="B2669" s="1" t="s">
        <v>2659</v>
      </c>
      <c r="C2669" s="9" t="s">
        <v>3386</v>
      </c>
      <c r="D2669" s="6">
        <v>206.38</v>
      </c>
      <c r="F2669">
        <v>100</v>
      </c>
    </row>
    <row r="2670" spans="1:6" x14ac:dyDescent="0.2">
      <c r="A2670" s="2" t="str">
        <f>"8594008043753"</f>
        <v>8594008043753</v>
      </c>
      <c r="B2670" s="1" t="s">
        <v>2660</v>
      </c>
      <c r="C2670" s="9" t="s">
        <v>3386</v>
      </c>
      <c r="D2670" s="6">
        <v>177.79</v>
      </c>
      <c r="F2670">
        <v>100</v>
      </c>
    </row>
    <row r="2671" spans="1:6" x14ac:dyDescent="0.2">
      <c r="A2671" s="2" t="str">
        <f>"5999884184034"</f>
        <v>5999884184034</v>
      </c>
      <c r="B2671" s="1" t="s">
        <v>2661</v>
      </c>
      <c r="C2671" s="9" t="s">
        <v>3374</v>
      </c>
      <c r="D2671" s="6">
        <v>352.4</v>
      </c>
      <c r="F2671">
        <v>100</v>
      </c>
    </row>
    <row r="2672" spans="1:6" x14ac:dyDescent="0.2">
      <c r="A2672" s="2" t="str">
        <f>"9008700118651"</f>
        <v>9008700118651</v>
      </c>
      <c r="B2672" s="1" t="s">
        <v>2662</v>
      </c>
      <c r="C2672" s="9" t="s">
        <v>3374</v>
      </c>
      <c r="D2672" s="6">
        <v>243.4</v>
      </c>
      <c r="F2672">
        <v>100</v>
      </c>
    </row>
    <row r="2673" spans="1:6" x14ac:dyDescent="0.2">
      <c r="A2673" s="2" t="str">
        <f>"9008700180115"</f>
        <v>9008700180115</v>
      </c>
      <c r="B2673" s="1" t="s">
        <v>2663</v>
      </c>
      <c r="C2673" s="9" t="s">
        <v>3374</v>
      </c>
      <c r="D2673" s="6">
        <v>242.8</v>
      </c>
      <c r="F2673">
        <v>100</v>
      </c>
    </row>
    <row r="2674" spans="1:6" x14ac:dyDescent="0.2">
      <c r="A2674" s="2" t="str">
        <f>"9008700141918"</f>
        <v>9008700141918</v>
      </c>
      <c r="B2674" s="1" t="s">
        <v>2664</v>
      </c>
      <c r="C2674" s="9" t="s">
        <v>3375</v>
      </c>
      <c r="D2674" s="6">
        <v>177.6</v>
      </c>
      <c r="F2674">
        <v>100</v>
      </c>
    </row>
    <row r="2675" spans="1:6" x14ac:dyDescent="0.2">
      <c r="A2675" s="2" t="str">
        <f>"5998815114751"</f>
        <v>5998815114751</v>
      </c>
      <c r="B2675" s="1" t="s">
        <v>2665</v>
      </c>
      <c r="C2675" s="9" t="s">
        <v>3377</v>
      </c>
      <c r="D2675" s="6">
        <v>237.84</v>
      </c>
      <c r="F2675">
        <v>100</v>
      </c>
    </row>
    <row r="2676" spans="1:6" x14ac:dyDescent="0.2">
      <c r="A2676" s="2" t="str">
        <f>"5998815117059"</f>
        <v>5998815117059</v>
      </c>
      <c r="B2676" s="1" t="s">
        <v>2666</v>
      </c>
      <c r="C2676" s="9" t="s">
        <v>3377</v>
      </c>
      <c r="D2676" s="6">
        <v>257.83</v>
      </c>
      <c r="F2676">
        <v>100</v>
      </c>
    </row>
    <row r="2677" spans="1:6" x14ac:dyDescent="0.2">
      <c r="A2677" s="2" t="str">
        <f>"5998815116571"</f>
        <v>5998815116571</v>
      </c>
      <c r="B2677" s="1" t="s">
        <v>2667</v>
      </c>
      <c r="C2677" s="9" t="s">
        <v>3377</v>
      </c>
      <c r="D2677" s="6">
        <v>241.53</v>
      </c>
      <c r="F2677">
        <v>100</v>
      </c>
    </row>
    <row r="2678" spans="1:6" x14ac:dyDescent="0.2">
      <c r="A2678" s="2" t="str">
        <f>"5998815115482"</f>
        <v>5998815115482</v>
      </c>
      <c r="B2678" s="1" t="s">
        <v>2668</v>
      </c>
      <c r="C2678" s="9" t="s">
        <v>3377</v>
      </c>
      <c r="D2678" s="6">
        <v>244.74</v>
      </c>
      <c r="F2678">
        <v>100</v>
      </c>
    </row>
    <row r="2679" spans="1:6" x14ac:dyDescent="0.2">
      <c r="A2679" s="2" t="str">
        <f>"5998815118032"</f>
        <v>5998815118032</v>
      </c>
      <c r="B2679" s="1" t="s">
        <v>2669</v>
      </c>
      <c r="C2679" s="9" t="s">
        <v>3377</v>
      </c>
      <c r="D2679" s="6">
        <v>244.88</v>
      </c>
      <c r="F2679">
        <v>100</v>
      </c>
    </row>
    <row r="2680" spans="1:6" x14ac:dyDescent="0.2">
      <c r="A2680" s="2" t="str">
        <f>"5449000028976"</f>
        <v>5449000028976</v>
      </c>
      <c r="B2680" s="1" t="s">
        <v>2670</v>
      </c>
      <c r="C2680" s="9" t="s">
        <v>3376</v>
      </c>
      <c r="D2680" s="6">
        <v>261.57</v>
      </c>
      <c r="F2680">
        <v>100</v>
      </c>
    </row>
    <row r="2681" spans="1:6" x14ac:dyDescent="0.2">
      <c r="A2681" s="2" t="str">
        <f>"5449000109613"</f>
        <v>5449000109613</v>
      </c>
      <c r="B2681" s="1" t="s">
        <v>2671</v>
      </c>
      <c r="C2681" s="9" t="s">
        <v>3376</v>
      </c>
      <c r="D2681" s="6">
        <v>216.55</v>
      </c>
      <c r="F2681">
        <v>100</v>
      </c>
    </row>
    <row r="2682" spans="1:6" x14ac:dyDescent="0.2">
      <c r="A2682" s="2" t="str">
        <f>"5998821510400"</f>
        <v>5998821510400</v>
      </c>
      <c r="B2682" s="1" t="s">
        <v>2672</v>
      </c>
      <c r="C2682" s="9" t="s">
        <v>3374</v>
      </c>
      <c r="D2682" s="6">
        <v>125.12</v>
      </c>
      <c r="F2682">
        <v>100</v>
      </c>
    </row>
    <row r="2683" spans="1:6" x14ac:dyDescent="0.2">
      <c r="A2683" s="2" t="str">
        <f>"5999885746033"</f>
        <v>5999885746033</v>
      </c>
      <c r="B2683" s="1" t="s">
        <v>2673</v>
      </c>
      <c r="C2683" s="9" t="s">
        <v>3395</v>
      </c>
      <c r="D2683" s="6">
        <v>174.9</v>
      </c>
      <c r="F2683">
        <v>100</v>
      </c>
    </row>
    <row r="2684" spans="1:6" x14ac:dyDescent="0.2">
      <c r="A2684" s="2" t="str">
        <f>"5998835905377"</f>
        <v>5998835905377</v>
      </c>
      <c r="B2684" s="1" t="s">
        <v>2674</v>
      </c>
      <c r="C2684" s="9" t="s">
        <v>3378</v>
      </c>
      <c r="D2684" s="6">
        <v>340</v>
      </c>
      <c r="F2684">
        <v>100</v>
      </c>
    </row>
    <row r="2685" spans="1:6" x14ac:dyDescent="0.2">
      <c r="A2685" s="2" t="str">
        <f>"5998821503808"</f>
        <v>5998821503808</v>
      </c>
      <c r="B2685" s="1" t="s">
        <v>2675</v>
      </c>
      <c r="C2685" s="9" t="s">
        <v>3374</v>
      </c>
      <c r="D2685" s="6">
        <v>183.34</v>
      </c>
      <c r="F2685">
        <v>100</v>
      </c>
    </row>
    <row r="2686" spans="1:6" x14ac:dyDescent="0.2">
      <c r="A2686" s="2" t="str">
        <f>"5998821502924"</f>
        <v>5998821502924</v>
      </c>
      <c r="B2686" s="1" t="s">
        <v>2676</v>
      </c>
      <c r="C2686" s="9" t="s">
        <v>3374</v>
      </c>
      <c r="D2686" s="6">
        <v>155</v>
      </c>
      <c r="F2686">
        <v>100</v>
      </c>
    </row>
    <row r="2687" spans="1:6" x14ac:dyDescent="0.2">
      <c r="A2687" s="2" t="str">
        <f>"5998821501286"</f>
        <v>5998821501286</v>
      </c>
      <c r="B2687" s="1" t="s">
        <v>2677</v>
      </c>
      <c r="C2687" s="9" t="s">
        <v>3377</v>
      </c>
      <c r="D2687" s="6">
        <v>159.99</v>
      </c>
      <c r="F2687">
        <v>100</v>
      </c>
    </row>
    <row r="2688" spans="1:6" x14ac:dyDescent="0.2">
      <c r="A2688" s="2" t="str">
        <f>"5998821503846"</f>
        <v>5998821503846</v>
      </c>
      <c r="B2688" s="1" t="s">
        <v>2678</v>
      </c>
      <c r="C2688" s="9" t="s">
        <v>3374</v>
      </c>
      <c r="D2688" s="6">
        <v>184.76</v>
      </c>
      <c r="F2688">
        <v>100</v>
      </c>
    </row>
    <row r="2689" spans="1:6" x14ac:dyDescent="0.2">
      <c r="A2689" s="2" t="str">
        <f>"9008700113304"</f>
        <v>9008700113304</v>
      </c>
      <c r="B2689" s="1" t="s">
        <v>2679</v>
      </c>
      <c r="C2689" s="9" t="s">
        <v>3375</v>
      </c>
      <c r="D2689" s="6">
        <v>291.64999999999998</v>
      </c>
      <c r="F2689">
        <v>100</v>
      </c>
    </row>
    <row r="2690" spans="1:6" x14ac:dyDescent="0.2">
      <c r="A2690" s="2" t="str">
        <f>"5449000214744"</f>
        <v>5449000214744</v>
      </c>
      <c r="B2690" s="1" t="s">
        <v>2680</v>
      </c>
      <c r="C2690" s="9" t="s">
        <v>3376</v>
      </c>
      <c r="D2690" s="6">
        <v>213.93</v>
      </c>
      <c r="F2690">
        <v>100</v>
      </c>
    </row>
    <row r="2691" spans="1:6" x14ac:dyDescent="0.2">
      <c r="A2691" s="2" t="str">
        <f>"5449000267986"</f>
        <v>5449000267986</v>
      </c>
      <c r="B2691" s="1" t="s">
        <v>2681</v>
      </c>
      <c r="C2691" s="9" t="s">
        <v>3376</v>
      </c>
      <c r="D2691" s="6">
        <v>324.87</v>
      </c>
      <c r="F2691">
        <v>100</v>
      </c>
    </row>
    <row r="2692" spans="1:6" x14ac:dyDescent="0.2">
      <c r="A2692" s="2" t="str">
        <f>"5449000665492"</f>
        <v>5449000665492</v>
      </c>
      <c r="B2692" s="1" t="s">
        <v>2682</v>
      </c>
      <c r="C2692" s="9" t="s">
        <v>3376</v>
      </c>
      <c r="D2692" s="6">
        <v>303.19</v>
      </c>
      <c r="F2692">
        <v>100</v>
      </c>
    </row>
    <row r="2693" spans="1:6" x14ac:dyDescent="0.2">
      <c r="A2693" s="2" t="str">
        <f>"90331701     "</f>
        <v xml:space="preserve">90331701     </v>
      </c>
      <c r="B2693" s="1" t="s">
        <v>2683</v>
      </c>
      <c r="C2693" s="9" t="s">
        <v>3376</v>
      </c>
      <c r="D2693" s="6">
        <v>221.96</v>
      </c>
      <c r="F2693">
        <v>100</v>
      </c>
    </row>
    <row r="2694" spans="1:6" x14ac:dyDescent="0.2">
      <c r="A2694" s="2" t="str">
        <f>"5449000245014"</f>
        <v>5449000245014</v>
      </c>
      <c r="B2694" s="1" t="s">
        <v>2684</v>
      </c>
      <c r="C2694" s="9" t="s">
        <v>3376</v>
      </c>
      <c r="D2694" s="6">
        <v>202.87</v>
      </c>
      <c r="F2694">
        <v>100</v>
      </c>
    </row>
    <row r="2695" spans="1:6" x14ac:dyDescent="0.2">
      <c r="A2695" s="2" t="str">
        <f>"3800003308434"</f>
        <v>3800003308434</v>
      </c>
      <c r="B2695" s="1" t="s">
        <v>2685</v>
      </c>
      <c r="C2695" s="9" t="s">
        <v>3388</v>
      </c>
      <c r="D2695" s="6">
        <v>39.92</v>
      </c>
      <c r="F2695">
        <v>100</v>
      </c>
    </row>
    <row r="2696" spans="1:6" x14ac:dyDescent="0.2">
      <c r="A2696" s="2" t="str">
        <f>"3800003308045"</f>
        <v>3800003308045</v>
      </c>
      <c r="B2696" s="1" t="s">
        <v>2686</v>
      </c>
      <c r="C2696" s="9" t="s">
        <v>3388</v>
      </c>
      <c r="D2696" s="6">
        <v>39.840000000000003</v>
      </c>
      <c r="F2696">
        <v>100</v>
      </c>
    </row>
    <row r="2697" spans="1:6" x14ac:dyDescent="0.2">
      <c r="A2697" s="2" t="str">
        <f>"3800003308618"</f>
        <v>3800003308618</v>
      </c>
      <c r="B2697" s="1" t="s">
        <v>2687</v>
      </c>
      <c r="C2697" s="9" t="s">
        <v>3388</v>
      </c>
      <c r="D2697" s="6">
        <v>39.78</v>
      </c>
      <c r="F2697">
        <v>100</v>
      </c>
    </row>
    <row r="2698" spans="1:6" x14ac:dyDescent="0.2">
      <c r="A2698" s="2" t="str">
        <f>"3800003308700"</f>
        <v>3800003308700</v>
      </c>
      <c r="B2698" s="1" t="s">
        <v>2688</v>
      </c>
      <c r="C2698" s="9" t="s">
        <v>3388</v>
      </c>
      <c r="D2698" s="6">
        <v>39.950000000000003</v>
      </c>
      <c r="F2698">
        <v>100</v>
      </c>
    </row>
    <row r="2699" spans="1:6" x14ac:dyDescent="0.2">
      <c r="A2699" s="2" t="str">
        <f>"5449000236500"</f>
        <v>5449000236500</v>
      </c>
      <c r="B2699" s="1" t="s">
        <v>2689</v>
      </c>
      <c r="C2699" s="9" t="s">
        <v>3376</v>
      </c>
      <c r="D2699" s="6">
        <v>220.72</v>
      </c>
      <c r="F2699">
        <v>100</v>
      </c>
    </row>
    <row r="2700" spans="1:6" x14ac:dyDescent="0.2">
      <c r="A2700" s="2" t="str">
        <f>"9008700181525"</f>
        <v>9008700181525</v>
      </c>
      <c r="B2700" s="1" t="s">
        <v>2690</v>
      </c>
      <c r="C2700" s="9" t="s">
        <v>3377</v>
      </c>
      <c r="D2700" s="6">
        <v>228.38</v>
      </c>
      <c r="F2700">
        <v>100</v>
      </c>
    </row>
    <row r="2701" spans="1:6" x14ac:dyDescent="0.2">
      <c r="A2701" s="2" t="str">
        <f>"9008700180856"</f>
        <v>9008700180856</v>
      </c>
      <c r="B2701" s="1" t="s">
        <v>2691</v>
      </c>
      <c r="C2701" s="9" t="s">
        <v>3377</v>
      </c>
      <c r="D2701" s="6">
        <v>223.37</v>
      </c>
      <c r="F2701">
        <v>100</v>
      </c>
    </row>
    <row r="2702" spans="1:6" x14ac:dyDescent="0.2">
      <c r="A2702" s="2" t="str">
        <f>"5998815159158"</f>
        <v>5998815159158</v>
      </c>
      <c r="B2702" s="1" t="s">
        <v>2692</v>
      </c>
      <c r="C2702" s="9" t="s">
        <v>3374</v>
      </c>
      <c r="D2702" s="6">
        <v>115.7</v>
      </c>
      <c r="F2702">
        <v>100</v>
      </c>
    </row>
    <row r="2703" spans="1:6" x14ac:dyDescent="0.2">
      <c r="A2703" s="2" t="str">
        <f>"5998815112368"</f>
        <v>5998815112368</v>
      </c>
      <c r="B2703" s="1" t="s">
        <v>2693</v>
      </c>
      <c r="C2703" s="9" t="s">
        <v>3377</v>
      </c>
      <c r="D2703" s="6">
        <v>400.49</v>
      </c>
      <c r="F2703">
        <v>100</v>
      </c>
    </row>
    <row r="2704" spans="1:6" x14ac:dyDescent="0.2">
      <c r="A2704" s="2" t="str">
        <f>"3858884601717"</f>
        <v>3858884601717</v>
      </c>
      <c r="B2704" s="1" t="s">
        <v>2694</v>
      </c>
      <c r="C2704" s="9" t="s">
        <v>3377</v>
      </c>
      <c r="D2704" s="6">
        <v>234.6</v>
      </c>
      <c r="F2704">
        <v>100</v>
      </c>
    </row>
    <row r="2705" spans="1:6" x14ac:dyDescent="0.2">
      <c r="A2705" s="2" t="str">
        <f>"5901067400589"</f>
        <v>5901067400589</v>
      </c>
      <c r="B2705" s="1" t="s">
        <v>2695</v>
      </c>
      <c r="C2705" s="9" t="s">
        <v>3374</v>
      </c>
      <c r="D2705" s="6">
        <v>150.08000000000001</v>
      </c>
      <c r="F2705">
        <v>100</v>
      </c>
    </row>
    <row r="2706" spans="1:6" x14ac:dyDescent="0.2">
      <c r="A2706" s="2" t="str">
        <f>"5901067400220"</f>
        <v>5901067400220</v>
      </c>
      <c r="B2706" s="1" t="s">
        <v>2696</v>
      </c>
      <c r="C2706" s="9" t="s">
        <v>3374</v>
      </c>
      <c r="D2706" s="6">
        <v>169.56</v>
      </c>
      <c r="F2706">
        <v>100</v>
      </c>
    </row>
    <row r="2707" spans="1:6" x14ac:dyDescent="0.2">
      <c r="A2707" s="2" t="str">
        <f>"5999885140930"</f>
        <v>5999885140930</v>
      </c>
      <c r="B2707" s="1" t="s">
        <v>2697</v>
      </c>
      <c r="C2707" s="9" t="s">
        <v>3377</v>
      </c>
      <c r="D2707" s="6">
        <v>168</v>
      </c>
      <c r="F2707">
        <v>100</v>
      </c>
    </row>
    <row r="2708" spans="1:6" x14ac:dyDescent="0.2">
      <c r="A2708" s="2" t="str">
        <f>"5999885140152"</f>
        <v>5999885140152</v>
      </c>
      <c r="B2708" s="1" t="s">
        <v>2698</v>
      </c>
      <c r="C2708" s="9" t="s">
        <v>3377</v>
      </c>
      <c r="D2708" s="6">
        <v>145</v>
      </c>
      <c r="F2708">
        <v>100</v>
      </c>
    </row>
    <row r="2709" spans="1:6" x14ac:dyDescent="0.2">
      <c r="A2709" s="2" t="str">
        <f>"5999885140343"</f>
        <v>5999885140343</v>
      </c>
      <c r="B2709" s="1" t="s">
        <v>2699</v>
      </c>
      <c r="C2709" s="9" t="s">
        <v>3377</v>
      </c>
      <c r="D2709" s="6">
        <v>143.76</v>
      </c>
      <c r="F2709">
        <v>100</v>
      </c>
    </row>
    <row r="2710" spans="1:6" x14ac:dyDescent="0.2">
      <c r="A2710" s="2" t="str">
        <f>"5999885140435"</f>
        <v>5999885140435</v>
      </c>
      <c r="B2710" s="1" t="s">
        <v>2700</v>
      </c>
      <c r="C2710" s="9" t="s">
        <v>3377</v>
      </c>
      <c r="D2710" s="6">
        <v>237</v>
      </c>
      <c r="F2710">
        <v>100</v>
      </c>
    </row>
    <row r="2711" spans="1:6" x14ac:dyDescent="0.2">
      <c r="A2711" s="2" t="str">
        <f>"5999885140039"</f>
        <v>5999885140039</v>
      </c>
      <c r="B2711" s="1" t="s">
        <v>2701</v>
      </c>
      <c r="C2711" s="9" t="s">
        <v>3377</v>
      </c>
      <c r="D2711" s="6">
        <v>168</v>
      </c>
      <c r="F2711">
        <v>100</v>
      </c>
    </row>
    <row r="2712" spans="1:6" x14ac:dyDescent="0.2">
      <c r="A2712" s="2" t="str">
        <f>"8594008043630"</f>
        <v>8594008043630</v>
      </c>
      <c r="B2712" s="1" t="s">
        <v>2702</v>
      </c>
      <c r="C2712" s="9" t="s">
        <v>3386</v>
      </c>
      <c r="D2712" s="6">
        <v>275.69</v>
      </c>
      <c r="F2712">
        <v>100</v>
      </c>
    </row>
    <row r="2713" spans="1:6" x14ac:dyDescent="0.2">
      <c r="A2713" s="2" t="str">
        <f>"5900334003430"</f>
        <v>5900334003430</v>
      </c>
      <c r="B2713" s="1" t="s">
        <v>2703</v>
      </c>
      <c r="C2713" s="9" t="s">
        <v>3374</v>
      </c>
      <c r="D2713" s="6">
        <v>162.72999999999999</v>
      </c>
      <c r="F2713">
        <v>100</v>
      </c>
    </row>
    <row r="2714" spans="1:6" x14ac:dyDescent="0.2">
      <c r="A2714" s="2" t="str">
        <f>"5998821597913"</f>
        <v>5998821597913</v>
      </c>
      <c r="B2714" s="1" t="s">
        <v>2704</v>
      </c>
      <c r="C2714" s="9" t="s">
        <v>3374</v>
      </c>
      <c r="D2714" s="6">
        <v>193.01</v>
      </c>
      <c r="F2714">
        <v>100</v>
      </c>
    </row>
    <row r="2715" spans="1:6" x14ac:dyDescent="0.2">
      <c r="A2715" s="2" t="str">
        <f>"5997264166038"</f>
        <v>5997264166038</v>
      </c>
      <c r="B2715" s="1" t="s">
        <v>2705</v>
      </c>
      <c r="C2715" s="9" t="s">
        <v>3386</v>
      </c>
      <c r="D2715" s="6">
        <v>260.33999999999997</v>
      </c>
      <c r="F2715">
        <v>100</v>
      </c>
    </row>
    <row r="2716" spans="1:6" x14ac:dyDescent="0.2">
      <c r="A2716" s="2" t="str">
        <f>"5900497032988"</f>
        <v>5900497032988</v>
      </c>
      <c r="B2716" s="1" t="s">
        <v>2706</v>
      </c>
      <c r="C2716" s="9" t="s">
        <v>3386</v>
      </c>
      <c r="D2716" s="6">
        <v>206.38</v>
      </c>
      <c r="F2716">
        <v>100</v>
      </c>
    </row>
    <row r="2717" spans="1:6" x14ac:dyDescent="0.2">
      <c r="A2717" s="2" t="str">
        <f>"5997264166526"</f>
        <v>5997264166526</v>
      </c>
      <c r="B2717" s="1" t="s">
        <v>2707</v>
      </c>
      <c r="C2717" s="9" t="s">
        <v>3386</v>
      </c>
      <c r="D2717" s="6">
        <v>279.2</v>
      </c>
      <c r="F2717">
        <v>100</v>
      </c>
    </row>
    <row r="2718" spans="1:6" x14ac:dyDescent="0.2">
      <c r="A2718" s="2" t="str">
        <f>"5998835990182"</f>
        <v>5998835990182</v>
      </c>
      <c r="B2718" s="1" t="s">
        <v>2708</v>
      </c>
      <c r="C2718" s="9" t="s">
        <v>3378</v>
      </c>
      <c r="D2718" s="6">
        <v>240</v>
      </c>
      <c r="F2718">
        <v>100</v>
      </c>
    </row>
    <row r="2719" spans="1:6" x14ac:dyDescent="0.2">
      <c r="A2719" s="2" t="str">
        <f>"54000612     "</f>
        <v xml:space="preserve">54000612     </v>
      </c>
      <c r="B2719" s="1" t="s">
        <v>2709</v>
      </c>
      <c r="C2719" s="9" t="s">
        <v>3376</v>
      </c>
      <c r="D2719" s="6">
        <v>251.03</v>
      </c>
      <c r="F2719">
        <v>100</v>
      </c>
    </row>
    <row r="2720" spans="1:6" x14ac:dyDescent="0.2">
      <c r="A2720" s="2" t="str">
        <f>"9008700181211"</f>
        <v>9008700181211</v>
      </c>
      <c r="B2720" s="1" t="s">
        <v>2710</v>
      </c>
      <c r="C2720" s="9" t="s">
        <v>3374</v>
      </c>
      <c r="D2720" s="6">
        <v>241.53</v>
      </c>
      <c r="F2720">
        <v>100</v>
      </c>
    </row>
    <row r="2721" spans="1:6" x14ac:dyDescent="0.2">
      <c r="A2721" s="2" t="str">
        <f>"9008700180139"</f>
        <v>9008700180139</v>
      </c>
      <c r="B2721" s="1" t="s">
        <v>2711</v>
      </c>
      <c r="C2721" s="9" t="s">
        <v>3374</v>
      </c>
      <c r="D2721" s="6">
        <v>159.29</v>
      </c>
      <c r="F2721">
        <v>100</v>
      </c>
    </row>
    <row r="2722" spans="1:6" x14ac:dyDescent="0.2">
      <c r="A2722" s="2" t="str">
        <f>"5998815112238"</f>
        <v>5998815112238</v>
      </c>
      <c r="B2722" s="1" t="s">
        <v>2712</v>
      </c>
      <c r="C2722" s="9" t="s">
        <v>3377</v>
      </c>
      <c r="D2722" s="6">
        <v>258.07</v>
      </c>
      <c r="F2722">
        <v>100</v>
      </c>
    </row>
    <row r="2723" spans="1:6" x14ac:dyDescent="0.2">
      <c r="A2723" s="2" t="str">
        <f>"8435185954954"</f>
        <v>8435185954954</v>
      </c>
      <c r="B2723" s="1" t="s">
        <v>2713</v>
      </c>
      <c r="C2723" s="9" t="s">
        <v>3386</v>
      </c>
      <c r="D2723" s="6">
        <v>108.9</v>
      </c>
      <c r="F2723">
        <v>100</v>
      </c>
    </row>
    <row r="2724" spans="1:6" x14ac:dyDescent="0.2">
      <c r="A2724" s="2" t="str">
        <f>"5998760901581"</f>
        <v>5998760901581</v>
      </c>
      <c r="B2724" s="1" t="s">
        <v>2714</v>
      </c>
      <c r="C2724" s="9" t="s">
        <v>3375</v>
      </c>
      <c r="D2724" s="6">
        <v>104.3</v>
      </c>
      <c r="F2724">
        <v>100</v>
      </c>
    </row>
    <row r="2725" spans="1:6" x14ac:dyDescent="0.2">
      <c r="A2725" s="2" t="str">
        <f>"5998815112214"</f>
        <v>5998815112214</v>
      </c>
      <c r="B2725" s="1" t="s">
        <v>2715</v>
      </c>
      <c r="C2725" s="9" t="s">
        <v>3377</v>
      </c>
      <c r="D2725" s="6">
        <v>258.81</v>
      </c>
      <c r="F2725">
        <v>100</v>
      </c>
    </row>
    <row r="2726" spans="1:6" x14ac:dyDescent="0.2">
      <c r="A2726" s="2" t="str">
        <f>"5998815118414"</f>
        <v>5998815118414</v>
      </c>
      <c r="B2726" s="1" t="s">
        <v>2716</v>
      </c>
      <c r="C2726" s="9" t="s">
        <v>3377</v>
      </c>
      <c r="D2726" s="6">
        <v>199</v>
      </c>
      <c r="F2726">
        <v>100</v>
      </c>
    </row>
    <row r="2727" spans="1:6" x14ac:dyDescent="0.2">
      <c r="A2727" s="2" t="str">
        <f>"5998835990304"</f>
        <v>5998835990304</v>
      </c>
      <c r="B2727" s="1" t="s">
        <v>2717</v>
      </c>
      <c r="C2727" s="9" t="s">
        <v>3378</v>
      </c>
      <c r="D2727" s="6">
        <v>255</v>
      </c>
      <c r="F2727">
        <v>100</v>
      </c>
    </row>
    <row r="2728" spans="1:6" x14ac:dyDescent="0.2">
      <c r="A2728" s="2" t="str">
        <f>"5449000132505"</f>
        <v>5449000132505</v>
      </c>
      <c r="B2728" s="1" t="s">
        <v>2718</v>
      </c>
      <c r="C2728" s="9" t="s">
        <v>3376</v>
      </c>
      <c r="D2728" s="6">
        <v>316.01</v>
      </c>
      <c r="F2728">
        <v>100</v>
      </c>
    </row>
    <row r="2729" spans="1:6" x14ac:dyDescent="0.2">
      <c r="A2729" s="2" t="str">
        <f>"5449000251916"</f>
        <v>5449000251916</v>
      </c>
      <c r="B2729" s="1" t="s">
        <v>2719</v>
      </c>
      <c r="C2729" s="9" t="s">
        <v>3376</v>
      </c>
      <c r="D2729" s="6">
        <v>207.01</v>
      </c>
      <c r="F2729">
        <v>100</v>
      </c>
    </row>
    <row r="2730" spans="1:6" x14ac:dyDescent="0.2">
      <c r="A2730" s="2" t="str">
        <f>"5999886069711"</f>
        <v>5999886069711</v>
      </c>
      <c r="B2730" s="1" t="s">
        <v>2720</v>
      </c>
      <c r="C2730" s="9" t="s">
        <v>3377</v>
      </c>
      <c r="D2730" s="6">
        <v>145</v>
      </c>
      <c r="F2730">
        <v>100</v>
      </c>
    </row>
    <row r="2731" spans="1:6" x14ac:dyDescent="0.2">
      <c r="A2731" s="2" t="str">
        <f>"5900334015570"</f>
        <v>5900334015570</v>
      </c>
      <c r="B2731" s="1" t="s">
        <v>2721</v>
      </c>
      <c r="C2731" s="9" t="s">
        <v>3374</v>
      </c>
      <c r="D2731" s="6">
        <v>280.33</v>
      </c>
      <c r="F2731">
        <v>100</v>
      </c>
    </row>
    <row r="2732" spans="1:6" x14ac:dyDescent="0.2">
      <c r="A2732" s="2" t="str">
        <f>"5999887753398"</f>
        <v>5999887753398</v>
      </c>
      <c r="B2732" s="1" t="s">
        <v>2722</v>
      </c>
      <c r="C2732" s="9" t="s">
        <v>3395</v>
      </c>
      <c r="D2732" s="6">
        <v>184.89</v>
      </c>
      <c r="F2732">
        <v>100</v>
      </c>
    </row>
    <row r="2733" spans="1:6" x14ac:dyDescent="0.2">
      <c r="A2733" s="2" t="str">
        <f>"5999887753404"</f>
        <v>5999887753404</v>
      </c>
      <c r="B2733" s="1" t="s">
        <v>2723</v>
      </c>
      <c r="C2733" s="9" t="s">
        <v>3395</v>
      </c>
      <c r="D2733" s="6">
        <v>184.71</v>
      </c>
      <c r="F2733">
        <v>100</v>
      </c>
    </row>
    <row r="2734" spans="1:6" x14ac:dyDescent="0.2">
      <c r="A2734" s="2" t="str">
        <f>"5999885746736"</f>
        <v>5999885746736</v>
      </c>
      <c r="B2734" s="1" t="s">
        <v>2724</v>
      </c>
      <c r="C2734" s="9" t="s">
        <v>3395</v>
      </c>
      <c r="D2734" s="6">
        <v>162.5</v>
      </c>
      <c r="F2734">
        <v>100</v>
      </c>
    </row>
    <row r="2735" spans="1:6" x14ac:dyDescent="0.2">
      <c r="A2735" s="2" t="str">
        <f>"9008700141963"</f>
        <v>9008700141963</v>
      </c>
      <c r="B2735" s="1" t="s">
        <v>2725</v>
      </c>
      <c r="C2735" s="9" t="s">
        <v>3374</v>
      </c>
      <c r="D2735" s="6">
        <v>183.55</v>
      </c>
      <c r="F2735">
        <v>100</v>
      </c>
    </row>
    <row r="2736" spans="1:6" x14ac:dyDescent="0.2">
      <c r="A2736" s="2" t="str">
        <f>"5998835905384"</f>
        <v>5998835905384</v>
      </c>
      <c r="B2736" s="1" t="s">
        <v>2726</v>
      </c>
      <c r="C2736" s="9" t="s">
        <v>3378</v>
      </c>
      <c r="D2736" s="6">
        <v>350</v>
      </c>
      <c r="F2736">
        <v>100</v>
      </c>
    </row>
    <row r="2737" spans="1:6" x14ac:dyDescent="0.2">
      <c r="A2737" s="2" t="str">
        <f>"5998824743294"</f>
        <v>5998824743294</v>
      </c>
      <c r="B2737" s="1" t="s">
        <v>2727</v>
      </c>
      <c r="C2737" s="9" t="s">
        <v>3377</v>
      </c>
      <c r="D2737" s="6">
        <v>159.99</v>
      </c>
      <c r="F2737">
        <v>100</v>
      </c>
    </row>
    <row r="2738" spans="1:6" x14ac:dyDescent="0.2">
      <c r="A2738" s="2" t="str">
        <f>"5998821501262"</f>
        <v>5998821501262</v>
      </c>
      <c r="B2738" s="1" t="s">
        <v>2728</v>
      </c>
      <c r="C2738" s="9" t="s">
        <v>3377</v>
      </c>
      <c r="D2738" s="6">
        <v>159.99</v>
      </c>
      <c r="F2738">
        <v>100</v>
      </c>
    </row>
    <row r="2739" spans="1:6" x14ac:dyDescent="0.2">
      <c r="A2739" s="2" t="str">
        <f>"5998824744192"</f>
        <v>5998824744192</v>
      </c>
      <c r="B2739" s="1" t="s">
        <v>2729</v>
      </c>
      <c r="C2739" s="9" t="s">
        <v>3377</v>
      </c>
      <c r="D2739" s="6">
        <v>158.33000000000001</v>
      </c>
      <c r="F2739">
        <v>100</v>
      </c>
    </row>
    <row r="2740" spans="1:6" x14ac:dyDescent="0.2">
      <c r="A2740" s="2" t="str">
        <f>"5998821503617"</f>
        <v>5998821503617</v>
      </c>
      <c r="B2740" s="1" t="s">
        <v>2730</v>
      </c>
      <c r="C2740" s="9" t="s">
        <v>3374</v>
      </c>
      <c r="D2740" s="6">
        <v>155</v>
      </c>
      <c r="F2740">
        <v>100</v>
      </c>
    </row>
    <row r="2741" spans="1:6" x14ac:dyDescent="0.2">
      <c r="A2741" s="2" t="str">
        <f>"5998821502986"</f>
        <v>5998821502986</v>
      </c>
      <c r="B2741" s="1" t="s">
        <v>2731</v>
      </c>
      <c r="C2741" s="9" t="s">
        <v>3377</v>
      </c>
      <c r="D2741" s="6">
        <v>159.99</v>
      </c>
      <c r="F2741">
        <v>100</v>
      </c>
    </row>
    <row r="2742" spans="1:6" x14ac:dyDescent="0.2">
      <c r="A2742" s="2" t="str">
        <f>"9008700112604"</f>
        <v>9008700112604</v>
      </c>
      <c r="B2742" s="1" t="s">
        <v>2732</v>
      </c>
      <c r="C2742" s="9" t="s">
        <v>3375</v>
      </c>
      <c r="D2742" s="6">
        <v>56.64</v>
      </c>
      <c r="F2742">
        <v>100</v>
      </c>
    </row>
    <row r="2743" spans="1:6" x14ac:dyDescent="0.2">
      <c r="A2743" s="2" t="str">
        <f>"42104667     "</f>
        <v xml:space="preserve">42104667     </v>
      </c>
      <c r="B2743" s="1" t="s">
        <v>2733</v>
      </c>
      <c r="C2743" s="9" t="s">
        <v>3376</v>
      </c>
      <c r="D2743" s="6">
        <v>220.76</v>
      </c>
      <c r="F2743">
        <v>100</v>
      </c>
    </row>
    <row r="2744" spans="1:6" x14ac:dyDescent="0.2">
      <c r="A2744" s="2" t="str">
        <f>"5449000146755"</f>
        <v>5449000146755</v>
      </c>
      <c r="B2744" s="1" t="s">
        <v>2734</v>
      </c>
      <c r="C2744" s="9" t="s">
        <v>3376</v>
      </c>
      <c r="D2744" s="6">
        <v>356.84</v>
      </c>
      <c r="F2744">
        <v>100</v>
      </c>
    </row>
    <row r="2745" spans="1:6" x14ac:dyDescent="0.2">
      <c r="A2745" s="2" t="str">
        <f>"5449000207609"</f>
        <v>5449000207609</v>
      </c>
      <c r="B2745" s="1" t="s">
        <v>2735</v>
      </c>
      <c r="C2745" s="9" t="s">
        <v>3376</v>
      </c>
      <c r="D2745" s="6">
        <v>267.49</v>
      </c>
      <c r="F2745">
        <v>100</v>
      </c>
    </row>
    <row r="2746" spans="1:6" x14ac:dyDescent="0.2">
      <c r="A2746" s="2" t="str">
        <f>"5449000147417"</f>
        <v>5449000147417</v>
      </c>
      <c r="B2746" s="1" t="s">
        <v>2736</v>
      </c>
      <c r="C2746" s="9" t="s">
        <v>3376</v>
      </c>
      <c r="D2746" s="6">
        <v>300.82</v>
      </c>
      <c r="F2746">
        <v>100</v>
      </c>
    </row>
    <row r="2747" spans="1:6" x14ac:dyDescent="0.2">
      <c r="A2747" s="2" t="str">
        <f>"54492387     "</f>
        <v xml:space="preserve">54492387     </v>
      </c>
      <c r="B2747" s="1" t="s">
        <v>2737</v>
      </c>
      <c r="C2747" s="9" t="s">
        <v>3376</v>
      </c>
      <c r="D2747" s="6">
        <v>215.89</v>
      </c>
      <c r="F2747">
        <v>100</v>
      </c>
    </row>
    <row r="2748" spans="1:6" x14ac:dyDescent="0.2">
      <c r="A2748" s="2" t="str">
        <f>"3800003308762"</f>
        <v>3800003308762</v>
      </c>
      <c r="B2748" s="1" t="s">
        <v>2738</v>
      </c>
      <c r="C2748" s="9" t="s">
        <v>3388</v>
      </c>
      <c r="D2748" s="6">
        <v>39.19</v>
      </c>
      <c r="F2748">
        <v>100</v>
      </c>
    </row>
    <row r="2749" spans="1:6" x14ac:dyDescent="0.2">
      <c r="A2749" s="2" t="str">
        <f>"5449000236623"</f>
        <v>5449000236623</v>
      </c>
      <c r="B2749" s="1" t="s">
        <v>2739</v>
      </c>
      <c r="C2749" s="9" t="s">
        <v>3376</v>
      </c>
      <c r="D2749" s="6">
        <v>224.01</v>
      </c>
      <c r="F2749">
        <v>100</v>
      </c>
    </row>
    <row r="2750" spans="1:6" x14ac:dyDescent="0.2">
      <c r="A2750" s="2" t="str">
        <f>"5999881874174"</f>
        <v>5999881874174</v>
      </c>
      <c r="B2750" s="1" t="s">
        <v>2740</v>
      </c>
      <c r="C2750" s="9" t="s">
        <v>3374</v>
      </c>
      <c r="D2750" s="6">
        <v>139.13999999999999</v>
      </c>
      <c r="F2750">
        <v>100</v>
      </c>
    </row>
    <row r="2751" spans="1:6" x14ac:dyDescent="0.2">
      <c r="A2751" s="2" t="str">
        <f>"9008700111546"</f>
        <v>9008700111546</v>
      </c>
      <c r="B2751" s="1" t="s">
        <v>2741</v>
      </c>
      <c r="C2751" s="9" t="s">
        <v>3375</v>
      </c>
      <c r="D2751" s="6">
        <v>330.89</v>
      </c>
      <c r="F2751">
        <v>100</v>
      </c>
    </row>
    <row r="2752" spans="1:6" x14ac:dyDescent="0.2">
      <c r="A2752" s="2" t="str">
        <f>"9008700109741"</f>
        <v>9008700109741</v>
      </c>
      <c r="B2752" s="1" t="s">
        <v>2742</v>
      </c>
      <c r="C2752" s="9" t="s">
        <v>3377</v>
      </c>
      <c r="D2752" s="6">
        <v>334.86</v>
      </c>
      <c r="F2752">
        <v>100</v>
      </c>
    </row>
    <row r="2753" spans="1:6" x14ac:dyDescent="0.2">
      <c r="A2753" s="2" t="str">
        <f>"9008700180832"</f>
        <v>9008700180832</v>
      </c>
      <c r="B2753" s="1" t="s">
        <v>2743</v>
      </c>
      <c r="C2753" s="9" t="s">
        <v>3377</v>
      </c>
      <c r="D2753" s="6">
        <v>220.54</v>
      </c>
      <c r="F2753">
        <v>100</v>
      </c>
    </row>
    <row r="2754" spans="1:6" x14ac:dyDescent="0.2">
      <c r="A2754" s="2" t="str">
        <f>"5998815111873"</f>
        <v>5998815111873</v>
      </c>
      <c r="B2754" s="1" t="s">
        <v>2744</v>
      </c>
      <c r="C2754" s="9" t="s">
        <v>3377</v>
      </c>
      <c r="D2754" s="6">
        <v>385.04</v>
      </c>
      <c r="F2754">
        <v>100</v>
      </c>
    </row>
    <row r="2755" spans="1:6" x14ac:dyDescent="0.2">
      <c r="A2755" s="2" t="str">
        <f>"3858884601045"</f>
        <v>3858884601045</v>
      </c>
      <c r="B2755" s="1" t="s">
        <v>2745</v>
      </c>
      <c r="C2755" s="9" t="s">
        <v>3374</v>
      </c>
      <c r="D2755" s="6">
        <v>233.46</v>
      </c>
      <c r="F2755">
        <v>100</v>
      </c>
    </row>
    <row r="2756" spans="1:6" x14ac:dyDescent="0.2">
      <c r="A2756" s="2" t="str">
        <f>"5449000273659"</f>
        <v>5449000273659</v>
      </c>
      <c r="B2756" s="1" t="s">
        <v>2746</v>
      </c>
      <c r="C2756" s="9" t="s">
        <v>3376</v>
      </c>
      <c r="D2756" s="6">
        <v>130.76</v>
      </c>
      <c r="F2756">
        <v>100</v>
      </c>
    </row>
    <row r="2757" spans="1:6" x14ac:dyDescent="0.2">
      <c r="A2757" s="2" t="str">
        <f>"5900497611503"</f>
        <v>5900497611503</v>
      </c>
      <c r="B2757" s="1" t="s">
        <v>2747</v>
      </c>
      <c r="C2757" s="9" t="s">
        <v>3386</v>
      </c>
      <c r="D2757" s="6">
        <v>248.92</v>
      </c>
      <c r="F2757">
        <v>100</v>
      </c>
    </row>
    <row r="2758" spans="1:6" x14ac:dyDescent="0.2">
      <c r="A2758" s="2" t="str">
        <f>"5999885140008"</f>
        <v>5999885140008</v>
      </c>
      <c r="B2758" s="1" t="s">
        <v>2748</v>
      </c>
      <c r="C2758" s="9" t="s">
        <v>3377</v>
      </c>
      <c r="D2758" s="6">
        <v>168</v>
      </c>
      <c r="F2758">
        <v>100</v>
      </c>
    </row>
    <row r="2759" spans="1:6" x14ac:dyDescent="0.2">
      <c r="A2759" s="2" t="str">
        <f>"5999885140558"</f>
        <v>5999885140558</v>
      </c>
      <c r="B2759" s="1" t="s">
        <v>2749</v>
      </c>
      <c r="C2759" s="9" t="s">
        <v>3377</v>
      </c>
      <c r="D2759" s="6">
        <v>167.94</v>
      </c>
      <c r="F2759">
        <v>100</v>
      </c>
    </row>
    <row r="2760" spans="1:6" x14ac:dyDescent="0.2">
      <c r="A2760" s="2" t="str">
        <f>"5999885140022"</f>
        <v>5999885140022</v>
      </c>
      <c r="B2760" s="1" t="s">
        <v>2750</v>
      </c>
      <c r="C2760" s="9" t="s">
        <v>3377</v>
      </c>
      <c r="D2760" s="6">
        <v>168</v>
      </c>
      <c r="F2760">
        <v>100</v>
      </c>
    </row>
    <row r="2761" spans="1:6" x14ac:dyDescent="0.2">
      <c r="A2761" s="2" t="str">
        <f>"5900334003447"</f>
        <v>5900334003447</v>
      </c>
      <c r="B2761" s="1" t="s">
        <v>2751</v>
      </c>
      <c r="C2761" s="9" t="s">
        <v>3377</v>
      </c>
      <c r="D2761" s="6">
        <v>270.39</v>
      </c>
      <c r="F2761">
        <v>100</v>
      </c>
    </row>
    <row r="2762" spans="1:6" x14ac:dyDescent="0.2">
      <c r="A2762" s="2" t="str">
        <f>"5998821504041"</f>
        <v>5998821504041</v>
      </c>
      <c r="B2762" s="1" t="s">
        <v>2752</v>
      </c>
      <c r="C2762" s="9" t="s">
        <v>3374</v>
      </c>
      <c r="D2762" s="6">
        <v>193.03</v>
      </c>
      <c r="F2762">
        <v>100</v>
      </c>
    </row>
    <row r="2763" spans="1:6" x14ac:dyDescent="0.2">
      <c r="A2763" s="2" t="str">
        <f>"5998821504027"</f>
        <v>5998821504027</v>
      </c>
      <c r="B2763" s="1" t="s">
        <v>2753</v>
      </c>
      <c r="C2763" s="9" t="s">
        <v>3374</v>
      </c>
      <c r="D2763" s="6">
        <v>193.03</v>
      </c>
      <c r="F2763">
        <v>100</v>
      </c>
    </row>
    <row r="2764" spans="1:6" x14ac:dyDescent="0.2">
      <c r="A2764" s="2" t="str">
        <f>"5900497310338"</f>
        <v>5900497310338</v>
      </c>
      <c r="B2764" s="1" t="s">
        <v>2754</v>
      </c>
      <c r="C2764" s="9" t="s">
        <v>3386</v>
      </c>
      <c r="D2764" s="6">
        <v>124.06</v>
      </c>
      <c r="F2764">
        <v>100</v>
      </c>
    </row>
    <row r="2765" spans="1:6" x14ac:dyDescent="0.2">
      <c r="A2765" s="2" t="str">
        <f>"5998835990175"</f>
        <v>5998835990175</v>
      </c>
      <c r="B2765" s="1" t="s">
        <v>2755</v>
      </c>
      <c r="C2765" s="9" t="s">
        <v>3378</v>
      </c>
      <c r="D2765" s="6">
        <v>240.29</v>
      </c>
      <c r="F2765">
        <v>100</v>
      </c>
    </row>
    <row r="2766" spans="1:6" x14ac:dyDescent="0.2">
      <c r="A2766" s="2" t="str">
        <f>"9008700181297"</f>
        <v>9008700181297</v>
      </c>
      <c r="B2766" s="1" t="s">
        <v>2756</v>
      </c>
      <c r="C2766" s="9" t="s">
        <v>3374</v>
      </c>
      <c r="D2766" s="6">
        <v>158.35</v>
      </c>
      <c r="F2766">
        <v>100</v>
      </c>
    </row>
    <row r="2767" spans="1:6" x14ac:dyDescent="0.2">
      <c r="A2767" s="2" t="str">
        <f>"90020742     "</f>
        <v xml:space="preserve">90020742     </v>
      </c>
      <c r="B2767" s="1" t="s">
        <v>2757</v>
      </c>
      <c r="C2767" s="9" t="s">
        <v>3374</v>
      </c>
      <c r="D2767" s="6">
        <v>160.05000000000001</v>
      </c>
      <c r="F2767">
        <v>100</v>
      </c>
    </row>
    <row r="2768" spans="1:6" x14ac:dyDescent="0.2">
      <c r="A2768" s="2" t="str">
        <f>"8001620012451"</f>
        <v>8001620012451</v>
      </c>
      <c r="B2768" s="1" t="s">
        <v>2758</v>
      </c>
      <c r="C2768" s="9" t="s">
        <v>3378</v>
      </c>
      <c r="D2768" s="6">
        <v>219</v>
      </c>
      <c r="F2768">
        <v>100</v>
      </c>
    </row>
    <row r="2769" spans="1:6" x14ac:dyDescent="0.2">
      <c r="A2769" s="2" t="str">
        <f>"5998815116854"</f>
        <v>5998815116854</v>
      </c>
      <c r="B2769" s="1" t="s">
        <v>2759</v>
      </c>
      <c r="C2769" s="9" t="s">
        <v>3377</v>
      </c>
      <c r="D2769" s="6">
        <v>244.78</v>
      </c>
      <c r="F2769">
        <v>100</v>
      </c>
    </row>
    <row r="2770" spans="1:6" x14ac:dyDescent="0.2">
      <c r="A2770" s="2" t="str">
        <f>"5998835990281"</f>
        <v>5998835990281</v>
      </c>
      <c r="B2770" s="1" t="s">
        <v>2760</v>
      </c>
      <c r="C2770" s="9" t="s">
        <v>3378</v>
      </c>
      <c r="D2770" s="6">
        <v>205</v>
      </c>
      <c r="F2770">
        <v>100</v>
      </c>
    </row>
    <row r="2771" spans="1:6" x14ac:dyDescent="0.2">
      <c r="A2771" s="2" t="str">
        <f>"5999886069704"</f>
        <v>5999886069704</v>
      </c>
      <c r="B2771" s="1" t="s">
        <v>2761</v>
      </c>
      <c r="C2771" s="9" t="s">
        <v>3377</v>
      </c>
      <c r="D2771" s="6">
        <v>145</v>
      </c>
      <c r="F2771">
        <v>100</v>
      </c>
    </row>
    <row r="2772" spans="1:6" x14ac:dyDescent="0.2">
      <c r="A2772" s="2" t="str">
        <f>"5999884034773"</f>
        <v>5999884034773</v>
      </c>
      <c r="B2772" s="1" t="s">
        <v>2762</v>
      </c>
      <c r="C2772" s="9" t="s">
        <v>3395</v>
      </c>
      <c r="D2772" s="6">
        <v>185</v>
      </c>
      <c r="F2772">
        <v>100</v>
      </c>
    </row>
    <row r="2773" spans="1:6" x14ac:dyDescent="0.2">
      <c r="A2773" s="2" t="str">
        <f>"5999885747757"</f>
        <v>5999885747757</v>
      </c>
      <c r="B2773" s="1" t="s">
        <v>2763</v>
      </c>
      <c r="C2773" s="9" t="s">
        <v>3395</v>
      </c>
      <c r="D2773" s="6">
        <v>14.28</v>
      </c>
      <c r="F2773">
        <v>100</v>
      </c>
    </row>
    <row r="2774" spans="1:6" x14ac:dyDescent="0.2">
      <c r="A2774" s="2" t="str">
        <f>"5999884034759"</f>
        <v>5999884034759</v>
      </c>
      <c r="B2774" s="1" t="s">
        <v>2764</v>
      </c>
      <c r="C2774" s="9" t="s">
        <v>3395</v>
      </c>
      <c r="D2774" s="6">
        <v>173.39</v>
      </c>
      <c r="F2774">
        <v>100</v>
      </c>
    </row>
    <row r="2775" spans="1:6" x14ac:dyDescent="0.2">
      <c r="A2775" s="2" t="str">
        <f>"5999885747863"</f>
        <v>5999885747863</v>
      </c>
      <c r="B2775" s="1" t="s">
        <v>2765</v>
      </c>
      <c r="C2775" s="9" t="s">
        <v>3395</v>
      </c>
      <c r="D2775" s="6">
        <v>15.04</v>
      </c>
      <c r="F2775">
        <v>100</v>
      </c>
    </row>
    <row r="2776" spans="1:6" x14ac:dyDescent="0.2">
      <c r="A2776" s="2" t="str">
        <f>"9008700142007"</f>
        <v>9008700142007</v>
      </c>
      <c r="B2776" s="1" t="s">
        <v>2766</v>
      </c>
      <c r="C2776" s="9" t="s">
        <v>3374</v>
      </c>
      <c r="D2776" s="6">
        <v>183.4</v>
      </c>
      <c r="F2776">
        <v>100</v>
      </c>
    </row>
    <row r="2777" spans="1:6" x14ac:dyDescent="0.2">
      <c r="A2777" s="2" t="str">
        <f>"5900497340502"</f>
        <v>5900497340502</v>
      </c>
      <c r="B2777" s="1" t="s">
        <v>2767</v>
      </c>
      <c r="C2777" s="9" t="s">
        <v>3386</v>
      </c>
      <c r="D2777" s="6">
        <v>206.38</v>
      </c>
      <c r="F2777">
        <v>100</v>
      </c>
    </row>
    <row r="2778" spans="1:6" x14ac:dyDescent="0.2">
      <c r="A2778" s="2" t="str">
        <f>"5998835905186"</f>
        <v>5998835905186</v>
      </c>
      <c r="B2778" s="1" t="s">
        <v>2768</v>
      </c>
      <c r="C2778" s="9" t="s">
        <v>3378</v>
      </c>
      <c r="D2778" s="6">
        <v>340</v>
      </c>
      <c r="F2778">
        <v>100</v>
      </c>
    </row>
    <row r="2779" spans="1:6" x14ac:dyDescent="0.2">
      <c r="A2779" s="2" t="str">
        <f>"5998835905155"</f>
        <v>5998835905155</v>
      </c>
      <c r="B2779" s="1" t="s">
        <v>2769</v>
      </c>
      <c r="C2779" s="9" t="s">
        <v>3378</v>
      </c>
      <c r="D2779" s="6">
        <v>324.94</v>
      </c>
      <c r="F2779">
        <v>100</v>
      </c>
    </row>
    <row r="2780" spans="1:6" x14ac:dyDescent="0.2">
      <c r="A2780" s="2" t="str">
        <f>"5998835905353"</f>
        <v>5998835905353</v>
      </c>
      <c r="B2780" s="1" t="s">
        <v>2770</v>
      </c>
      <c r="C2780" s="9" t="s">
        <v>3378</v>
      </c>
      <c r="D2780" s="6">
        <v>350</v>
      </c>
      <c r="F2780">
        <v>100</v>
      </c>
    </row>
    <row r="2781" spans="1:6" x14ac:dyDescent="0.2">
      <c r="A2781" s="2" t="str">
        <f>"5998835905391"</f>
        <v>5998835905391</v>
      </c>
      <c r="B2781" s="1" t="s">
        <v>2771</v>
      </c>
      <c r="C2781" s="9" t="s">
        <v>3378</v>
      </c>
      <c r="D2781" s="6">
        <v>350</v>
      </c>
      <c r="F2781">
        <v>100</v>
      </c>
    </row>
    <row r="2782" spans="1:6" x14ac:dyDescent="0.2">
      <c r="A2782" s="2" t="str">
        <f>"5998821501804"</f>
        <v>5998821501804</v>
      </c>
      <c r="B2782" s="1" t="s">
        <v>2772</v>
      </c>
      <c r="C2782" s="9" t="s">
        <v>3374</v>
      </c>
      <c r="D2782" s="6">
        <v>150.72</v>
      </c>
      <c r="F2782">
        <v>100</v>
      </c>
    </row>
    <row r="2783" spans="1:6" x14ac:dyDescent="0.2">
      <c r="A2783" s="2" t="str">
        <f>"5998824744598"</f>
        <v>5998824744598</v>
      </c>
      <c r="B2783" s="1" t="s">
        <v>2773</v>
      </c>
      <c r="C2783" s="9" t="s">
        <v>3377</v>
      </c>
      <c r="D2783" s="6">
        <v>153.47</v>
      </c>
      <c r="F2783">
        <v>100</v>
      </c>
    </row>
    <row r="2784" spans="1:6" x14ac:dyDescent="0.2">
      <c r="A2784" s="2" t="str">
        <f>"9008700142137"</f>
        <v>9008700142137</v>
      </c>
      <c r="B2784" s="1" t="s">
        <v>2774</v>
      </c>
      <c r="C2784" s="9" t="s">
        <v>3375</v>
      </c>
      <c r="D2784" s="6">
        <v>296.24</v>
      </c>
      <c r="F2784">
        <v>100</v>
      </c>
    </row>
    <row r="2785" spans="1:6" x14ac:dyDescent="0.2">
      <c r="A2785" s="2" t="str">
        <f>"5449000108500"</f>
        <v>5449000108500</v>
      </c>
      <c r="B2785" s="1" t="s">
        <v>2775</v>
      </c>
      <c r="C2785" s="9" t="s">
        <v>3376</v>
      </c>
      <c r="D2785" s="6">
        <v>210.82</v>
      </c>
      <c r="F2785">
        <v>100</v>
      </c>
    </row>
    <row r="2786" spans="1:6" x14ac:dyDescent="0.2">
      <c r="A2786" s="2" t="str">
        <f>"5998821598576"</f>
        <v>5998821598576</v>
      </c>
      <c r="B2786" s="1" t="s">
        <v>2776</v>
      </c>
      <c r="C2786" s="9" t="s">
        <v>3376</v>
      </c>
      <c r="D2786" s="6">
        <v>210.54</v>
      </c>
      <c r="F2786">
        <v>100</v>
      </c>
    </row>
    <row r="2787" spans="1:6" x14ac:dyDescent="0.2">
      <c r="A2787" s="2" t="str">
        <f>"5449000146748"</f>
        <v>5449000146748</v>
      </c>
      <c r="B2787" s="1" t="s">
        <v>2777</v>
      </c>
      <c r="C2787" s="9" t="s">
        <v>3376</v>
      </c>
      <c r="D2787" s="6">
        <v>379.91</v>
      </c>
      <c r="F2787">
        <v>100</v>
      </c>
    </row>
    <row r="2788" spans="1:6" x14ac:dyDescent="0.2">
      <c r="A2788" s="2" t="str">
        <f>"5449000263018"</f>
        <v>5449000263018</v>
      </c>
      <c r="B2788" s="1" t="s">
        <v>2778</v>
      </c>
      <c r="C2788" s="9" t="s">
        <v>3376</v>
      </c>
      <c r="D2788" s="6">
        <v>262.86</v>
      </c>
      <c r="F2788">
        <v>100</v>
      </c>
    </row>
    <row r="2789" spans="1:6" x14ac:dyDescent="0.2">
      <c r="A2789" s="2" t="str">
        <f>"5449000264282"</f>
        <v>5449000264282</v>
      </c>
      <c r="B2789" s="1" t="s">
        <v>2779</v>
      </c>
      <c r="C2789" s="9" t="s">
        <v>3376</v>
      </c>
      <c r="D2789" s="6">
        <v>292.62</v>
      </c>
      <c r="F2789">
        <v>100</v>
      </c>
    </row>
    <row r="2790" spans="1:6" x14ac:dyDescent="0.2">
      <c r="A2790" s="2" t="str">
        <f>"5449000157553"</f>
        <v>5449000157553</v>
      </c>
      <c r="B2790" s="1" t="s">
        <v>2780</v>
      </c>
      <c r="C2790" s="9" t="s">
        <v>3376</v>
      </c>
      <c r="D2790" s="6">
        <v>368.33</v>
      </c>
      <c r="F2790">
        <v>100</v>
      </c>
    </row>
    <row r="2791" spans="1:6" x14ac:dyDescent="0.2">
      <c r="A2791" s="2" t="str">
        <f>"5449000203823"</f>
        <v>5449000203823</v>
      </c>
      <c r="B2791" s="1" t="s">
        <v>2781</v>
      </c>
      <c r="C2791" s="9" t="s">
        <v>3376</v>
      </c>
      <c r="D2791" s="6">
        <v>304.79000000000002</v>
      </c>
      <c r="F2791">
        <v>100</v>
      </c>
    </row>
    <row r="2792" spans="1:6" x14ac:dyDescent="0.2">
      <c r="A2792" s="2" t="str">
        <f>"5449000061768"</f>
        <v>5449000061768</v>
      </c>
      <c r="B2792" s="1" t="s">
        <v>2782</v>
      </c>
      <c r="C2792" s="9" t="s">
        <v>3376</v>
      </c>
      <c r="D2792" s="6">
        <v>429.69</v>
      </c>
      <c r="F2792">
        <v>100</v>
      </c>
    </row>
    <row r="2793" spans="1:6" x14ac:dyDescent="0.2">
      <c r="A2793" s="2" t="str">
        <f>"5449000131836"</f>
        <v>5449000131836</v>
      </c>
      <c r="B2793" s="1" t="s">
        <v>2783</v>
      </c>
      <c r="C2793" s="9" t="s">
        <v>3376</v>
      </c>
      <c r="D2793" s="6">
        <v>214.16</v>
      </c>
      <c r="F2793">
        <v>100</v>
      </c>
    </row>
    <row r="2794" spans="1:6" x14ac:dyDescent="0.2">
      <c r="A2794" s="2" t="str">
        <f>"5997264163983"</f>
        <v>5997264163983</v>
      </c>
      <c r="B2794" s="1" t="s">
        <v>2784</v>
      </c>
      <c r="C2794" s="9" t="s">
        <v>3386</v>
      </c>
      <c r="D2794" s="6">
        <v>295.27</v>
      </c>
      <c r="F2794">
        <v>100</v>
      </c>
    </row>
    <row r="2795" spans="1:6" x14ac:dyDescent="0.2">
      <c r="A2795" s="2" t="str">
        <f>"5449000274861"</f>
        <v>5449000274861</v>
      </c>
      <c r="B2795" s="1" t="s">
        <v>2785</v>
      </c>
      <c r="C2795" s="9" t="s">
        <v>3376</v>
      </c>
      <c r="D2795" s="6">
        <v>332.59</v>
      </c>
      <c r="F2795">
        <v>100</v>
      </c>
    </row>
    <row r="2796" spans="1:6" x14ac:dyDescent="0.2">
      <c r="A2796" s="2" t="str">
        <f>"5449000247902"</f>
        <v>5449000247902</v>
      </c>
      <c r="B2796" s="1" t="s">
        <v>2786</v>
      </c>
      <c r="C2796" s="9" t="s">
        <v>3376</v>
      </c>
      <c r="D2796" s="6">
        <v>322.99</v>
      </c>
      <c r="F2796">
        <v>100</v>
      </c>
    </row>
    <row r="2797" spans="1:6" x14ac:dyDescent="0.2">
      <c r="A2797" s="2" t="str">
        <f>"54491397     "</f>
        <v xml:space="preserve">54491397     </v>
      </c>
      <c r="B2797" s="1" t="s">
        <v>2787</v>
      </c>
      <c r="C2797" s="9" t="s">
        <v>3376</v>
      </c>
      <c r="D2797" s="6">
        <v>212.6</v>
      </c>
      <c r="F2797">
        <v>100</v>
      </c>
    </row>
    <row r="2798" spans="1:6" x14ac:dyDescent="0.2">
      <c r="A2798" s="2" t="str">
        <f>"5998571760018"</f>
        <v>5998571760018</v>
      </c>
      <c r="B2798" s="1" t="s">
        <v>2788</v>
      </c>
      <c r="C2798" s="9" t="s">
        <v>3378</v>
      </c>
      <c r="D2798" s="6">
        <v>568.25</v>
      </c>
      <c r="F2798">
        <v>100</v>
      </c>
    </row>
    <row r="2799" spans="1:6" x14ac:dyDescent="0.2">
      <c r="A2799" s="2" t="str">
        <f>"3800003308915"</f>
        <v>3800003308915</v>
      </c>
      <c r="B2799" s="1" t="s">
        <v>2789</v>
      </c>
      <c r="C2799" s="9" t="s">
        <v>3388</v>
      </c>
      <c r="D2799" s="6">
        <v>39.99</v>
      </c>
      <c r="F2799">
        <v>100</v>
      </c>
    </row>
    <row r="2800" spans="1:6" x14ac:dyDescent="0.2">
      <c r="A2800" s="2" t="str">
        <f>"3800003308854"</f>
        <v>3800003308854</v>
      </c>
      <c r="B2800" s="1" t="s">
        <v>2790</v>
      </c>
      <c r="C2800" s="9" t="s">
        <v>3388</v>
      </c>
      <c r="D2800" s="6">
        <v>39.76</v>
      </c>
      <c r="F2800">
        <v>100</v>
      </c>
    </row>
    <row r="2801" spans="1:6" x14ac:dyDescent="0.2">
      <c r="A2801" s="2" t="str">
        <f>"3800003308014"</f>
        <v>3800003308014</v>
      </c>
      <c r="B2801" s="1" t="s">
        <v>2791</v>
      </c>
      <c r="C2801" s="9" t="s">
        <v>3388</v>
      </c>
      <c r="D2801" s="6">
        <v>39.99</v>
      </c>
      <c r="F2801">
        <v>100</v>
      </c>
    </row>
    <row r="2802" spans="1:6" x14ac:dyDescent="0.2">
      <c r="A2802" s="2" t="str">
        <f>"3800003308403"</f>
        <v>3800003308403</v>
      </c>
      <c r="B2802" s="1" t="s">
        <v>2792</v>
      </c>
      <c r="C2802" s="9" t="s">
        <v>3388</v>
      </c>
      <c r="D2802" s="6">
        <v>39.75</v>
      </c>
      <c r="F2802">
        <v>100</v>
      </c>
    </row>
    <row r="2803" spans="1:6" x14ac:dyDescent="0.2">
      <c r="A2803" s="2" t="str">
        <f>"3800003308137"</f>
        <v>3800003308137</v>
      </c>
      <c r="B2803" s="1" t="s">
        <v>2793</v>
      </c>
      <c r="C2803" s="9" t="s">
        <v>3388</v>
      </c>
      <c r="D2803" s="6">
        <v>39.64</v>
      </c>
      <c r="F2803">
        <v>100</v>
      </c>
    </row>
    <row r="2804" spans="1:6" x14ac:dyDescent="0.2">
      <c r="A2804" s="2" t="str">
        <f>"3800003308946"</f>
        <v>3800003308946</v>
      </c>
      <c r="B2804" s="1" t="s">
        <v>2794</v>
      </c>
      <c r="C2804" s="9" t="s">
        <v>3388</v>
      </c>
      <c r="D2804" s="6">
        <v>39.86</v>
      </c>
      <c r="F2804">
        <v>100</v>
      </c>
    </row>
    <row r="2805" spans="1:6" x14ac:dyDescent="0.2">
      <c r="A2805" s="2" t="str">
        <f>"3800003308076"</f>
        <v>3800003308076</v>
      </c>
      <c r="B2805" s="1" t="s">
        <v>2795</v>
      </c>
      <c r="C2805" s="9" t="s">
        <v>3388</v>
      </c>
      <c r="D2805" s="6">
        <v>39.69</v>
      </c>
      <c r="F2805">
        <v>100</v>
      </c>
    </row>
    <row r="2806" spans="1:6" x14ac:dyDescent="0.2">
      <c r="A2806" s="2" t="str">
        <f>"3800003308199"</f>
        <v>3800003308199</v>
      </c>
      <c r="B2806" s="1" t="s">
        <v>2796</v>
      </c>
      <c r="C2806" s="9" t="s">
        <v>3388</v>
      </c>
      <c r="D2806" s="6">
        <v>39.99</v>
      </c>
      <c r="F2806">
        <v>100</v>
      </c>
    </row>
    <row r="2807" spans="1:6" x14ac:dyDescent="0.2">
      <c r="A2807" s="2" t="str">
        <f>"5449000270245"</f>
        <v>5449000270245</v>
      </c>
      <c r="B2807" s="1" t="s">
        <v>2797</v>
      </c>
      <c r="C2807" s="9" t="s">
        <v>3376</v>
      </c>
      <c r="D2807" s="6">
        <v>225.6</v>
      </c>
      <c r="F2807">
        <v>100</v>
      </c>
    </row>
    <row r="2808" spans="1:6" x14ac:dyDescent="0.2">
      <c r="A2808" s="2" t="str">
        <f>"5449000236654"</f>
        <v>5449000236654</v>
      </c>
      <c r="B2808" s="1" t="s">
        <v>2798</v>
      </c>
      <c r="C2808" s="9" t="s">
        <v>3376</v>
      </c>
      <c r="D2808" s="6">
        <v>227.04</v>
      </c>
      <c r="F2808">
        <v>100</v>
      </c>
    </row>
    <row r="2809" spans="1:6" x14ac:dyDescent="0.2">
      <c r="A2809" s="2" t="str">
        <f>"5449000237040"</f>
        <v>5449000237040</v>
      </c>
      <c r="B2809" s="1" t="s">
        <v>2799</v>
      </c>
      <c r="C2809" s="9" t="s">
        <v>3376</v>
      </c>
      <c r="D2809" s="6">
        <v>226.53</v>
      </c>
      <c r="F2809">
        <v>100</v>
      </c>
    </row>
    <row r="2810" spans="1:6" x14ac:dyDescent="0.2">
      <c r="A2810" s="2" t="str">
        <f>"5998815159127"</f>
        <v>5998815159127</v>
      </c>
      <c r="B2810" s="1" t="s">
        <v>2800</v>
      </c>
      <c r="C2810" s="9" t="s">
        <v>3377</v>
      </c>
      <c r="D2810" s="6">
        <v>389</v>
      </c>
      <c r="F2810">
        <v>100</v>
      </c>
    </row>
    <row r="2811" spans="1:6" x14ac:dyDescent="0.2">
      <c r="A2811" s="2" t="str">
        <f>"9008700132572"</f>
        <v>9008700132572</v>
      </c>
      <c r="B2811" s="1" t="s">
        <v>2801</v>
      </c>
      <c r="C2811" s="9" t="s">
        <v>3377</v>
      </c>
      <c r="D2811" s="6">
        <v>343.13</v>
      </c>
      <c r="F2811">
        <v>100</v>
      </c>
    </row>
    <row r="2812" spans="1:6" x14ac:dyDescent="0.2">
      <c r="A2812" s="2" t="str">
        <f>"9008700140706"</f>
        <v>9008700140706</v>
      </c>
      <c r="B2812" s="1" t="s">
        <v>2802</v>
      </c>
      <c r="C2812" s="9" t="s">
        <v>3377</v>
      </c>
      <c r="D2812" s="6">
        <v>319.11</v>
      </c>
      <c r="F2812">
        <v>100</v>
      </c>
    </row>
    <row r="2813" spans="1:6" x14ac:dyDescent="0.2">
      <c r="A2813" s="2" t="str">
        <f>"9008700189217"</f>
        <v>9008700189217</v>
      </c>
      <c r="B2813" s="1" t="s">
        <v>2803</v>
      </c>
      <c r="C2813" s="9" t="s">
        <v>3377</v>
      </c>
      <c r="D2813" s="6">
        <v>317.63</v>
      </c>
      <c r="F2813">
        <v>100</v>
      </c>
    </row>
    <row r="2814" spans="1:6" x14ac:dyDescent="0.2">
      <c r="A2814" s="2" t="str">
        <f>"9008700179997"</f>
        <v>9008700179997</v>
      </c>
      <c r="B2814" s="1" t="s">
        <v>2804</v>
      </c>
      <c r="C2814" s="9" t="s">
        <v>3375</v>
      </c>
      <c r="D2814" s="6">
        <v>139.19999999999999</v>
      </c>
      <c r="F2814">
        <v>100</v>
      </c>
    </row>
    <row r="2815" spans="1:6" x14ac:dyDescent="0.2">
      <c r="A2815" s="2" t="str">
        <f>"9008700179027"</f>
        <v>9008700179027</v>
      </c>
      <c r="B2815" s="1" t="s">
        <v>2805</v>
      </c>
      <c r="C2815" s="9" t="s">
        <v>3377</v>
      </c>
      <c r="D2815" s="6">
        <v>144.01</v>
      </c>
      <c r="F2815">
        <v>100</v>
      </c>
    </row>
    <row r="2816" spans="1:6" x14ac:dyDescent="0.2">
      <c r="A2816" s="2" t="str">
        <f>"5998815112634"</f>
        <v>5998815112634</v>
      </c>
      <c r="B2816" s="1" t="s">
        <v>2806</v>
      </c>
      <c r="C2816" s="9" t="s">
        <v>3377</v>
      </c>
      <c r="D2816" s="6">
        <v>406.43</v>
      </c>
      <c r="F2816">
        <v>100</v>
      </c>
    </row>
    <row r="2817" spans="1:6" x14ac:dyDescent="0.2">
      <c r="A2817" s="2" t="str">
        <f>"5998815159141"</f>
        <v>5998815159141</v>
      </c>
      <c r="B2817" s="1" t="s">
        <v>2807</v>
      </c>
      <c r="C2817" s="9" t="s">
        <v>3377</v>
      </c>
      <c r="D2817" s="6">
        <v>389</v>
      </c>
      <c r="F2817">
        <v>100</v>
      </c>
    </row>
    <row r="2818" spans="1:6" x14ac:dyDescent="0.2">
      <c r="A2818" s="2" t="str">
        <f>"3858884601670"</f>
        <v>3858884601670</v>
      </c>
      <c r="B2818" s="1" t="s">
        <v>2808</v>
      </c>
      <c r="C2818" s="9" t="s">
        <v>3377</v>
      </c>
      <c r="D2818" s="6">
        <v>235.28</v>
      </c>
      <c r="F2818">
        <v>100</v>
      </c>
    </row>
    <row r="2819" spans="1:6" x14ac:dyDescent="0.2">
      <c r="A2819" s="2" t="str">
        <f>"5901067400251"</f>
        <v>5901067400251</v>
      </c>
      <c r="B2819" s="1" t="s">
        <v>2809</v>
      </c>
      <c r="C2819" s="9" t="s">
        <v>3374</v>
      </c>
      <c r="D2819" s="6">
        <v>150.36000000000001</v>
      </c>
      <c r="F2819">
        <v>100</v>
      </c>
    </row>
    <row r="2820" spans="1:6" x14ac:dyDescent="0.2">
      <c r="A2820" s="2" t="str">
        <f>"5901067401548"</f>
        <v>5901067401548</v>
      </c>
      <c r="B2820" s="1" t="s">
        <v>2810</v>
      </c>
      <c r="C2820" s="9" t="s">
        <v>3374</v>
      </c>
      <c r="D2820" s="6">
        <v>147.97</v>
      </c>
      <c r="F2820">
        <v>100</v>
      </c>
    </row>
    <row r="2821" spans="1:6" x14ac:dyDescent="0.2">
      <c r="A2821" s="2" t="str">
        <f>"5901067460019"</f>
        <v>5901067460019</v>
      </c>
      <c r="B2821" s="1" t="s">
        <v>2811</v>
      </c>
      <c r="C2821" s="9" t="s">
        <v>3374</v>
      </c>
      <c r="D2821" s="6">
        <v>169.58</v>
      </c>
      <c r="F2821">
        <v>100</v>
      </c>
    </row>
    <row r="2822" spans="1:6" x14ac:dyDescent="0.2">
      <c r="A2822" s="2" t="str">
        <f>"5997264166625"</f>
        <v>5997264166625</v>
      </c>
      <c r="B2822" s="1" t="s">
        <v>2812</v>
      </c>
      <c r="C2822" s="9" t="s">
        <v>3386</v>
      </c>
      <c r="D2822" s="6">
        <v>248.92</v>
      </c>
      <c r="F2822">
        <v>100</v>
      </c>
    </row>
    <row r="2823" spans="1:6" x14ac:dyDescent="0.2">
      <c r="A2823" s="2" t="str">
        <f>"5997264166120"</f>
        <v>5997264166120</v>
      </c>
      <c r="B2823" s="1" t="s">
        <v>2813</v>
      </c>
      <c r="C2823" s="9" t="s">
        <v>3386</v>
      </c>
      <c r="D2823" s="6">
        <v>206.35</v>
      </c>
      <c r="F2823">
        <v>100</v>
      </c>
    </row>
    <row r="2824" spans="1:6" x14ac:dyDescent="0.2">
      <c r="A2824" s="2" t="str">
        <f>"5999885140626"</f>
        <v>5999885140626</v>
      </c>
      <c r="B2824" s="1" t="s">
        <v>2814</v>
      </c>
      <c r="C2824" s="9" t="s">
        <v>3377</v>
      </c>
      <c r="D2824" s="6">
        <v>167.88</v>
      </c>
      <c r="F2824">
        <v>100</v>
      </c>
    </row>
    <row r="2825" spans="1:6" x14ac:dyDescent="0.2">
      <c r="A2825" s="2" t="str">
        <f>"5999885140671"</f>
        <v>5999885140671</v>
      </c>
      <c r="B2825" s="1" t="s">
        <v>2815</v>
      </c>
      <c r="C2825" s="9" t="s">
        <v>3374</v>
      </c>
      <c r="D2825" s="6">
        <v>140.63999999999999</v>
      </c>
      <c r="F2825">
        <v>100</v>
      </c>
    </row>
    <row r="2826" spans="1:6" x14ac:dyDescent="0.2">
      <c r="A2826" s="2" t="str">
        <f>"5900334003461"</f>
        <v>5900334003461</v>
      </c>
      <c r="B2826" s="1" t="s">
        <v>2816</v>
      </c>
      <c r="C2826" s="9" t="s">
        <v>3377</v>
      </c>
      <c r="D2826" s="6">
        <v>269.97000000000003</v>
      </c>
      <c r="F2826">
        <v>100</v>
      </c>
    </row>
    <row r="2827" spans="1:6" x14ac:dyDescent="0.2">
      <c r="A2827" s="2" t="str">
        <f>"5998821500036"</f>
        <v>5998821500036</v>
      </c>
      <c r="B2827" s="1" t="s">
        <v>2817</v>
      </c>
      <c r="C2827" s="9" t="s">
        <v>3374</v>
      </c>
      <c r="D2827" s="6">
        <v>193.03</v>
      </c>
      <c r="F2827">
        <v>100</v>
      </c>
    </row>
    <row r="2828" spans="1:6" x14ac:dyDescent="0.2">
      <c r="A2828" s="2" t="str">
        <f>"5998821599511"</f>
        <v>5998821599511</v>
      </c>
      <c r="B2828" s="1" t="s">
        <v>2818</v>
      </c>
      <c r="C2828" s="9" t="s">
        <v>3374</v>
      </c>
      <c r="D2828" s="6">
        <v>193.03</v>
      </c>
      <c r="F2828">
        <v>100</v>
      </c>
    </row>
    <row r="2829" spans="1:6" x14ac:dyDescent="0.2">
      <c r="A2829" s="2" t="str">
        <f>"5998821503044"</f>
        <v>5998821503044</v>
      </c>
      <c r="B2829" s="1" t="s">
        <v>2819</v>
      </c>
      <c r="C2829" s="9" t="s">
        <v>3374</v>
      </c>
      <c r="D2829" s="6">
        <v>193.45</v>
      </c>
      <c r="F2829">
        <v>100</v>
      </c>
    </row>
    <row r="2830" spans="1:6" x14ac:dyDescent="0.2">
      <c r="A2830" s="2" t="str">
        <f>"8594008045214"</f>
        <v>8594008045214</v>
      </c>
      <c r="B2830" s="1" t="s">
        <v>2820</v>
      </c>
      <c r="C2830" s="9" t="s">
        <v>3386</v>
      </c>
      <c r="D2830" s="6">
        <v>312.10000000000002</v>
      </c>
      <c r="F2830">
        <v>100</v>
      </c>
    </row>
    <row r="2831" spans="1:6" x14ac:dyDescent="0.2">
      <c r="A2831" s="2" t="str">
        <f>"5998835990144"</f>
        <v>5998835990144</v>
      </c>
      <c r="B2831" s="1" t="s">
        <v>2821</v>
      </c>
      <c r="C2831" s="9" t="s">
        <v>3378</v>
      </c>
      <c r="D2831" s="6">
        <v>239.98</v>
      </c>
      <c r="F2831">
        <v>100</v>
      </c>
    </row>
    <row r="2832" spans="1:6" x14ac:dyDescent="0.2">
      <c r="A2832" s="2" t="str">
        <f>"5998835990120"</f>
        <v>5998835990120</v>
      </c>
      <c r="B2832" s="1" t="s">
        <v>2822</v>
      </c>
      <c r="C2832" s="9" t="s">
        <v>3378</v>
      </c>
      <c r="D2832" s="6">
        <v>240.91</v>
      </c>
      <c r="F2832">
        <v>100</v>
      </c>
    </row>
    <row r="2833" spans="1:6" x14ac:dyDescent="0.2">
      <c r="A2833" s="2" t="str">
        <f>"5998835990199"</f>
        <v>5998835990199</v>
      </c>
      <c r="B2833" s="1" t="s">
        <v>2823</v>
      </c>
      <c r="C2833" s="9" t="s">
        <v>3378</v>
      </c>
      <c r="D2833" s="6">
        <v>240</v>
      </c>
      <c r="F2833">
        <v>100</v>
      </c>
    </row>
    <row r="2834" spans="1:6" x14ac:dyDescent="0.2">
      <c r="A2834" s="2" t="str">
        <f>"5449000247407"</f>
        <v>5449000247407</v>
      </c>
      <c r="B2834" s="1" t="s">
        <v>2824</v>
      </c>
      <c r="C2834" s="9" t="s">
        <v>3376</v>
      </c>
      <c r="D2834" s="6">
        <v>251.27</v>
      </c>
      <c r="F2834">
        <v>100</v>
      </c>
    </row>
    <row r="2835" spans="1:6" x14ac:dyDescent="0.2">
      <c r="A2835" s="2" t="str">
        <f>"5995881215016"</f>
        <v>5995881215016</v>
      </c>
      <c r="B2835" s="1" t="s">
        <v>2825</v>
      </c>
      <c r="C2835" s="9" t="s">
        <v>3375</v>
      </c>
      <c r="D2835" s="6">
        <v>296.64</v>
      </c>
      <c r="F2835">
        <v>100</v>
      </c>
    </row>
    <row r="2836" spans="1:6" x14ac:dyDescent="0.2">
      <c r="A2836" s="2" t="str">
        <f>"5998815110470"</f>
        <v>5998815110470</v>
      </c>
      <c r="B2836" s="1" t="s">
        <v>2826</v>
      </c>
      <c r="C2836" s="9" t="s">
        <v>3374</v>
      </c>
      <c r="D2836" s="6">
        <v>72.81</v>
      </c>
      <c r="F2836">
        <v>100</v>
      </c>
    </row>
    <row r="2837" spans="1:6" x14ac:dyDescent="0.2">
      <c r="A2837" s="2" t="str">
        <f>"8001620005156"</f>
        <v>8001620005156</v>
      </c>
      <c r="B2837" s="1" t="s">
        <v>2827</v>
      </c>
      <c r="C2837" s="9" t="s">
        <v>3374</v>
      </c>
      <c r="D2837" s="6">
        <v>295.86</v>
      </c>
      <c r="F2837">
        <v>100</v>
      </c>
    </row>
    <row r="2838" spans="1:6" x14ac:dyDescent="0.2">
      <c r="A2838" s="2" t="str">
        <f>"8001620005392"</f>
        <v>8001620005392</v>
      </c>
      <c r="B2838" s="1" t="s">
        <v>2828</v>
      </c>
      <c r="C2838" s="9" t="s">
        <v>3377</v>
      </c>
      <c r="D2838" s="6">
        <v>156.53</v>
      </c>
      <c r="F2838">
        <v>100</v>
      </c>
    </row>
    <row r="2839" spans="1:6" x14ac:dyDescent="0.2">
      <c r="A2839" s="2" t="str">
        <f>"8001620005422"</f>
        <v>8001620005422</v>
      </c>
      <c r="B2839" s="1" t="s">
        <v>2829</v>
      </c>
      <c r="C2839" s="9" t="s">
        <v>3374</v>
      </c>
      <c r="D2839" s="6">
        <v>154.22999999999999</v>
      </c>
      <c r="F2839">
        <v>100</v>
      </c>
    </row>
    <row r="2840" spans="1:6" x14ac:dyDescent="0.2">
      <c r="A2840" s="2" t="str">
        <f>"8001620003015"</f>
        <v>8001620003015</v>
      </c>
      <c r="B2840" s="1" t="s">
        <v>2830</v>
      </c>
      <c r="C2840" s="9" t="s">
        <v>3375</v>
      </c>
      <c r="D2840" s="6">
        <v>152.63999999999999</v>
      </c>
      <c r="F2840">
        <v>100</v>
      </c>
    </row>
    <row r="2841" spans="1:6" x14ac:dyDescent="0.2">
      <c r="A2841" s="2" t="str">
        <f>"8001620012444"</f>
        <v>8001620012444</v>
      </c>
      <c r="B2841" s="1" t="s">
        <v>2831</v>
      </c>
      <c r="C2841" s="9" t="s">
        <v>3378</v>
      </c>
      <c r="D2841" s="6">
        <v>217.94</v>
      </c>
      <c r="F2841">
        <v>100</v>
      </c>
    </row>
    <row r="2842" spans="1:6" x14ac:dyDescent="0.2">
      <c r="A2842" s="2" t="str">
        <f>"5998760903837"</f>
        <v>5998760903837</v>
      </c>
      <c r="B2842" s="1" t="s">
        <v>2832</v>
      </c>
      <c r="C2842" s="9" t="s">
        <v>3375</v>
      </c>
      <c r="D2842" s="6">
        <v>138.08000000000001</v>
      </c>
      <c r="F2842">
        <v>100</v>
      </c>
    </row>
    <row r="2843" spans="1:6" x14ac:dyDescent="0.2">
      <c r="A2843" s="2" t="str">
        <f>"5998815115581"</f>
        <v>5998815115581</v>
      </c>
      <c r="B2843" s="1" t="s">
        <v>2833</v>
      </c>
      <c r="C2843" s="9" t="s">
        <v>3377</v>
      </c>
      <c r="D2843" s="6">
        <v>343.79</v>
      </c>
      <c r="F2843">
        <v>100</v>
      </c>
    </row>
    <row r="2844" spans="1:6" x14ac:dyDescent="0.2">
      <c r="A2844" s="2" t="str">
        <f>"5998815118070"</f>
        <v>5998815118070</v>
      </c>
      <c r="B2844" s="1" t="s">
        <v>2834</v>
      </c>
      <c r="C2844" s="9" t="s">
        <v>3377</v>
      </c>
      <c r="D2844" s="6">
        <v>257.94</v>
      </c>
      <c r="F2844">
        <v>100</v>
      </c>
    </row>
    <row r="2845" spans="1:6" x14ac:dyDescent="0.2">
      <c r="A2845" s="2" t="str">
        <f>"5998815118056"</f>
        <v>5998815118056</v>
      </c>
      <c r="B2845" s="1" t="s">
        <v>2835</v>
      </c>
      <c r="C2845" s="9" t="s">
        <v>3377</v>
      </c>
      <c r="D2845" s="6">
        <v>258</v>
      </c>
      <c r="F2845">
        <v>100</v>
      </c>
    </row>
    <row r="2846" spans="1:6" x14ac:dyDescent="0.2">
      <c r="A2846" s="2" t="str">
        <f>"5998815110517"</f>
        <v>5998815110517</v>
      </c>
      <c r="B2846" s="1" t="s">
        <v>2836</v>
      </c>
      <c r="C2846" s="9" t="s">
        <v>3377</v>
      </c>
      <c r="D2846" s="6">
        <v>344</v>
      </c>
      <c r="F2846">
        <v>100</v>
      </c>
    </row>
    <row r="2847" spans="1:6" x14ac:dyDescent="0.2">
      <c r="A2847" s="2" t="str">
        <f>"5998835990267"</f>
        <v>5998835990267</v>
      </c>
      <c r="B2847" s="1" t="s">
        <v>2837</v>
      </c>
      <c r="C2847" s="9" t="s">
        <v>3378</v>
      </c>
      <c r="D2847" s="6">
        <v>205</v>
      </c>
      <c r="F2847">
        <v>100</v>
      </c>
    </row>
    <row r="2848" spans="1:6" x14ac:dyDescent="0.2">
      <c r="A2848" s="2" t="str">
        <f>"5999860115069"</f>
        <v>5999860115069</v>
      </c>
      <c r="B2848" s="1" t="s">
        <v>2838</v>
      </c>
      <c r="C2848" s="9" t="s">
        <v>3435</v>
      </c>
      <c r="D2848" s="6">
        <v>149</v>
      </c>
      <c r="F2848">
        <v>100</v>
      </c>
    </row>
    <row r="2849" spans="1:6" x14ac:dyDescent="0.2">
      <c r="A2849" s="2" t="str">
        <f>"5999886069674"</f>
        <v>5999886069674</v>
      </c>
      <c r="B2849" s="1" t="s">
        <v>2839</v>
      </c>
      <c r="C2849" s="9" t="s">
        <v>3377</v>
      </c>
      <c r="D2849" s="6">
        <v>145</v>
      </c>
      <c r="F2849">
        <v>100</v>
      </c>
    </row>
    <row r="2850" spans="1:6" x14ac:dyDescent="0.2">
      <c r="A2850" s="2" t="str">
        <f>"5999886069681"</f>
        <v>5999886069681</v>
      </c>
      <c r="B2850" s="1" t="s">
        <v>2840</v>
      </c>
      <c r="C2850" s="9" t="s">
        <v>3377</v>
      </c>
      <c r="D2850" s="6">
        <v>145</v>
      </c>
      <c r="F2850">
        <v>100</v>
      </c>
    </row>
    <row r="2851" spans="1:6" x14ac:dyDescent="0.2">
      <c r="A2851" s="2" t="str">
        <f>"5999886069698"</f>
        <v>5999886069698</v>
      </c>
      <c r="B2851" s="1" t="s">
        <v>2841</v>
      </c>
      <c r="C2851" s="9" t="s">
        <v>3377</v>
      </c>
      <c r="D2851" s="6">
        <v>145</v>
      </c>
      <c r="F2851">
        <v>100</v>
      </c>
    </row>
    <row r="2852" spans="1:6" x14ac:dyDescent="0.2">
      <c r="A2852" s="2" t="str">
        <f>"5999881783414"</f>
        <v>5999881783414</v>
      </c>
      <c r="B2852" s="1" t="s">
        <v>2842</v>
      </c>
      <c r="C2852" s="9" t="s">
        <v>3377</v>
      </c>
      <c r="D2852" s="6">
        <v>148.01</v>
      </c>
      <c r="F2852">
        <v>100</v>
      </c>
    </row>
    <row r="2853" spans="1:6" x14ac:dyDescent="0.2">
      <c r="A2853" s="2" t="str">
        <f>"5900334005625"</f>
        <v>5900334005625</v>
      </c>
      <c r="B2853" s="1" t="s">
        <v>2843</v>
      </c>
      <c r="C2853" s="9" t="s">
        <v>3375</v>
      </c>
      <c r="D2853" s="6">
        <v>126.22</v>
      </c>
      <c r="F2853">
        <v>100</v>
      </c>
    </row>
    <row r="2854" spans="1:6" x14ac:dyDescent="0.2">
      <c r="A2854" s="2" t="str">
        <f>"5998821510653"</f>
        <v>5998821510653</v>
      </c>
      <c r="B2854" s="1" t="s">
        <v>2844</v>
      </c>
      <c r="C2854" s="9" t="s">
        <v>3374</v>
      </c>
      <c r="D2854" s="6">
        <v>280.33</v>
      </c>
      <c r="F2854">
        <v>100</v>
      </c>
    </row>
    <row r="2855" spans="1:6" x14ac:dyDescent="0.2">
      <c r="A2855" s="2" t="str">
        <f>"5900334015587"</f>
        <v>5900334015587</v>
      </c>
      <c r="B2855" s="1" t="s">
        <v>2845</v>
      </c>
      <c r="C2855" s="9" t="s">
        <v>3374</v>
      </c>
      <c r="D2855" s="6">
        <v>278.55</v>
      </c>
      <c r="F2855">
        <v>100</v>
      </c>
    </row>
    <row r="2856" spans="1:6" x14ac:dyDescent="0.2">
      <c r="A2856" s="2" t="str">
        <f>"5998821597302"</f>
        <v>5998821597302</v>
      </c>
      <c r="B2856" s="1" t="s">
        <v>2846</v>
      </c>
      <c r="C2856" s="9" t="s">
        <v>3374</v>
      </c>
      <c r="D2856" s="6">
        <v>128.91999999999999</v>
      </c>
      <c r="F2856">
        <v>100</v>
      </c>
    </row>
    <row r="2857" spans="1:6" x14ac:dyDescent="0.2">
      <c r="A2857" s="2" t="str">
        <f>"5998821510356"</f>
        <v>5998821510356</v>
      </c>
      <c r="B2857" s="1" t="s">
        <v>2847</v>
      </c>
      <c r="C2857" s="9" t="s">
        <v>3374</v>
      </c>
      <c r="D2857" s="6">
        <v>125.12</v>
      </c>
      <c r="F2857">
        <v>100</v>
      </c>
    </row>
    <row r="2858" spans="1:6" x14ac:dyDescent="0.2">
      <c r="A2858" s="2" t="str">
        <f>"5900334015716"</f>
        <v>5900334015716</v>
      </c>
      <c r="B2858" s="1" t="s">
        <v>2848</v>
      </c>
      <c r="C2858" s="9" t="s">
        <v>3374</v>
      </c>
      <c r="D2858" s="6">
        <v>123.98</v>
      </c>
      <c r="F2858">
        <v>100</v>
      </c>
    </row>
    <row r="2859" spans="1:6" x14ac:dyDescent="0.2">
      <c r="A2859" s="2" t="str">
        <f>"5999885746958"</f>
        <v>5999885746958</v>
      </c>
      <c r="B2859" s="1" t="s">
        <v>2849</v>
      </c>
      <c r="C2859" s="9" t="s">
        <v>3395</v>
      </c>
      <c r="D2859" s="6">
        <v>120</v>
      </c>
      <c r="F2859">
        <v>100</v>
      </c>
    </row>
    <row r="2860" spans="1:6" x14ac:dyDescent="0.2">
      <c r="A2860" s="2" t="str">
        <f>"5999887753770"</f>
        <v>5999887753770</v>
      </c>
      <c r="B2860" s="1" t="s">
        <v>2850</v>
      </c>
      <c r="C2860" s="9" t="s">
        <v>3395</v>
      </c>
      <c r="D2860" s="6">
        <v>120.13</v>
      </c>
      <c r="F2860">
        <v>100</v>
      </c>
    </row>
    <row r="2861" spans="1:6" x14ac:dyDescent="0.2">
      <c r="A2861" s="2" t="str">
        <f>"5999885747771"</f>
        <v>5999885747771</v>
      </c>
      <c r="B2861" s="1" t="s">
        <v>2851</v>
      </c>
      <c r="C2861" s="9" t="s">
        <v>3395</v>
      </c>
      <c r="D2861" s="6">
        <v>15.36</v>
      </c>
      <c r="F2861">
        <v>100</v>
      </c>
    </row>
    <row r="2862" spans="1:6" x14ac:dyDescent="0.2">
      <c r="A2862" s="2" t="str">
        <f>"5999885747849"</f>
        <v>5999885747849</v>
      </c>
      <c r="B2862" s="1" t="s">
        <v>2852</v>
      </c>
      <c r="C2862" s="9" t="s">
        <v>3395</v>
      </c>
      <c r="D2862" s="6">
        <v>182.74</v>
      </c>
      <c r="F2862">
        <v>100</v>
      </c>
    </row>
    <row r="2863" spans="1:6" x14ac:dyDescent="0.2">
      <c r="A2863" s="2" t="str">
        <f>"5999887753848"</f>
        <v>5999887753848</v>
      </c>
      <c r="B2863" s="1" t="s">
        <v>2853</v>
      </c>
      <c r="C2863" s="9" t="s">
        <v>3395</v>
      </c>
      <c r="D2863" s="6">
        <v>182.15</v>
      </c>
      <c r="F2863">
        <v>100</v>
      </c>
    </row>
    <row r="2864" spans="1:6" x14ac:dyDescent="0.2">
      <c r="A2864" s="2" t="str">
        <f>"9008700173582"</f>
        <v>9008700173582</v>
      </c>
      <c r="B2864" s="1" t="s">
        <v>2854</v>
      </c>
      <c r="C2864" s="9" t="s">
        <v>3374</v>
      </c>
      <c r="D2864" s="6">
        <v>183.53</v>
      </c>
      <c r="F2864">
        <v>100</v>
      </c>
    </row>
    <row r="2865" spans="1:6" x14ac:dyDescent="0.2">
      <c r="A2865" s="2" t="str">
        <f>"5900497019385"</f>
        <v>5900497019385</v>
      </c>
      <c r="B2865" s="1" t="s">
        <v>2855</v>
      </c>
      <c r="C2865" s="9" t="s">
        <v>3386</v>
      </c>
      <c r="D2865" s="6">
        <v>258.13</v>
      </c>
      <c r="F2865">
        <v>100</v>
      </c>
    </row>
    <row r="2866" spans="1:6" x14ac:dyDescent="0.2">
      <c r="A2866" s="2" t="str">
        <f>"5998835905360"</f>
        <v>5998835905360</v>
      </c>
      <c r="B2866" s="1" t="s">
        <v>2856</v>
      </c>
      <c r="C2866" s="9" t="s">
        <v>3378</v>
      </c>
      <c r="D2866" s="6">
        <v>340</v>
      </c>
      <c r="F2866">
        <v>100</v>
      </c>
    </row>
    <row r="2867" spans="1:6" x14ac:dyDescent="0.2">
      <c r="A2867" s="2" t="str">
        <f>"5998835905209"</f>
        <v>5998835905209</v>
      </c>
      <c r="B2867" s="1" t="s">
        <v>2857</v>
      </c>
      <c r="C2867" s="9" t="s">
        <v>3378</v>
      </c>
      <c r="D2867" s="6">
        <v>325</v>
      </c>
      <c r="F2867">
        <v>100</v>
      </c>
    </row>
    <row r="2868" spans="1:6" x14ac:dyDescent="0.2">
      <c r="A2868" s="2" t="str">
        <f>"5998835905322"</f>
        <v>5998835905322</v>
      </c>
      <c r="B2868" s="1" t="s">
        <v>2858</v>
      </c>
      <c r="C2868" s="9" t="s">
        <v>3378</v>
      </c>
      <c r="D2868" s="6">
        <v>340</v>
      </c>
      <c r="F2868">
        <v>100</v>
      </c>
    </row>
    <row r="2869" spans="1:6" x14ac:dyDescent="0.2">
      <c r="A2869" s="2" t="str">
        <f>"5998824744499"</f>
        <v>5998824744499</v>
      </c>
      <c r="B2869" s="1" t="s">
        <v>2859</v>
      </c>
      <c r="C2869" s="9" t="s">
        <v>3374</v>
      </c>
      <c r="D2869" s="6">
        <v>155</v>
      </c>
      <c r="F2869">
        <v>100</v>
      </c>
    </row>
    <row r="2870" spans="1:6" x14ac:dyDescent="0.2">
      <c r="A2870" s="2" t="str">
        <f>"9008700122788"</f>
        <v>9008700122788</v>
      </c>
      <c r="B2870" s="1" t="s">
        <v>2860</v>
      </c>
      <c r="C2870" s="9" t="s">
        <v>3374</v>
      </c>
      <c r="D2870" s="6">
        <v>290.97000000000003</v>
      </c>
      <c r="F2870">
        <v>100</v>
      </c>
    </row>
    <row r="2871" spans="1:6" x14ac:dyDescent="0.2">
      <c r="A2871" s="2" t="str">
        <f>"9008700175258"</f>
        <v>9008700175258</v>
      </c>
      <c r="B2871" s="1" t="s">
        <v>2861</v>
      </c>
      <c r="C2871" s="9" t="s">
        <v>3375</v>
      </c>
      <c r="D2871" s="6">
        <v>295.88</v>
      </c>
      <c r="F2871">
        <v>100</v>
      </c>
    </row>
    <row r="2872" spans="1:6" x14ac:dyDescent="0.2">
      <c r="A2872" s="2" t="str">
        <f>"5995881215078"</f>
        <v>5995881215078</v>
      </c>
      <c r="B2872" s="1" t="s">
        <v>2862</v>
      </c>
      <c r="C2872" s="9" t="s">
        <v>3374</v>
      </c>
      <c r="D2872" s="6">
        <v>290.76</v>
      </c>
      <c r="F2872">
        <v>100</v>
      </c>
    </row>
    <row r="2873" spans="1:6" x14ac:dyDescent="0.2">
      <c r="A2873" s="2" t="str">
        <f>"90169380     "</f>
        <v xml:space="preserve">90169380     </v>
      </c>
      <c r="B2873" s="1" t="s">
        <v>2863</v>
      </c>
      <c r="C2873" s="9" t="s">
        <v>3374</v>
      </c>
      <c r="D2873" s="6">
        <v>290.02999999999997</v>
      </c>
      <c r="F2873">
        <v>100</v>
      </c>
    </row>
    <row r="2874" spans="1:6" x14ac:dyDescent="0.2">
      <c r="A2874" s="2" t="str">
        <f>"5449000121769"</f>
        <v>5449000121769</v>
      </c>
      <c r="B2874" s="1" t="s">
        <v>2864</v>
      </c>
      <c r="C2874" s="9" t="s">
        <v>3376</v>
      </c>
      <c r="D2874" s="6">
        <v>311.73</v>
      </c>
      <c r="F2874">
        <v>100</v>
      </c>
    </row>
    <row r="2875" spans="1:6" x14ac:dyDescent="0.2">
      <c r="A2875" s="2" t="str">
        <f>"5449000098115"</f>
        <v>5449000098115</v>
      </c>
      <c r="B2875" s="1" t="s">
        <v>2865</v>
      </c>
      <c r="C2875" s="9" t="s">
        <v>3376</v>
      </c>
      <c r="D2875" s="6">
        <v>321.63</v>
      </c>
      <c r="F2875">
        <v>100</v>
      </c>
    </row>
    <row r="2876" spans="1:6" x14ac:dyDescent="0.2">
      <c r="A2876" s="2" t="str">
        <f>"5997264158361"</f>
        <v>5997264158361</v>
      </c>
      <c r="B2876" s="1" t="s">
        <v>2866</v>
      </c>
      <c r="C2876" s="9" t="s">
        <v>3386</v>
      </c>
      <c r="D2876" s="6">
        <v>206.38</v>
      </c>
      <c r="F2876">
        <v>100</v>
      </c>
    </row>
    <row r="2877" spans="1:6" x14ac:dyDescent="0.2">
      <c r="A2877" s="2" t="str">
        <f>"5997264163839"</f>
        <v>5997264163839</v>
      </c>
      <c r="B2877" s="1" t="s">
        <v>2867</v>
      </c>
      <c r="C2877" s="9" t="s">
        <v>3386</v>
      </c>
      <c r="D2877" s="6">
        <v>289.56</v>
      </c>
      <c r="F2877">
        <v>100</v>
      </c>
    </row>
    <row r="2878" spans="1:6" x14ac:dyDescent="0.2">
      <c r="A2878" s="2" t="str">
        <f>"5449000121783"</f>
        <v>5449000121783</v>
      </c>
      <c r="B2878" s="1" t="s">
        <v>2868</v>
      </c>
      <c r="C2878" s="9" t="s">
        <v>3376</v>
      </c>
      <c r="D2878" s="6">
        <v>320.42</v>
      </c>
      <c r="F2878">
        <v>100</v>
      </c>
    </row>
    <row r="2879" spans="1:6" x14ac:dyDescent="0.2">
      <c r="A2879" s="2" t="str">
        <f>"5449000165145"</f>
        <v>5449000165145</v>
      </c>
      <c r="B2879" s="1" t="s">
        <v>2869</v>
      </c>
      <c r="C2879" s="9" t="s">
        <v>3376</v>
      </c>
      <c r="D2879" s="6">
        <v>374</v>
      </c>
      <c r="F2879">
        <v>100</v>
      </c>
    </row>
    <row r="2880" spans="1:6" x14ac:dyDescent="0.2">
      <c r="A2880" s="2" t="str">
        <f>"5449000200945"</f>
        <v>5449000200945</v>
      </c>
      <c r="B2880" s="1" t="s">
        <v>2870</v>
      </c>
      <c r="C2880" s="9" t="s">
        <v>3376</v>
      </c>
      <c r="D2880" s="6">
        <v>374</v>
      </c>
      <c r="F2880">
        <v>100</v>
      </c>
    </row>
    <row r="2881" spans="1:6" x14ac:dyDescent="0.2">
      <c r="A2881" s="2" t="str">
        <f>"5449000037978"</f>
        <v>5449000037978</v>
      </c>
      <c r="B2881" s="1" t="s">
        <v>2871</v>
      </c>
      <c r="C2881" s="9" t="s">
        <v>3376</v>
      </c>
      <c r="D2881" s="6">
        <v>429.96</v>
      </c>
      <c r="F2881">
        <v>100</v>
      </c>
    </row>
    <row r="2882" spans="1:6" x14ac:dyDescent="0.2">
      <c r="A2882" s="2" t="str">
        <f>"5449000214799"</f>
        <v>5449000214799</v>
      </c>
      <c r="B2882" s="1" t="s">
        <v>2872</v>
      </c>
      <c r="C2882" s="9" t="s">
        <v>3376</v>
      </c>
      <c r="D2882" s="6">
        <v>161.47999999999999</v>
      </c>
      <c r="F2882">
        <v>100</v>
      </c>
    </row>
    <row r="2883" spans="1:6" x14ac:dyDescent="0.2">
      <c r="A2883" s="2" t="str">
        <f>"5998760904520"</f>
        <v>5998760904520</v>
      </c>
      <c r="B2883" s="1" t="s">
        <v>2873</v>
      </c>
      <c r="C2883" s="9" t="s">
        <v>3376</v>
      </c>
      <c r="D2883" s="6">
        <v>124.57</v>
      </c>
      <c r="F2883">
        <v>100</v>
      </c>
    </row>
    <row r="2884" spans="1:6" x14ac:dyDescent="0.2">
      <c r="A2884" s="2" t="str">
        <f>"5449000230713"</f>
        <v>5449000230713</v>
      </c>
      <c r="B2884" s="1" t="s">
        <v>2874</v>
      </c>
      <c r="C2884" s="9" t="s">
        <v>3376</v>
      </c>
      <c r="D2884" s="6">
        <v>215.65</v>
      </c>
      <c r="F2884">
        <v>100</v>
      </c>
    </row>
    <row r="2885" spans="1:6" x14ac:dyDescent="0.2">
      <c r="A2885" s="2" t="str">
        <f>"5998835940026"</f>
        <v>5998835940026</v>
      </c>
      <c r="B2885" s="1" t="s">
        <v>2875</v>
      </c>
      <c r="C2885" s="9" t="s">
        <v>3378</v>
      </c>
      <c r="D2885" s="6">
        <v>295</v>
      </c>
      <c r="F2885">
        <v>100</v>
      </c>
    </row>
    <row r="2886" spans="1:6" x14ac:dyDescent="0.2">
      <c r="A2886" s="2" t="str">
        <f>"5449000119056"</f>
        <v>5449000119056</v>
      </c>
      <c r="B2886" s="1" t="s">
        <v>2876</v>
      </c>
      <c r="C2886" s="9" t="s">
        <v>3376</v>
      </c>
      <c r="D2886" s="6">
        <v>314.39999999999998</v>
      </c>
      <c r="F2886">
        <v>100</v>
      </c>
    </row>
    <row r="2887" spans="1:6" x14ac:dyDescent="0.2">
      <c r="A2887" s="2" t="str">
        <f>"5998835905407"</f>
        <v>5998835905407</v>
      </c>
      <c r="B2887" s="1" t="s">
        <v>2877</v>
      </c>
      <c r="C2887" s="9" t="s">
        <v>3378</v>
      </c>
      <c r="D2887" s="6">
        <v>209</v>
      </c>
      <c r="F2887">
        <v>100</v>
      </c>
    </row>
    <row r="2888" spans="1:6" x14ac:dyDescent="0.2">
      <c r="A2888" s="2" t="str">
        <f>"3800003306430"</f>
        <v>3800003306430</v>
      </c>
      <c r="B2888" s="1" t="s">
        <v>2878</v>
      </c>
      <c r="C2888" s="9" t="s">
        <v>3388</v>
      </c>
      <c r="D2888" s="6">
        <v>39.75</v>
      </c>
      <c r="F2888">
        <v>100</v>
      </c>
    </row>
    <row r="2889" spans="1:6" x14ac:dyDescent="0.2">
      <c r="A2889" s="2" t="str">
        <f>"3800003308649"</f>
        <v>3800003308649</v>
      </c>
      <c r="B2889" s="1" t="s">
        <v>2879</v>
      </c>
      <c r="C2889" s="9" t="s">
        <v>3388</v>
      </c>
      <c r="D2889" s="6">
        <v>39.72</v>
      </c>
      <c r="F2889">
        <v>100</v>
      </c>
    </row>
    <row r="2890" spans="1:6" x14ac:dyDescent="0.2">
      <c r="A2890" s="2" t="str">
        <f>"3800003308373"</f>
        <v>3800003308373</v>
      </c>
      <c r="B2890" s="1" t="s">
        <v>2880</v>
      </c>
      <c r="C2890" s="9" t="s">
        <v>3388</v>
      </c>
      <c r="D2890" s="6">
        <v>39.94</v>
      </c>
      <c r="F2890">
        <v>100</v>
      </c>
    </row>
    <row r="2891" spans="1:6" x14ac:dyDescent="0.2">
      <c r="A2891" s="2" t="str">
        <f>"5449000270191"</f>
        <v>5449000270191</v>
      </c>
      <c r="B2891" s="1" t="s">
        <v>2881</v>
      </c>
      <c r="C2891" s="9" t="s">
        <v>3376</v>
      </c>
      <c r="D2891" s="6">
        <v>226.94</v>
      </c>
      <c r="F2891">
        <v>100</v>
      </c>
    </row>
    <row r="2892" spans="1:6" x14ac:dyDescent="0.2">
      <c r="A2892" s="2" t="str">
        <f>"5449000235947"</f>
        <v>5449000235947</v>
      </c>
      <c r="B2892" s="1" t="s">
        <v>2882</v>
      </c>
      <c r="C2892" s="9" t="s">
        <v>3376</v>
      </c>
      <c r="D2892" s="6">
        <v>224.55</v>
      </c>
      <c r="F2892">
        <v>100</v>
      </c>
    </row>
    <row r="2893" spans="1:6" x14ac:dyDescent="0.2">
      <c r="A2893" s="2" t="str">
        <f>"8594008042220"</f>
        <v>8594008042220</v>
      </c>
      <c r="B2893" s="1" t="s">
        <v>2883</v>
      </c>
      <c r="C2893" s="9" t="s">
        <v>3378</v>
      </c>
      <c r="D2893" s="6">
        <v>203.68</v>
      </c>
      <c r="F2893">
        <v>100</v>
      </c>
    </row>
    <row r="2894" spans="1:6" x14ac:dyDescent="0.2">
      <c r="A2894" s="2" t="str">
        <f>"9008700128971"</f>
        <v>9008700128971</v>
      </c>
      <c r="B2894" s="1" t="s">
        <v>2884</v>
      </c>
      <c r="C2894" s="9" t="s">
        <v>3375</v>
      </c>
      <c r="D2894" s="6">
        <v>296.67</v>
      </c>
      <c r="F2894">
        <v>100</v>
      </c>
    </row>
    <row r="2895" spans="1:6" x14ac:dyDescent="0.2">
      <c r="A2895" s="2" t="str">
        <f>"90087271     "</f>
        <v xml:space="preserve">90087271     </v>
      </c>
      <c r="B2895" s="1" t="s">
        <v>2885</v>
      </c>
      <c r="C2895" s="9" t="s">
        <v>3375</v>
      </c>
      <c r="D2895" s="6">
        <v>330.39</v>
      </c>
      <c r="F2895">
        <v>100</v>
      </c>
    </row>
    <row r="2896" spans="1:6" x14ac:dyDescent="0.2">
      <c r="A2896" s="2" t="str">
        <f>"9008700179003"</f>
        <v>9008700179003</v>
      </c>
      <c r="B2896" s="1" t="s">
        <v>2886</v>
      </c>
      <c r="C2896" s="9" t="s">
        <v>3377</v>
      </c>
      <c r="D2896" s="6">
        <v>142.81</v>
      </c>
      <c r="F2896">
        <v>100</v>
      </c>
    </row>
    <row r="2897" spans="1:6" x14ac:dyDescent="0.2">
      <c r="A2897" s="2" t="str">
        <f>"5998815115741"</f>
        <v>5998815115741</v>
      </c>
      <c r="B2897" s="1" t="s">
        <v>2887</v>
      </c>
      <c r="C2897" s="9" t="s">
        <v>3377</v>
      </c>
      <c r="D2897" s="6">
        <v>386.61</v>
      </c>
      <c r="F2897">
        <v>100</v>
      </c>
    </row>
    <row r="2898" spans="1:6" x14ac:dyDescent="0.2">
      <c r="A2898" s="2" t="str">
        <f>"5998815117943"</f>
        <v>5998815117943</v>
      </c>
      <c r="B2898" s="1" t="s">
        <v>2888</v>
      </c>
      <c r="C2898" s="9" t="s">
        <v>3377</v>
      </c>
      <c r="D2898" s="6">
        <v>395.27</v>
      </c>
      <c r="F2898">
        <v>100</v>
      </c>
    </row>
    <row r="2899" spans="1:6" x14ac:dyDescent="0.2">
      <c r="A2899" s="2" t="str">
        <f>"3858884609089"</f>
        <v>3858884609089</v>
      </c>
      <c r="B2899" s="1" t="s">
        <v>2889</v>
      </c>
      <c r="C2899" s="9" t="s">
        <v>3377</v>
      </c>
      <c r="D2899" s="6">
        <v>208</v>
      </c>
      <c r="F2899">
        <v>100</v>
      </c>
    </row>
    <row r="2900" spans="1:6" x14ac:dyDescent="0.2">
      <c r="A2900" s="2" t="str">
        <f>"5901067400602"</f>
        <v>5901067400602</v>
      </c>
      <c r="B2900" s="1" t="s">
        <v>2890</v>
      </c>
      <c r="C2900" s="9" t="s">
        <v>3374</v>
      </c>
      <c r="D2900" s="6">
        <v>150.38999999999999</v>
      </c>
      <c r="F2900">
        <v>100</v>
      </c>
    </row>
    <row r="2901" spans="1:6" x14ac:dyDescent="0.2">
      <c r="A2901" s="2" t="str">
        <f>"5900497600507"</f>
        <v>5900497600507</v>
      </c>
      <c r="B2901" s="1" t="s">
        <v>2891</v>
      </c>
      <c r="C2901" s="9" t="s">
        <v>3386</v>
      </c>
      <c r="D2901" s="6">
        <v>187.54</v>
      </c>
      <c r="F2901">
        <v>100</v>
      </c>
    </row>
    <row r="2902" spans="1:6" x14ac:dyDescent="0.2">
      <c r="A2902" s="2" t="str">
        <f>"5997264166502"</f>
        <v>5997264166502</v>
      </c>
      <c r="B2902" s="1" t="s">
        <v>2892</v>
      </c>
      <c r="C2902" s="9" t="s">
        <v>3386</v>
      </c>
      <c r="D2902" s="6">
        <v>206.38</v>
      </c>
      <c r="F2902">
        <v>100</v>
      </c>
    </row>
    <row r="2903" spans="1:6" x14ac:dyDescent="0.2">
      <c r="A2903" s="2" t="str">
        <f>"5900497610506"</f>
        <v>5900497610506</v>
      </c>
      <c r="B2903" s="1" t="s">
        <v>2893</v>
      </c>
      <c r="C2903" s="9" t="s">
        <v>3386</v>
      </c>
      <c r="D2903" s="6">
        <v>191.1</v>
      </c>
      <c r="F2903">
        <v>100</v>
      </c>
    </row>
    <row r="2904" spans="1:6" x14ac:dyDescent="0.2">
      <c r="A2904" s="2" t="str">
        <f>"5999885140053"</f>
        <v>5999885140053</v>
      </c>
      <c r="B2904" s="1" t="s">
        <v>2894</v>
      </c>
      <c r="C2904" s="9" t="s">
        <v>3377</v>
      </c>
      <c r="D2904" s="6">
        <v>165.5</v>
      </c>
      <c r="F2904">
        <v>100</v>
      </c>
    </row>
    <row r="2905" spans="1:6" x14ac:dyDescent="0.2">
      <c r="A2905" s="2" t="str">
        <f>"5999885140350"</f>
        <v>5999885140350</v>
      </c>
      <c r="B2905" s="1" t="s">
        <v>2895</v>
      </c>
      <c r="C2905" s="9" t="s">
        <v>3377</v>
      </c>
      <c r="D2905" s="6">
        <v>145</v>
      </c>
      <c r="F2905">
        <v>100</v>
      </c>
    </row>
    <row r="2906" spans="1:6" x14ac:dyDescent="0.2">
      <c r="A2906" s="2" t="str">
        <f>"5999885140619"</f>
        <v>5999885140619</v>
      </c>
      <c r="B2906" s="1" t="s">
        <v>2896</v>
      </c>
      <c r="C2906" s="9" t="s">
        <v>3377</v>
      </c>
      <c r="D2906" s="6">
        <v>167.86</v>
      </c>
      <c r="F2906">
        <v>100</v>
      </c>
    </row>
    <row r="2907" spans="1:6" x14ac:dyDescent="0.2">
      <c r="A2907" s="2" t="str">
        <f>"5999885140510"</f>
        <v>5999885140510</v>
      </c>
      <c r="B2907" s="1" t="s">
        <v>2897</v>
      </c>
      <c r="C2907" s="9" t="s">
        <v>3377</v>
      </c>
      <c r="D2907" s="6">
        <v>238</v>
      </c>
      <c r="F2907">
        <v>100</v>
      </c>
    </row>
    <row r="2908" spans="1:6" x14ac:dyDescent="0.2">
      <c r="A2908" s="2" t="str">
        <f>"5900497330336"</f>
        <v>5900497330336</v>
      </c>
      <c r="B2908" s="1" t="s">
        <v>2898</v>
      </c>
      <c r="C2908" s="9" t="s">
        <v>3386</v>
      </c>
      <c r="D2908" s="6">
        <v>84.17</v>
      </c>
      <c r="F2908">
        <v>100</v>
      </c>
    </row>
    <row r="2909" spans="1:6" x14ac:dyDescent="0.2">
      <c r="A2909" s="2" t="str">
        <f>"8594008040516"</f>
        <v>8594008040516</v>
      </c>
      <c r="B2909" s="1" t="s">
        <v>2899</v>
      </c>
      <c r="C2909" s="9" t="s">
        <v>3386</v>
      </c>
      <c r="D2909" s="6">
        <v>206.38</v>
      </c>
      <c r="F2909">
        <v>100</v>
      </c>
    </row>
    <row r="2910" spans="1:6" x14ac:dyDescent="0.2">
      <c r="A2910" s="2" t="str">
        <f>"8594008043623"</f>
        <v>8594008043623</v>
      </c>
      <c r="B2910" s="1" t="s">
        <v>2900</v>
      </c>
      <c r="C2910" s="9" t="s">
        <v>3386</v>
      </c>
      <c r="D2910" s="6">
        <v>206.37</v>
      </c>
      <c r="F2910">
        <v>100</v>
      </c>
    </row>
    <row r="2911" spans="1:6" x14ac:dyDescent="0.2">
      <c r="A2911" s="2" t="str">
        <f>"5449000253767"</f>
        <v>5449000253767</v>
      </c>
      <c r="B2911" s="1" t="s">
        <v>2901</v>
      </c>
      <c r="C2911" s="9" t="s">
        <v>3376</v>
      </c>
      <c r="D2911" s="6">
        <v>212.87</v>
      </c>
      <c r="F2911">
        <v>100</v>
      </c>
    </row>
    <row r="2912" spans="1:6" x14ac:dyDescent="0.2">
      <c r="A2912" s="2" t="str">
        <f>"5998835980138"</f>
        <v>5998835980138</v>
      </c>
      <c r="B2912" s="1" t="s">
        <v>2902</v>
      </c>
      <c r="C2912" s="9" t="s">
        <v>3378</v>
      </c>
      <c r="D2912" s="6">
        <v>240</v>
      </c>
      <c r="F2912">
        <v>100</v>
      </c>
    </row>
    <row r="2913" spans="1:6" x14ac:dyDescent="0.2">
      <c r="A2913" s="2" t="str">
        <f>"5998835990205"</f>
        <v>5998835990205</v>
      </c>
      <c r="B2913" s="1" t="s">
        <v>2903</v>
      </c>
      <c r="C2913" s="9" t="s">
        <v>3378</v>
      </c>
      <c r="D2913" s="6">
        <v>239.85</v>
      </c>
      <c r="F2913">
        <v>100</v>
      </c>
    </row>
    <row r="2914" spans="1:6" x14ac:dyDescent="0.2">
      <c r="A2914" s="2" t="str">
        <f>"5998815110418"</f>
        <v>5998815110418</v>
      </c>
      <c r="B2914" s="1" t="s">
        <v>2904</v>
      </c>
      <c r="C2914" s="9" t="s">
        <v>3377</v>
      </c>
      <c r="D2914" s="6">
        <v>371.05</v>
      </c>
      <c r="F2914">
        <v>100</v>
      </c>
    </row>
    <row r="2915" spans="1:6" x14ac:dyDescent="0.2">
      <c r="A2915" s="2" t="str">
        <f>"8001620018569"</f>
        <v>8001620018569</v>
      </c>
      <c r="B2915" s="1" t="s">
        <v>2905</v>
      </c>
      <c r="C2915" s="9" t="s">
        <v>3378</v>
      </c>
      <c r="D2915" s="6">
        <v>219.29</v>
      </c>
      <c r="F2915">
        <v>100</v>
      </c>
    </row>
    <row r="2916" spans="1:6" x14ac:dyDescent="0.2">
      <c r="A2916" s="2" t="str">
        <f>"8001620002988"</f>
        <v>8001620002988</v>
      </c>
      <c r="B2916" s="1" t="s">
        <v>2906</v>
      </c>
      <c r="C2916" s="9" t="s">
        <v>3374</v>
      </c>
      <c r="D2916" s="6">
        <v>153.63999999999999</v>
      </c>
      <c r="F2916">
        <v>100</v>
      </c>
    </row>
    <row r="2917" spans="1:6" x14ac:dyDescent="0.2">
      <c r="A2917" s="2" t="str">
        <f>"8001620012406"</f>
        <v>8001620012406</v>
      </c>
      <c r="B2917" s="1" t="s">
        <v>2907</v>
      </c>
      <c r="C2917" s="9" t="s">
        <v>3378</v>
      </c>
      <c r="D2917" s="6">
        <v>219</v>
      </c>
      <c r="F2917">
        <v>100</v>
      </c>
    </row>
    <row r="2918" spans="1:6" x14ac:dyDescent="0.2">
      <c r="A2918" s="2" t="str">
        <f>"8001620003862"</f>
        <v>8001620003862</v>
      </c>
      <c r="B2918" s="1" t="s">
        <v>2908</v>
      </c>
      <c r="C2918" s="9" t="s">
        <v>3374</v>
      </c>
      <c r="D2918" s="6">
        <v>280.88</v>
      </c>
      <c r="F2918">
        <v>100</v>
      </c>
    </row>
    <row r="2919" spans="1:6" x14ac:dyDescent="0.2">
      <c r="A2919" s="2" t="str">
        <f>"8594001027668"</f>
        <v>8594001027668</v>
      </c>
      <c r="B2919" s="1" t="s">
        <v>2909</v>
      </c>
      <c r="C2919" s="9" t="s">
        <v>3386</v>
      </c>
      <c r="D2919" s="6">
        <v>206.38</v>
      </c>
      <c r="F2919">
        <v>100</v>
      </c>
    </row>
    <row r="2920" spans="1:6" x14ac:dyDescent="0.2">
      <c r="A2920" s="2" t="str">
        <f>"8594001027941"</f>
        <v>8594001027941</v>
      </c>
      <c r="B2920" s="1" t="s">
        <v>2910</v>
      </c>
      <c r="C2920" s="9" t="s">
        <v>3386</v>
      </c>
      <c r="D2920" s="6">
        <v>289.56</v>
      </c>
      <c r="F2920">
        <v>100</v>
      </c>
    </row>
    <row r="2921" spans="1:6" x14ac:dyDescent="0.2">
      <c r="A2921" s="2" t="str">
        <f>"8594001027958"</f>
        <v>8594001027958</v>
      </c>
      <c r="B2921" s="1" t="s">
        <v>2911</v>
      </c>
      <c r="C2921" s="9" t="s">
        <v>3386</v>
      </c>
      <c r="D2921" s="6">
        <v>206.38</v>
      </c>
      <c r="F2921">
        <v>100</v>
      </c>
    </row>
    <row r="2922" spans="1:6" x14ac:dyDescent="0.2">
      <c r="A2922" s="2" t="str">
        <f>"8594001027514"</f>
        <v>8594001027514</v>
      </c>
      <c r="B2922" s="1" t="s">
        <v>2912</v>
      </c>
      <c r="C2922" s="9" t="s">
        <v>3386</v>
      </c>
      <c r="D2922" s="6">
        <v>297.18</v>
      </c>
      <c r="F2922">
        <v>100</v>
      </c>
    </row>
    <row r="2923" spans="1:6" x14ac:dyDescent="0.2">
      <c r="A2923" s="2" t="str">
        <f>"5998760900249"</f>
        <v>5998760900249</v>
      </c>
      <c r="B2923" s="1" t="s">
        <v>2913</v>
      </c>
      <c r="C2923" s="9" t="s">
        <v>3375</v>
      </c>
      <c r="D2923" s="6">
        <v>139</v>
      </c>
      <c r="F2923">
        <v>100</v>
      </c>
    </row>
    <row r="2924" spans="1:6" x14ac:dyDescent="0.2">
      <c r="A2924" s="2" t="str">
        <f>"5998815118452"</f>
        <v>5998815118452</v>
      </c>
      <c r="B2924" s="1" t="s">
        <v>2914</v>
      </c>
      <c r="C2924" s="9" t="s">
        <v>3377</v>
      </c>
      <c r="D2924" s="6">
        <v>202.82</v>
      </c>
      <c r="F2924">
        <v>100</v>
      </c>
    </row>
    <row r="2925" spans="1:6" x14ac:dyDescent="0.2">
      <c r="A2925" s="2" t="str">
        <f>"5998815118346"</f>
        <v>5998815118346</v>
      </c>
      <c r="B2925" s="1" t="s">
        <v>2915</v>
      </c>
      <c r="C2925" s="9" t="s">
        <v>3377</v>
      </c>
      <c r="D2925" s="6">
        <v>258.57</v>
      </c>
      <c r="F2925">
        <v>100</v>
      </c>
    </row>
    <row r="2926" spans="1:6" x14ac:dyDescent="0.2">
      <c r="A2926" s="2" t="str">
        <f>"5998815111361"</f>
        <v>5998815111361</v>
      </c>
      <c r="B2926" s="1" t="s">
        <v>2916</v>
      </c>
      <c r="C2926" s="9" t="s">
        <v>3377</v>
      </c>
      <c r="D2926" s="6">
        <v>339.41</v>
      </c>
      <c r="F2926">
        <v>100</v>
      </c>
    </row>
    <row r="2927" spans="1:6" x14ac:dyDescent="0.2">
      <c r="A2927" s="2" t="str">
        <f>"5998835990250"</f>
        <v>5998835990250</v>
      </c>
      <c r="B2927" s="1" t="s">
        <v>2917</v>
      </c>
      <c r="C2927" s="9" t="s">
        <v>3378</v>
      </c>
      <c r="D2927" s="6">
        <v>205</v>
      </c>
      <c r="F2927">
        <v>100</v>
      </c>
    </row>
    <row r="2928" spans="1:6" x14ac:dyDescent="0.2">
      <c r="A2928" s="2" t="str">
        <f>"5998811760372"</f>
        <v>5998811760372</v>
      </c>
      <c r="B2928" s="1" t="s">
        <v>2918</v>
      </c>
      <c r="C2928" s="9" t="s">
        <v>3382</v>
      </c>
      <c r="D2928" s="6">
        <v>219.84</v>
      </c>
      <c r="F2928">
        <v>100</v>
      </c>
    </row>
    <row r="2929" spans="1:6" x14ac:dyDescent="0.2">
      <c r="A2929" s="2" t="str">
        <f>"5900334007810"</f>
        <v>5900334007810</v>
      </c>
      <c r="B2929" s="1" t="s">
        <v>2919</v>
      </c>
      <c r="C2929" s="9" t="s">
        <v>3374</v>
      </c>
      <c r="D2929" s="6">
        <v>125.69</v>
      </c>
      <c r="F2929">
        <v>100</v>
      </c>
    </row>
    <row r="2930" spans="1:6" x14ac:dyDescent="0.2">
      <c r="A2930" s="2" t="str">
        <f>"5998821510448"</f>
        <v>5998821510448</v>
      </c>
      <c r="B2930" s="1" t="s">
        <v>2920</v>
      </c>
      <c r="C2930" s="9" t="s">
        <v>3375</v>
      </c>
      <c r="D2930" s="6">
        <v>129.6</v>
      </c>
      <c r="F2930">
        <v>100</v>
      </c>
    </row>
    <row r="2931" spans="1:6" x14ac:dyDescent="0.2">
      <c r="A2931" s="2" t="str">
        <f>"5900334015563"</f>
        <v>5900334015563</v>
      </c>
      <c r="B2931" s="1" t="s">
        <v>2921</v>
      </c>
      <c r="C2931" s="9" t="s">
        <v>3374</v>
      </c>
      <c r="D2931" s="6">
        <v>275.33999999999997</v>
      </c>
      <c r="F2931">
        <v>100</v>
      </c>
    </row>
    <row r="2932" spans="1:6" x14ac:dyDescent="0.2">
      <c r="A2932" s="2" t="str">
        <f>"5998821510387"</f>
        <v>5998821510387</v>
      </c>
      <c r="B2932" s="1" t="s">
        <v>2847</v>
      </c>
      <c r="C2932" s="9" t="s">
        <v>3374</v>
      </c>
      <c r="D2932" s="6">
        <v>125.12</v>
      </c>
      <c r="F2932">
        <v>100</v>
      </c>
    </row>
    <row r="2933" spans="1:6" x14ac:dyDescent="0.2">
      <c r="A2933" s="2" t="str">
        <f>"5906441340451"</f>
        <v>5906441340451</v>
      </c>
      <c r="B2933" s="1" t="s">
        <v>2922</v>
      </c>
      <c r="C2933" s="9" t="s">
        <v>3375</v>
      </c>
      <c r="D2933" s="6">
        <v>225.6</v>
      </c>
      <c r="F2933">
        <v>100</v>
      </c>
    </row>
    <row r="2934" spans="1:6" x14ac:dyDescent="0.2">
      <c r="A2934" s="2" t="str">
        <f>"5906441340635"</f>
        <v>5906441340635</v>
      </c>
      <c r="B2934" s="1" t="s">
        <v>2923</v>
      </c>
      <c r="C2934" s="9" t="s">
        <v>3375</v>
      </c>
      <c r="D2934" s="6">
        <v>225.6</v>
      </c>
      <c r="F2934">
        <v>100</v>
      </c>
    </row>
    <row r="2935" spans="1:6" x14ac:dyDescent="0.2">
      <c r="A2935" s="2" t="str">
        <f>"5906441350368"</f>
        <v>5906441350368</v>
      </c>
      <c r="B2935" s="1" t="s">
        <v>2924</v>
      </c>
      <c r="C2935" s="9" t="s">
        <v>3375</v>
      </c>
      <c r="D2935" s="6">
        <v>225.6</v>
      </c>
      <c r="F2935">
        <v>100</v>
      </c>
    </row>
    <row r="2936" spans="1:6" x14ac:dyDescent="0.2">
      <c r="A2936" s="2" t="str">
        <f>"5999885746934"</f>
        <v>5999885746934</v>
      </c>
      <c r="B2936" s="1" t="s">
        <v>2925</v>
      </c>
      <c r="C2936" s="9" t="s">
        <v>3395</v>
      </c>
      <c r="D2936" s="6">
        <v>102.5</v>
      </c>
      <c r="F2936">
        <v>100</v>
      </c>
    </row>
    <row r="2937" spans="1:6" x14ac:dyDescent="0.2">
      <c r="A2937" s="2" t="str">
        <f>"5999887753756"</f>
        <v>5999887753756</v>
      </c>
      <c r="B2937" s="1" t="s">
        <v>2926</v>
      </c>
      <c r="C2937" s="9" t="s">
        <v>3395</v>
      </c>
      <c r="D2937" s="6">
        <v>120.52</v>
      </c>
      <c r="F2937">
        <v>100</v>
      </c>
    </row>
    <row r="2938" spans="1:6" x14ac:dyDescent="0.2">
      <c r="A2938" s="2" t="str">
        <f>"5999885746699"</f>
        <v>5999885746699</v>
      </c>
      <c r="B2938" s="1" t="s">
        <v>2927</v>
      </c>
      <c r="C2938" s="9" t="s">
        <v>3395</v>
      </c>
      <c r="D2938" s="6">
        <v>185</v>
      </c>
      <c r="F2938">
        <v>100</v>
      </c>
    </row>
    <row r="2939" spans="1:6" x14ac:dyDescent="0.2">
      <c r="A2939" s="2" t="str">
        <f>"5999885747856"</f>
        <v>5999885747856</v>
      </c>
      <c r="B2939" s="1" t="s">
        <v>2928</v>
      </c>
      <c r="C2939" s="9" t="s">
        <v>3395</v>
      </c>
      <c r="D2939" s="6">
        <v>134.34</v>
      </c>
      <c r="F2939">
        <v>100</v>
      </c>
    </row>
    <row r="2940" spans="1:6" x14ac:dyDescent="0.2">
      <c r="A2940" s="2" t="str">
        <f>"5998815115994"</f>
        <v>5998815115994</v>
      </c>
      <c r="B2940" s="1" t="s">
        <v>2929</v>
      </c>
      <c r="C2940" s="9" t="s">
        <v>3374</v>
      </c>
      <c r="D2940" s="6">
        <v>76.62</v>
      </c>
      <c r="F2940">
        <v>100</v>
      </c>
    </row>
    <row r="2941" spans="1:6" x14ac:dyDescent="0.2">
      <c r="A2941" s="2" t="str">
        <f>"9778662517075"</f>
        <v>9778662517075</v>
      </c>
      <c r="B2941" s="1" t="s">
        <v>2930</v>
      </c>
      <c r="C2941" s="9" t="s">
        <v>3436</v>
      </c>
      <c r="D2941" s="6">
        <v>220.5</v>
      </c>
      <c r="F2941">
        <v>100</v>
      </c>
    </row>
    <row r="2942" spans="1:6" x14ac:dyDescent="0.2">
      <c r="A2942" s="2" t="str">
        <f>"340          "</f>
        <v xml:space="preserve">340          </v>
      </c>
      <c r="B2942" s="1" t="s">
        <v>2931</v>
      </c>
      <c r="C2942" s="9" t="s">
        <v>3437</v>
      </c>
      <c r="D2942" s="6">
        <v>399.17</v>
      </c>
      <c r="F2942">
        <v>100</v>
      </c>
    </row>
    <row r="2943" spans="1:6" x14ac:dyDescent="0.2">
      <c r="A2943" s="2" t="str">
        <f>"9771419035006"</f>
        <v>9771419035006</v>
      </c>
      <c r="B2943" s="1" t="s">
        <v>2932</v>
      </c>
      <c r="C2943" s="9" t="s">
        <v>3436</v>
      </c>
      <c r="D2943" s="6">
        <v>225</v>
      </c>
      <c r="F2943">
        <v>100</v>
      </c>
    </row>
    <row r="2944" spans="1:6" x14ac:dyDescent="0.2">
      <c r="A2944" s="2" t="str">
        <f>"8018190000795"</f>
        <v>8018190000795</v>
      </c>
      <c r="B2944" s="1" t="s">
        <v>2933</v>
      </c>
      <c r="C2944" s="9" t="s">
        <v>3436</v>
      </c>
      <c r="D2944" s="6">
        <v>0</v>
      </c>
      <c r="F2944">
        <v>100</v>
      </c>
    </row>
    <row r="2945" spans="1:6" x14ac:dyDescent="0.2">
      <c r="A2945" s="2" t="str">
        <f>"9771215741002"</f>
        <v>9771215741002</v>
      </c>
      <c r="B2945" s="1" t="s">
        <v>2934</v>
      </c>
      <c r="C2945" s="9" t="s">
        <v>3436</v>
      </c>
      <c r="D2945" s="6">
        <v>210</v>
      </c>
      <c r="F2945">
        <v>100</v>
      </c>
    </row>
    <row r="2946" spans="1:6" x14ac:dyDescent="0.2">
      <c r="A2946" s="2" t="str">
        <f>"9771588418006"</f>
        <v>9771588418006</v>
      </c>
      <c r="B2946" s="1" t="s">
        <v>2935</v>
      </c>
      <c r="C2946" s="9" t="s">
        <v>3438</v>
      </c>
      <c r="D2946" s="6">
        <v>249</v>
      </c>
      <c r="F2946">
        <v>100</v>
      </c>
    </row>
    <row r="2947" spans="1:6" x14ac:dyDescent="0.2">
      <c r="A2947" s="2" t="str">
        <f>"9771217421001"</f>
        <v>9771217421001</v>
      </c>
      <c r="B2947" s="1" t="s">
        <v>2936</v>
      </c>
      <c r="C2947" s="9" t="s">
        <v>3438</v>
      </c>
      <c r="D2947" s="6">
        <v>199</v>
      </c>
      <c r="F2947">
        <v>100</v>
      </c>
    </row>
    <row r="2948" spans="1:6" x14ac:dyDescent="0.2">
      <c r="A2948" s="2" t="str">
        <f>"9771419548001"</f>
        <v>9771419548001</v>
      </c>
      <c r="B2948" s="1" t="s">
        <v>2937</v>
      </c>
      <c r="C2948" s="9" t="s">
        <v>3436</v>
      </c>
      <c r="D2948" s="6">
        <v>235</v>
      </c>
      <c r="F2948">
        <v>100</v>
      </c>
    </row>
    <row r="2949" spans="1:6" x14ac:dyDescent="0.2">
      <c r="A2949" s="2" t="str">
        <f>"9771217421100"</f>
        <v>9771217421100</v>
      </c>
      <c r="B2949" s="1" t="s">
        <v>2938</v>
      </c>
      <c r="C2949" s="9" t="s">
        <v>3438</v>
      </c>
      <c r="D2949" s="6">
        <v>199</v>
      </c>
      <c r="F2949">
        <v>100</v>
      </c>
    </row>
    <row r="2950" spans="1:6" x14ac:dyDescent="0.2">
      <c r="A2950" s="2" t="str">
        <f>"9771786743009"</f>
        <v>9771786743009</v>
      </c>
      <c r="B2950" s="1" t="s">
        <v>2939</v>
      </c>
      <c r="C2950" s="9" t="s">
        <v>3436</v>
      </c>
      <c r="D2950" s="6">
        <v>149</v>
      </c>
      <c r="F2950">
        <v>100</v>
      </c>
    </row>
    <row r="2951" spans="1:6" x14ac:dyDescent="0.2">
      <c r="A2951" s="2" t="str">
        <f>"9771788219007"</f>
        <v>9771788219007</v>
      </c>
      <c r="B2951" s="1" t="s">
        <v>2940</v>
      </c>
      <c r="C2951" s="9" t="s">
        <v>3436</v>
      </c>
      <c r="D2951" s="6">
        <v>157.5</v>
      </c>
      <c r="F2951">
        <v>100</v>
      </c>
    </row>
    <row r="2952" spans="1:6" x14ac:dyDescent="0.2">
      <c r="A2952" s="2" t="str">
        <f>"9770016240004"</f>
        <v>9770016240004</v>
      </c>
      <c r="B2952" s="1" t="s">
        <v>2941</v>
      </c>
      <c r="C2952" s="9" t="s">
        <v>3436</v>
      </c>
      <c r="D2952" s="6">
        <v>175</v>
      </c>
      <c r="F2952">
        <v>100</v>
      </c>
    </row>
    <row r="2953" spans="1:6" x14ac:dyDescent="0.2">
      <c r="A2953" s="2" t="str">
        <f>"9771218684009"</f>
        <v>9771218684009</v>
      </c>
      <c r="B2953" s="1" t="s">
        <v>2942</v>
      </c>
      <c r="C2953" s="9" t="s">
        <v>3436</v>
      </c>
      <c r="D2953" s="6">
        <v>180</v>
      </c>
      <c r="F2953">
        <v>100</v>
      </c>
    </row>
    <row r="2954" spans="1:6" x14ac:dyDescent="0.2">
      <c r="A2954" s="2" t="str">
        <f>"9771788995277"</f>
        <v>9771788995277</v>
      </c>
      <c r="B2954" s="1" t="s">
        <v>2943</v>
      </c>
      <c r="C2954" s="9" t="s">
        <v>3436</v>
      </c>
      <c r="D2954" s="6">
        <v>135.44999999999999</v>
      </c>
      <c r="F2954">
        <v>100</v>
      </c>
    </row>
    <row r="2955" spans="1:6" x14ac:dyDescent="0.2">
      <c r="A2955" s="2" t="str">
        <f>"9771788995260"</f>
        <v>9771788995260</v>
      </c>
      <c r="B2955" s="1" t="s">
        <v>2944</v>
      </c>
      <c r="C2955" s="9" t="s">
        <v>3436</v>
      </c>
      <c r="D2955" s="6">
        <v>153</v>
      </c>
      <c r="F2955">
        <v>100</v>
      </c>
    </row>
    <row r="2956" spans="1:6" x14ac:dyDescent="0.2">
      <c r="A2956" s="2" t="str">
        <f>"9771788995215"</f>
        <v>9771788995215</v>
      </c>
      <c r="B2956" s="1" t="s">
        <v>2945</v>
      </c>
      <c r="C2956" s="9" t="s">
        <v>3436</v>
      </c>
      <c r="D2956" s="6">
        <v>153</v>
      </c>
      <c r="F2956">
        <v>100</v>
      </c>
    </row>
    <row r="2957" spans="1:6" x14ac:dyDescent="0.2">
      <c r="A2957" s="2" t="str">
        <f>"9771788995246"</f>
        <v>9771788995246</v>
      </c>
      <c r="B2957" s="1" t="s">
        <v>2944</v>
      </c>
      <c r="C2957" s="9" t="s">
        <v>3436</v>
      </c>
      <c r="D2957" s="6">
        <v>153</v>
      </c>
      <c r="F2957">
        <v>100</v>
      </c>
    </row>
    <row r="2958" spans="1:6" x14ac:dyDescent="0.2">
      <c r="A2958" s="2" t="str">
        <f>"9771788995222"</f>
        <v>9771788995222</v>
      </c>
      <c r="B2958" s="1" t="s">
        <v>2944</v>
      </c>
      <c r="C2958" s="9" t="s">
        <v>3436</v>
      </c>
      <c r="D2958" s="6">
        <v>153</v>
      </c>
      <c r="F2958">
        <v>100</v>
      </c>
    </row>
    <row r="2959" spans="1:6" x14ac:dyDescent="0.2">
      <c r="A2959" s="2" t="str">
        <f>"9772498898001"</f>
        <v>9772498898001</v>
      </c>
      <c r="B2959" s="1" t="s">
        <v>2946</v>
      </c>
      <c r="C2959" s="9" t="s">
        <v>3436</v>
      </c>
      <c r="D2959" s="6">
        <v>210</v>
      </c>
      <c r="F2959">
        <v>100</v>
      </c>
    </row>
    <row r="2960" spans="1:6" x14ac:dyDescent="0.2">
      <c r="A2960" s="2" t="str">
        <f>"9770239145100"</f>
        <v>9770239145100</v>
      </c>
      <c r="B2960" s="1" t="s">
        <v>2947</v>
      </c>
      <c r="C2960" s="9" t="s">
        <v>3438</v>
      </c>
      <c r="D2960" s="6">
        <v>795</v>
      </c>
      <c r="F2960">
        <v>100</v>
      </c>
    </row>
    <row r="2961" spans="1:6" x14ac:dyDescent="0.2">
      <c r="A2961" s="2" t="str">
        <f>"9771785082000"</f>
        <v>9771785082000</v>
      </c>
      <c r="B2961" s="1" t="s">
        <v>2948</v>
      </c>
      <c r="C2961" s="9" t="s">
        <v>3436</v>
      </c>
      <c r="D2961" s="6">
        <v>129</v>
      </c>
      <c r="F2961">
        <v>100</v>
      </c>
    </row>
    <row r="2962" spans="1:6" x14ac:dyDescent="0.2">
      <c r="A2962" s="2" t="str">
        <f>"9771587202576"</f>
        <v>9771587202576</v>
      </c>
      <c r="B2962" s="1" t="s">
        <v>2949</v>
      </c>
      <c r="C2962" s="9" t="s">
        <v>3436</v>
      </c>
      <c r="D2962" s="6">
        <v>169</v>
      </c>
      <c r="F2962">
        <v>100</v>
      </c>
    </row>
    <row r="2963" spans="1:6" x14ac:dyDescent="0.2">
      <c r="A2963" s="2" t="str">
        <f>"9770237378029"</f>
        <v>9770237378029</v>
      </c>
      <c r="B2963" s="1" t="s">
        <v>2950</v>
      </c>
      <c r="C2963" s="9" t="s">
        <v>3436</v>
      </c>
      <c r="D2963" s="6">
        <v>220</v>
      </c>
      <c r="F2963">
        <v>100</v>
      </c>
    </row>
    <row r="2964" spans="1:6" x14ac:dyDescent="0.2">
      <c r="A2964" s="2" t="str">
        <f>"9771785483043"</f>
        <v>9771785483043</v>
      </c>
      <c r="B2964" s="1" t="s">
        <v>2951</v>
      </c>
      <c r="C2964" s="9" t="s">
        <v>3436</v>
      </c>
      <c r="D2964" s="6">
        <v>159</v>
      </c>
      <c r="F2964">
        <v>100</v>
      </c>
    </row>
    <row r="2965" spans="1:6" x14ac:dyDescent="0.2">
      <c r="A2965" s="2" t="str">
        <f>"9770230163004"</f>
        <v>9770230163004</v>
      </c>
      <c r="B2965" s="1" t="s">
        <v>2952</v>
      </c>
      <c r="C2965" s="9" t="s">
        <v>3438</v>
      </c>
      <c r="D2965" s="6">
        <v>519.75</v>
      </c>
      <c r="F2965">
        <v>100</v>
      </c>
    </row>
    <row r="2966" spans="1:6" x14ac:dyDescent="0.2">
      <c r="A2966" s="2" t="str">
        <f>"5053307039018"</f>
        <v>5053307039018</v>
      </c>
      <c r="B2966" s="1" t="s">
        <v>2953</v>
      </c>
      <c r="C2966" s="9" t="s">
        <v>3436</v>
      </c>
      <c r="D2966" s="6">
        <v>0</v>
      </c>
      <c r="F2966">
        <v>100</v>
      </c>
    </row>
    <row r="2967" spans="1:6" x14ac:dyDescent="0.2">
      <c r="A2967" s="2" t="str">
        <f>"9771789966009"</f>
        <v>9771789966009</v>
      </c>
      <c r="B2967" s="1" t="s">
        <v>2954</v>
      </c>
      <c r="C2967" s="9" t="s">
        <v>3438</v>
      </c>
      <c r="D2967" s="6">
        <v>119</v>
      </c>
      <c r="F2967">
        <v>100</v>
      </c>
    </row>
    <row r="2968" spans="1:6" x14ac:dyDescent="0.2">
      <c r="A2968" s="2" t="str">
        <f>"9771587202538"</f>
        <v>9771587202538</v>
      </c>
      <c r="B2968" s="1" t="s">
        <v>2951</v>
      </c>
      <c r="C2968" s="9" t="s">
        <v>3436</v>
      </c>
      <c r="D2968" s="6">
        <v>139</v>
      </c>
      <c r="F2968">
        <v>100</v>
      </c>
    </row>
    <row r="2969" spans="1:6" x14ac:dyDescent="0.2">
      <c r="A2969" s="2" t="str">
        <f>"8018190086010"</f>
        <v>8018190086010</v>
      </c>
      <c r="B2969" s="1" t="s">
        <v>2955</v>
      </c>
      <c r="C2969" s="9" t="s">
        <v>3436</v>
      </c>
      <c r="D2969" s="6">
        <v>0</v>
      </c>
      <c r="F2969">
        <v>100</v>
      </c>
    </row>
    <row r="2970" spans="1:6" x14ac:dyDescent="0.2">
      <c r="A2970" s="2" t="str">
        <f>"9772064619009"</f>
        <v>9772064619009</v>
      </c>
      <c r="B2970" s="1" t="s">
        <v>2956</v>
      </c>
      <c r="C2970" s="9" t="s">
        <v>3436</v>
      </c>
      <c r="D2970" s="6">
        <v>195</v>
      </c>
      <c r="F2970">
        <v>100</v>
      </c>
    </row>
    <row r="2971" spans="1:6" x14ac:dyDescent="0.2">
      <c r="A2971" s="2" t="str">
        <f>"9772568247807"</f>
        <v>9772568247807</v>
      </c>
      <c r="B2971" s="1" t="s">
        <v>2957</v>
      </c>
      <c r="C2971" s="9" t="s">
        <v>3438</v>
      </c>
      <c r="D2971" s="6">
        <v>1354.5</v>
      </c>
      <c r="F2971">
        <v>100</v>
      </c>
    </row>
    <row r="2972" spans="1:6" x14ac:dyDescent="0.2">
      <c r="A2972" s="2" t="str">
        <f>"5902811224338"</f>
        <v>5902811224338</v>
      </c>
      <c r="B2972" s="1" t="s">
        <v>2958</v>
      </c>
      <c r="C2972" s="9" t="s">
        <v>3436</v>
      </c>
      <c r="D2972" s="6">
        <v>0</v>
      </c>
      <c r="F2972">
        <v>100</v>
      </c>
    </row>
    <row r="2973" spans="1:6" x14ac:dyDescent="0.2">
      <c r="A2973" s="2" t="str">
        <f>"9772498756066"</f>
        <v>9772498756066</v>
      </c>
      <c r="B2973" s="1" t="s">
        <v>2959</v>
      </c>
      <c r="C2973" s="9" t="s">
        <v>3436</v>
      </c>
      <c r="D2973" s="6">
        <v>115.5</v>
      </c>
      <c r="F2973">
        <v>100</v>
      </c>
    </row>
    <row r="2974" spans="1:6" x14ac:dyDescent="0.2">
      <c r="A2974" s="2" t="str">
        <f>"9771417042006"</f>
        <v>9771417042006</v>
      </c>
      <c r="B2974" s="1" t="s">
        <v>2960</v>
      </c>
      <c r="C2974" s="9" t="s">
        <v>3436</v>
      </c>
      <c r="D2974" s="6">
        <v>229</v>
      </c>
      <c r="F2974">
        <v>100</v>
      </c>
    </row>
    <row r="2975" spans="1:6" x14ac:dyDescent="0.2">
      <c r="A2975" s="2" t="str">
        <f>"9771588518003"</f>
        <v>9771588518003</v>
      </c>
      <c r="B2975" s="1" t="s">
        <v>2961</v>
      </c>
      <c r="C2975" s="9" t="s">
        <v>3438</v>
      </c>
      <c r="D2975" s="6">
        <v>245</v>
      </c>
      <c r="F2975">
        <v>100</v>
      </c>
    </row>
    <row r="2976" spans="1:6" x14ac:dyDescent="0.2">
      <c r="A2976" s="2" t="str">
        <f>"9788366101029"</f>
        <v>9788366101029</v>
      </c>
      <c r="B2976" s="1" t="s">
        <v>2962</v>
      </c>
      <c r="C2976" s="9" t="s">
        <v>3438</v>
      </c>
      <c r="D2976" s="6">
        <v>0</v>
      </c>
      <c r="F2976">
        <v>100</v>
      </c>
    </row>
    <row r="2977" spans="1:6" x14ac:dyDescent="0.2">
      <c r="A2977" s="2" t="str">
        <f>"9770864925009"</f>
        <v>9770864925009</v>
      </c>
      <c r="B2977" s="1" t="s">
        <v>2963</v>
      </c>
      <c r="C2977" s="9" t="s">
        <v>3438</v>
      </c>
      <c r="D2977" s="6">
        <v>199</v>
      </c>
      <c r="F2977">
        <v>100</v>
      </c>
    </row>
    <row r="2978" spans="1:6" x14ac:dyDescent="0.2">
      <c r="A2978" s="2" t="str">
        <f>"9771789771009"</f>
        <v>9771789771009</v>
      </c>
      <c r="B2978" s="1" t="s">
        <v>2964</v>
      </c>
      <c r="C2978" s="9" t="s">
        <v>3438</v>
      </c>
      <c r="D2978" s="6">
        <v>150</v>
      </c>
      <c r="F2978">
        <v>100</v>
      </c>
    </row>
    <row r="2979" spans="1:6" x14ac:dyDescent="0.2">
      <c r="A2979" s="2" t="str">
        <f>"9771215741019"</f>
        <v>9771215741019</v>
      </c>
      <c r="B2979" s="1" t="s">
        <v>2965</v>
      </c>
      <c r="C2979" s="9" t="s">
        <v>3436</v>
      </c>
      <c r="D2979" s="6">
        <v>345</v>
      </c>
      <c r="F2979">
        <v>100</v>
      </c>
    </row>
    <row r="2980" spans="1:6" x14ac:dyDescent="0.2">
      <c r="A2980" s="2" t="str">
        <f>"9771788995253"</f>
        <v>9771788995253</v>
      </c>
      <c r="B2980" s="1" t="s">
        <v>2944</v>
      </c>
      <c r="C2980" s="9" t="s">
        <v>3438</v>
      </c>
      <c r="D2980" s="6">
        <v>153</v>
      </c>
      <c r="F2980">
        <v>100</v>
      </c>
    </row>
    <row r="2981" spans="1:6" x14ac:dyDescent="0.2">
      <c r="A2981" s="2" t="str">
        <f>"9771788995239"</f>
        <v>9771788995239</v>
      </c>
      <c r="B2981" s="1" t="s">
        <v>2944</v>
      </c>
      <c r="C2981" s="9" t="s">
        <v>3436</v>
      </c>
      <c r="D2981" s="6">
        <v>153</v>
      </c>
      <c r="F2981">
        <v>100</v>
      </c>
    </row>
    <row r="2982" spans="1:6" x14ac:dyDescent="0.2">
      <c r="A2982" s="2" t="str">
        <f>"9772498639000"</f>
        <v>9772498639000</v>
      </c>
      <c r="B2982" s="1" t="s">
        <v>2966</v>
      </c>
      <c r="C2982" s="9" t="s">
        <v>3438</v>
      </c>
      <c r="D2982" s="6">
        <v>149</v>
      </c>
      <c r="F2982">
        <v>100</v>
      </c>
    </row>
    <row r="2983" spans="1:6" x14ac:dyDescent="0.2">
      <c r="A2983" s="2" t="str">
        <f>"9771589550002"</f>
        <v>9771589550002</v>
      </c>
      <c r="B2983" s="1" t="s">
        <v>2967</v>
      </c>
      <c r="C2983" s="9" t="s">
        <v>3436</v>
      </c>
      <c r="D2983" s="6">
        <v>85</v>
      </c>
      <c r="F2983">
        <v>100</v>
      </c>
    </row>
    <row r="2984" spans="1:6" x14ac:dyDescent="0.2">
      <c r="A2984" s="2" t="str">
        <f>"9770239145001"</f>
        <v>9770239145001</v>
      </c>
      <c r="B2984" s="1" t="s">
        <v>2968</v>
      </c>
      <c r="C2984" s="9" t="s">
        <v>3436</v>
      </c>
      <c r="D2984" s="6">
        <v>795</v>
      </c>
      <c r="F2984">
        <v>100</v>
      </c>
    </row>
    <row r="2985" spans="1:6" x14ac:dyDescent="0.2">
      <c r="A2985" s="2" t="str">
        <f>"9772416329006"</f>
        <v>9772416329006</v>
      </c>
      <c r="B2985" s="1" t="s">
        <v>2969</v>
      </c>
      <c r="C2985" s="9" t="s">
        <v>3436</v>
      </c>
      <c r="D2985" s="6">
        <v>165</v>
      </c>
      <c r="F2985">
        <v>100</v>
      </c>
    </row>
    <row r="2986" spans="1:6" x14ac:dyDescent="0.2">
      <c r="A2986" s="2" t="str">
        <f>"9772498756059"</f>
        <v>9772498756059</v>
      </c>
      <c r="B2986" s="1" t="s">
        <v>2970</v>
      </c>
      <c r="C2986" s="9" t="s">
        <v>3438</v>
      </c>
      <c r="D2986" s="6">
        <v>135.44999999999999</v>
      </c>
      <c r="F2986">
        <v>100</v>
      </c>
    </row>
    <row r="2987" spans="1:6" x14ac:dyDescent="0.2">
      <c r="A2987" s="2" t="str">
        <f>"5902811224314"</f>
        <v>5902811224314</v>
      </c>
      <c r="B2987" s="1" t="s">
        <v>2971</v>
      </c>
      <c r="C2987" s="9" t="s">
        <v>3436</v>
      </c>
      <c r="D2987" s="6">
        <v>0</v>
      </c>
      <c r="F2987">
        <v>100</v>
      </c>
    </row>
    <row r="2988" spans="1:6" x14ac:dyDescent="0.2">
      <c r="A2988" s="2" t="str">
        <f>"9772415997008"</f>
        <v>9772415997008</v>
      </c>
      <c r="B2988" s="1" t="s">
        <v>2972</v>
      </c>
      <c r="C2988" s="9" t="s">
        <v>3438</v>
      </c>
      <c r="D2988" s="6">
        <v>595</v>
      </c>
      <c r="F2988">
        <v>100</v>
      </c>
    </row>
    <row r="2989" spans="1:6" x14ac:dyDescent="0.2">
      <c r="A2989" s="2" t="str">
        <f>"9772063737001"</f>
        <v>9772063737001</v>
      </c>
      <c r="B2989" s="1" t="s">
        <v>2973</v>
      </c>
      <c r="C2989" s="9" t="s">
        <v>3436</v>
      </c>
      <c r="D2989" s="6">
        <v>499</v>
      </c>
      <c r="F2989">
        <v>100</v>
      </c>
    </row>
    <row r="2990" spans="1:6" x14ac:dyDescent="0.2">
      <c r="A2990" s="2" t="str">
        <f>"9770864925047"</f>
        <v>9770864925047</v>
      </c>
      <c r="B2990" s="1" t="s">
        <v>2974</v>
      </c>
      <c r="C2990" s="9" t="s">
        <v>3438</v>
      </c>
      <c r="D2990" s="6">
        <v>345</v>
      </c>
      <c r="F2990">
        <v>100</v>
      </c>
    </row>
    <row r="2991" spans="1:6" x14ac:dyDescent="0.2">
      <c r="A2991" s="2" t="str">
        <f>"9771589459008"</f>
        <v>9771589459008</v>
      </c>
      <c r="B2991" s="1" t="s">
        <v>2975</v>
      </c>
      <c r="C2991" s="9" t="s">
        <v>3436</v>
      </c>
      <c r="D2991" s="6">
        <v>899</v>
      </c>
      <c r="F2991">
        <v>100</v>
      </c>
    </row>
    <row r="2992" spans="1:6" x14ac:dyDescent="0.2">
      <c r="A2992" s="2" t="str">
        <f>"9771419150006"</f>
        <v>9771419150006</v>
      </c>
      <c r="B2992" s="1" t="s">
        <v>2976</v>
      </c>
      <c r="C2992" s="9" t="s">
        <v>3436</v>
      </c>
      <c r="D2992" s="6">
        <v>119</v>
      </c>
      <c r="F2992">
        <v>100</v>
      </c>
    </row>
    <row r="2993" spans="1:6" x14ac:dyDescent="0.2">
      <c r="A2993" s="2" t="str">
        <f>"9771785483050"</f>
        <v>9771785483050</v>
      </c>
      <c r="B2993" s="1" t="s">
        <v>2977</v>
      </c>
      <c r="C2993" s="9" t="s">
        <v>3438</v>
      </c>
      <c r="D2993" s="6">
        <v>139</v>
      </c>
      <c r="F2993">
        <v>100</v>
      </c>
    </row>
    <row r="2994" spans="1:6" x14ac:dyDescent="0.2">
      <c r="A2994" s="2" t="str">
        <f>"9771418224005"</f>
        <v>9771418224005</v>
      </c>
      <c r="B2994" s="1" t="s">
        <v>2978</v>
      </c>
      <c r="C2994" s="9" t="s">
        <v>3436</v>
      </c>
      <c r="D2994" s="6">
        <v>385</v>
      </c>
      <c r="F2994">
        <v>100</v>
      </c>
    </row>
    <row r="2995" spans="1:6" x14ac:dyDescent="0.2">
      <c r="A2995" s="2" t="str">
        <f>"9771585358008"</f>
        <v>9771585358008</v>
      </c>
      <c r="B2995" s="1" t="s">
        <v>2979</v>
      </c>
      <c r="C2995" s="9" t="s">
        <v>3438</v>
      </c>
      <c r="D2995" s="6">
        <v>149</v>
      </c>
      <c r="F2995">
        <v>100</v>
      </c>
    </row>
    <row r="2996" spans="1:6" x14ac:dyDescent="0.2">
      <c r="A2996" s="2" t="str">
        <f>"9771786598005"</f>
        <v>9771786598005</v>
      </c>
      <c r="B2996" s="1" t="s">
        <v>2980</v>
      </c>
      <c r="C2996" s="9" t="s">
        <v>3438</v>
      </c>
      <c r="D2996" s="6">
        <v>0</v>
      </c>
      <c r="F2996">
        <v>100</v>
      </c>
    </row>
    <row r="2997" spans="1:6" x14ac:dyDescent="0.2">
      <c r="A2997" s="2" t="str">
        <f>"9772611658031"</f>
        <v>9772611658031</v>
      </c>
      <c r="B2997" s="1" t="s">
        <v>2981</v>
      </c>
      <c r="C2997" s="9" t="s">
        <v>3436</v>
      </c>
      <c r="D2997" s="6">
        <v>0</v>
      </c>
      <c r="F2997">
        <v>100</v>
      </c>
    </row>
    <row r="2998" spans="1:6" x14ac:dyDescent="0.2">
      <c r="A2998" s="2" t="str">
        <f>"5902811224284"</f>
        <v>5902811224284</v>
      </c>
      <c r="B2998" s="1" t="s">
        <v>2982</v>
      </c>
      <c r="C2998" s="9" t="s">
        <v>3436</v>
      </c>
      <c r="D2998" s="6">
        <v>0</v>
      </c>
      <c r="F2998">
        <v>100</v>
      </c>
    </row>
    <row r="2999" spans="1:6" x14ac:dyDescent="0.2">
      <c r="A2999" s="2" t="str">
        <f>"9771789919005"</f>
        <v>9771789919005</v>
      </c>
      <c r="B2999" s="1" t="s">
        <v>2983</v>
      </c>
      <c r="C2999" s="9" t="s">
        <v>3436</v>
      </c>
      <c r="D2999" s="6">
        <v>0</v>
      </c>
      <c r="F2999">
        <v>100</v>
      </c>
    </row>
    <row r="3000" spans="1:6" x14ac:dyDescent="0.2">
      <c r="A3000" s="2" t="str">
        <f>"9771217550060"</f>
        <v>9771217550060</v>
      </c>
      <c r="B3000" s="1" t="s">
        <v>2984</v>
      </c>
      <c r="C3000" s="9" t="s">
        <v>3436</v>
      </c>
      <c r="D3000" s="6">
        <v>180</v>
      </c>
      <c r="F3000">
        <v>100</v>
      </c>
    </row>
    <row r="3001" spans="1:6" x14ac:dyDescent="0.2">
      <c r="A3001" s="2" t="str">
        <f>"9778662517020"</f>
        <v>9778662517020</v>
      </c>
      <c r="B3001" s="1" t="s">
        <v>2985</v>
      </c>
      <c r="C3001" s="9" t="s">
        <v>3436</v>
      </c>
      <c r="D3001" s="6">
        <v>0</v>
      </c>
      <c r="F3001">
        <v>100</v>
      </c>
    </row>
    <row r="3002" spans="1:6" x14ac:dyDescent="0.2">
      <c r="A3002" s="2" t="str">
        <f>"9772498756028"</f>
        <v>9772498756028</v>
      </c>
      <c r="B3002" s="1" t="s">
        <v>2986</v>
      </c>
      <c r="C3002" s="9" t="s">
        <v>3436</v>
      </c>
      <c r="D3002" s="6">
        <v>105</v>
      </c>
      <c r="F3002">
        <v>100</v>
      </c>
    </row>
    <row r="3003" spans="1:6" x14ac:dyDescent="0.2">
      <c r="A3003" s="2" t="str">
        <f>"9771862018304"</f>
        <v>9771862018304</v>
      </c>
      <c r="B3003" s="1" t="s">
        <v>2987</v>
      </c>
      <c r="C3003" s="9" t="s">
        <v>3436</v>
      </c>
      <c r="D3003" s="6">
        <v>0</v>
      </c>
      <c r="F3003">
        <v>100</v>
      </c>
    </row>
    <row r="3004" spans="1:6" x14ac:dyDescent="0.2">
      <c r="A3004" s="2" t="str">
        <f>"8018190003093"</f>
        <v>8018190003093</v>
      </c>
      <c r="B3004" s="1" t="s">
        <v>2988</v>
      </c>
      <c r="C3004" s="9" t="s">
        <v>3438</v>
      </c>
      <c r="D3004" s="6">
        <v>0</v>
      </c>
      <c r="F3004">
        <v>100</v>
      </c>
    </row>
    <row r="3005" spans="1:6" x14ac:dyDescent="0.2">
      <c r="A3005" s="2" t="str">
        <f>"5902811224307"</f>
        <v>5902811224307</v>
      </c>
      <c r="B3005" s="1" t="s">
        <v>2989</v>
      </c>
      <c r="C3005" s="9" t="s">
        <v>3438</v>
      </c>
      <c r="D3005" s="6">
        <v>0</v>
      </c>
      <c r="F3005">
        <v>100</v>
      </c>
    </row>
    <row r="3006" spans="1:6" x14ac:dyDescent="0.2">
      <c r="A3006" s="2" t="str">
        <f>"9788833423814"</f>
        <v>9788833423814</v>
      </c>
      <c r="B3006" s="1" t="s">
        <v>2990</v>
      </c>
      <c r="C3006" s="9" t="s">
        <v>3436</v>
      </c>
      <c r="D3006" s="6">
        <v>0</v>
      </c>
      <c r="F3006">
        <v>100</v>
      </c>
    </row>
    <row r="3007" spans="1:6" x14ac:dyDescent="0.2">
      <c r="A3007" s="2" t="str">
        <f>"5902811224277"</f>
        <v>5902811224277</v>
      </c>
      <c r="B3007" s="1" t="s">
        <v>2991</v>
      </c>
      <c r="C3007" s="9" t="s">
        <v>3438</v>
      </c>
      <c r="D3007" s="6">
        <v>0</v>
      </c>
      <c r="F3007">
        <v>100</v>
      </c>
    </row>
    <row r="3008" spans="1:6" x14ac:dyDescent="0.2">
      <c r="A3008" s="2" t="str">
        <f>"9771785483029"</f>
        <v>9771785483029</v>
      </c>
      <c r="B3008" s="1" t="s">
        <v>2992</v>
      </c>
      <c r="C3008" s="9" t="s">
        <v>3436</v>
      </c>
      <c r="D3008" s="6">
        <v>139</v>
      </c>
      <c r="F3008">
        <v>100</v>
      </c>
    </row>
    <row r="3009" spans="1:6" x14ac:dyDescent="0.2">
      <c r="A3009" s="2" t="str">
        <f>"9771587202545"</f>
        <v>9771587202545</v>
      </c>
      <c r="B3009" s="1" t="s">
        <v>2993</v>
      </c>
      <c r="C3009" s="9" t="s">
        <v>3436</v>
      </c>
      <c r="D3009" s="6">
        <v>139</v>
      </c>
      <c r="F3009">
        <v>100</v>
      </c>
    </row>
    <row r="3010" spans="1:6" x14ac:dyDescent="0.2">
      <c r="A3010" s="2" t="str">
        <f>"9771419260002"</f>
        <v>9771419260002</v>
      </c>
      <c r="B3010" s="1" t="s">
        <v>2994</v>
      </c>
      <c r="C3010" s="9" t="s">
        <v>3436</v>
      </c>
      <c r="D3010" s="6">
        <v>899</v>
      </c>
      <c r="F3010">
        <v>100</v>
      </c>
    </row>
    <row r="3011" spans="1:6" x14ac:dyDescent="0.2">
      <c r="A3011" s="2" t="str">
        <f>"9771217964003"</f>
        <v>9771217964003</v>
      </c>
      <c r="B3011" s="1" t="s">
        <v>2995</v>
      </c>
      <c r="C3011" s="9" t="s">
        <v>3436</v>
      </c>
      <c r="D3011" s="6">
        <v>545</v>
      </c>
      <c r="F3011">
        <v>100</v>
      </c>
    </row>
    <row r="3012" spans="1:6" x14ac:dyDescent="0.2">
      <c r="A3012" s="2" t="str">
        <f>"4142711200709"</f>
        <v>4142711200709</v>
      </c>
      <c r="B3012" s="1" t="s">
        <v>2996</v>
      </c>
      <c r="C3012" s="9" t="s">
        <v>3438</v>
      </c>
      <c r="D3012" s="6">
        <v>0</v>
      </c>
      <c r="F3012">
        <v>100</v>
      </c>
    </row>
    <row r="3013" spans="1:6" x14ac:dyDescent="0.2">
      <c r="A3013" s="2" t="str">
        <f>"9771787297006"</f>
        <v>9771787297006</v>
      </c>
      <c r="B3013" s="1" t="s">
        <v>2997</v>
      </c>
      <c r="C3013" s="9" t="s">
        <v>3436</v>
      </c>
      <c r="D3013" s="6">
        <v>390</v>
      </c>
      <c r="F3013">
        <v>100</v>
      </c>
    </row>
    <row r="3014" spans="1:6" x14ac:dyDescent="0.2">
      <c r="A3014" s="2" t="str">
        <f>"9771417254003"</f>
        <v>9771417254003</v>
      </c>
      <c r="B3014" s="1" t="s">
        <v>2998</v>
      </c>
      <c r="C3014" s="9" t="s">
        <v>3436</v>
      </c>
      <c r="D3014" s="6">
        <v>745</v>
      </c>
      <c r="F3014">
        <v>100</v>
      </c>
    </row>
    <row r="3015" spans="1:6" x14ac:dyDescent="0.2">
      <c r="A3015" s="2" t="str">
        <f>"9771789582001"</f>
        <v>9771789582001</v>
      </c>
      <c r="B3015" s="1" t="s">
        <v>2999</v>
      </c>
      <c r="C3015" s="9" t="s">
        <v>3436</v>
      </c>
      <c r="D3015" s="6">
        <v>455</v>
      </c>
      <c r="F3015">
        <v>100</v>
      </c>
    </row>
    <row r="3016" spans="1:6" x14ac:dyDescent="0.2">
      <c r="A3016" s="2" t="str">
        <f>"9771585570004"</f>
        <v>9771585570004</v>
      </c>
      <c r="B3016" s="1" t="s">
        <v>3000</v>
      </c>
      <c r="C3016" s="9" t="s">
        <v>3438</v>
      </c>
      <c r="D3016" s="6">
        <v>249</v>
      </c>
      <c r="F3016">
        <v>100</v>
      </c>
    </row>
    <row r="3017" spans="1:6" x14ac:dyDescent="0.2">
      <c r="A3017" s="2" t="str">
        <f>"9771589980007"</f>
        <v>9771589980007</v>
      </c>
      <c r="B3017" s="1" t="s">
        <v>3001</v>
      </c>
      <c r="C3017" s="9" t="s">
        <v>3436</v>
      </c>
      <c r="D3017" s="6">
        <v>285</v>
      </c>
      <c r="F3017">
        <v>100</v>
      </c>
    </row>
    <row r="3018" spans="1:6" x14ac:dyDescent="0.2">
      <c r="A3018" s="2" t="str">
        <f>"5902811224567"</f>
        <v>5902811224567</v>
      </c>
      <c r="B3018" s="1" t="s">
        <v>3002</v>
      </c>
      <c r="C3018" s="9" t="s">
        <v>3436</v>
      </c>
      <c r="D3018" s="6">
        <v>0</v>
      </c>
      <c r="F3018">
        <v>100</v>
      </c>
    </row>
    <row r="3019" spans="1:6" x14ac:dyDescent="0.2">
      <c r="A3019" s="2" t="str">
        <f>"9772498913001"</f>
        <v>9772498913001</v>
      </c>
      <c r="B3019" s="1" t="s">
        <v>3003</v>
      </c>
      <c r="C3019" s="9" t="s">
        <v>3436</v>
      </c>
      <c r="D3019" s="6">
        <v>519.75</v>
      </c>
      <c r="F3019">
        <v>100</v>
      </c>
    </row>
    <row r="3020" spans="1:6" x14ac:dyDescent="0.2">
      <c r="A3020" s="2" t="str">
        <f>"5999567480309"</f>
        <v>5999567480309</v>
      </c>
      <c r="B3020" s="1" t="s">
        <v>3004</v>
      </c>
      <c r="C3020" s="9" t="s">
        <v>3436</v>
      </c>
      <c r="D3020" s="6">
        <v>0</v>
      </c>
      <c r="F3020">
        <v>100</v>
      </c>
    </row>
    <row r="3021" spans="1:6" x14ac:dyDescent="0.2">
      <c r="A3021" s="2" t="str">
        <f>"9771427014147"</f>
        <v>9771427014147</v>
      </c>
      <c r="B3021" s="1" t="s">
        <v>3005</v>
      </c>
      <c r="C3021" s="9" t="s">
        <v>3438</v>
      </c>
      <c r="D3021" s="6">
        <v>0</v>
      </c>
      <c r="F3021">
        <v>100</v>
      </c>
    </row>
    <row r="3022" spans="1:6" x14ac:dyDescent="0.2">
      <c r="A3022" s="2" t="str">
        <f>"9771215741088"</f>
        <v>9771215741088</v>
      </c>
      <c r="B3022" s="1" t="s">
        <v>3006</v>
      </c>
      <c r="C3022" s="9" t="s">
        <v>3436</v>
      </c>
      <c r="D3022" s="6">
        <v>414.75</v>
      </c>
      <c r="F3022">
        <v>100</v>
      </c>
    </row>
    <row r="3023" spans="1:6" x14ac:dyDescent="0.2">
      <c r="A3023" s="2" t="str">
        <f>"5999887124181"</f>
        <v>5999887124181</v>
      </c>
      <c r="B3023" s="1" t="s">
        <v>3007</v>
      </c>
      <c r="C3023" s="9" t="s">
        <v>3438</v>
      </c>
      <c r="D3023" s="6">
        <v>0</v>
      </c>
      <c r="F3023">
        <v>100</v>
      </c>
    </row>
    <row r="3024" spans="1:6" x14ac:dyDescent="0.2">
      <c r="A3024" s="2" t="str">
        <f>"9771217550053"</f>
        <v>9771217550053</v>
      </c>
      <c r="B3024" s="1" t="s">
        <v>3008</v>
      </c>
      <c r="C3024" s="9" t="s">
        <v>3438</v>
      </c>
      <c r="D3024" s="6">
        <v>180</v>
      </c>
      <c r="F3024">
        <v>100</v>
      </c>
    </row>
    <row r="3025" spans="1:6" x14ac:dyDescent="0.2">
      <c r="A3025" s="2" t="str">
        <f>"9770237378067"</f>
        <v>9770237378067</v>
      </c>
      <c r="B3025" s="1" t="s">
        <v>3009</v>
      </c>
      <c r="C3025" s="9" t="s">
        <v>3436</v>
      </c>
      <c r="D3025" s="6">
        <v>230</v>
      </c>
      <c r="F3025">
        <v>100</v>
      </c>
    </row>
    <row r="3026" spans="1:6" x14ac:dyDescent="0.2">
      <c r="A3026" s="2" t="str">
        <f>"9771785163006"</f>
        <v>9771785163006</v>
      </c>
      <c r="B3026" s="1" t="s">
        <v>3010</v>
      </c>
      <c r="C3026" s="9" t="s">
        <v>3438</v>
      </c>
      <c r="D3026" s="6">
        <v>829.5</v>
      </c>
      <c r="F3026">
        <v>100</v>
      </c>
    </row>
    <row r="3027" spans="1:6" x14ac:dyDescent="0.2">
      <c r="A3027" s="2" t="str">
        <f>"9772498756011"</f>
        <v>9772498756011</v>
      </c>
      <c r="B3027" s="1" t="s">
        <v>3011</v>
      </c>
      <c r="C3027" s="9" t="s">
        <v>3436</v>
      </c>
      <c r="D3027" s="6">
        <v>124.95</v>
      </c>
      <c r="F3027">
        <v>100</v>
      </c>
    </row>
    <row r="3028" spans="1:6" x14ac:dyDescent="0.2">
      <c r="A3028" s="2" t="str">
        <f>"9772192711002"</f>
        <v>9772192711002</v>
      </c>
      <c r="B3028" s="1" t="s">
        <v>3012</v>
      </c>
      <c r="C3028" s="9" t="s">
        <v>3438</v>
      </c>
      <c r="D3028" s="6">
        <v>0</v>
      </c>
      <c r="F3028">
        <v>100</v>
      </c>
    </row>
    <row r="3029" spans="1:6" x14ac:dyDescent="0.2">
      <c r="A3029" s="2" t="str">
        <f>"9771787629104"</f>
        <v>9771787629104</v>
      </c>
      <c r="B3029" s="1" t="s">
        <v>3013</v>
      </c>
      <c r="C3029" s="9" t="s">
        <v>3438</v>
      </c>
      <c r="D3029" s="6">
        <v>595</v>
      </c>
      <c r="F3029">
        <v>100</v>
      </c>
    </row>
    <row r="3030" spans="1:6" x14ac:dyDescent="0.2">
      <c r="A3030" s="2" t="str">
        <f>"5902811224253"</f>
        <v>5902811224253</v>
      </c>
      <c r="B3030" s="1" t="s">
        <v>3014</v>
      </c>
      <c r="C3030" s="9" t="s">
        <v>3438</v>
      </c>
      <c r="D3030" s="6">
        <v>0</v>
      </c>
      <c r="F3030">
        <v>100</v>
      </c>
    </row>
    <row r="3031" spans="1:6" x14ac:dyDescent="0.2">
      <c r="A3031" s="2" t="str">
        <f>"5997473362146"</f>
        <v>5997473362146</v>
      </c>
      <c r="B3031" s="1" t="s">
        <v>3015</v>
      </c>
      <c r="C3031" s="9" t="s">
        <v>3376</v>
      </c>
      <c r="D3031" s="6">
        <v>71.88</v>
      </c>
      <c r="F3031">
        <v>100</v>
      </c>
    </row>
    <row r="3032" spans="1:6" x14ac:dyDescent="0.2">
      <c r="A3032" s="2" t="str">
        <f>"4015400435846"</f>
        <v>4015400435846</v>
      </c>
      <c r="B3032" s="1" t="s">
        <v>3016</v>
      </c>
      <c r="C3032" s="9" t="s">
        <v>3418</v>
      </c>
      <c r="D3032" s="6">
        <v>259</v>
      </c>
      <c r="F3032">
        <v>100</v>
      </c>
    </row>
    <row r="3033" spans="1:6" x14ac:dyDescent="0.2">
      <c r="A3033" s="2" t="str">
        <f>"5997287700110"</f>
        <v>5997287700110</v>
      </c>
      <c r="B3033" s="1" t="s">
        <v>3017</v>
      </c>
      <c r="C3033" s="9" t="s">
        <v>3374</v>
      </c>
      <c r="D3033" s="6">
        <v>450.6</v>
      </c>
      <c r="F3033">
        <v>100</v>
      </c>
    </row>
    <row r="3034" spans="1:6" x14ac:dyDescent="0.2">
      <c r="A3034" s="2" t="str">
        <f>"8697817871378"</f>
        <v>8697817871378</v>
      </c>
      <c r="B3034" s="1" t="s">
        <v>3018</v>
      </c>
      <c r="C3034" s="9" t="s">
        <v>3379</v>
      </c>
      <c r="D3034" s="6">
        <v>305.17</v>
      </c>
      <c r="F3034">
        <v>100</v>
      </c>
    </row>
    <row r="3035" spans="1:6" x14ac:dyDescent="0.2">
      <c r="A3035" s="2" t="str">
        <f>"8693495033770"</f>
        <v>8693495033770</v>
      </c>
      <c r="B3035" s="1" t="s">
        <v>3019</v>
      </c>
      <c r="C3035" s="9" t="s">
        <v>3418</v>
      </c>
      <c r="D3035" s="6">
        <v>94.64</v>
      </c>
      <c r="F3035">
        <v>100</v>
      </c>
    </row>
    <row r="3036" spans="1:6" x14ac:dyDescent="0.2">
      <c r="A3036" s="2" t="str">
        <f>"8710447283059"</f>
        <v>8710447283059</v>
      </c>
      <c r="B3036" s="1" t="s">
        <v>3020</v>
      </c>
      <c r="C3036" s="9" t="s">
        <v>3418</v>
      </c>
      <c r="D3036" s="6">
        <v>431.49</v>
      </c>
      <c r="F3036">
        <v>100</v>
      </c>
    </row>
    <row r="3037" spans="1:6" x14ac:dyDescent="0.2">
      <c r="A3037" s="2" t="str">
        <f>"8593838993726"</f>
        <v>8593838993726</v>
      </c>
      <c r="B3037" s="1" t="s">
        <v>3021</v>
      </c>
      <c r="C3037" s="9" t="s">
        <v>3418</v>
      </c>
      <c r="D3037" s="6">
        <v>125</v>
      </c>
      <c r="F3037">
        <v>100</v>
      </c>
    </row>
    <row r="3038" spans="1:6" x14ac:dyDescent="0.2">
      <c r="A3038" s="2" t="str">
        <f>"5997473314053"</f>
        <v>5997473314053</v>
      </c>
      <c r="B3038" s="1" t="s">
        <v>3022</v>
      </c>
      <c r="C3038" s="9" t="s">
        <v>3376</v>
      </c>
      <c r="D3038" s="6">
        <v>194.65</v>
      </c>
      <c r="F3038">
        <v>100</v>
      </c>
    </row>
    <row r="3039" spans="1:6" x14ac:dyDescent="0.2">
      <c r="A3039" s="2" t="str">
        <f>"5996037079797"</f>
        <v>5996037079797</v>
      </c>
      <c r="B3039" s="1" t="s">
        <v>3023</v>
      </c>
      <c r="C3039" s="9" t="s">
        <v>3418</v>
      </c>
      <c r="D3039" s="6">
        <v>338.41</v>
      </c>
      <c r="F3039">
        <v>100</v>
      </c>
    </row>
    <row r="3040" spans="1:6" x14ac:dyDescent="0.2">
      <c r="A3040" s="2" t="str">
        <f>"3014260265885"</f>
        <v>3014260265885</v>
      </c>
      <c r="B3040" s="1" t="s">
        <v>3024</v>
      </c>
      <c r="C3040" s="9" t="s">
        <v>3418</v>
      </c>
      <c r="D3040" s="6">
        <v>173.52</v>
      </c>
      <c r="F3040">
        <v>100</v>
      </c>
    </row>
    <row r="3041" spans="1:6" x14ac:dyDescent="0.2">
      <c r="A3041" s="2" t="str">
        <f>"4015400125037"</f>
        <v>4015400125037</v>
      </c>
      <c r="B3041" s="1" t="s">
        <v>3025</v>
      </c>
      <c r="C3041" s="9" t="s">
        <v>3418</v>
      </c>
      <c r="D3041" s="6">
        <v>252.71</v>
      </c>
      <c r="F3041">
        <v>100</v>
      </c>
    </row>
    <row r="3042" spans="1:6" x14ac:dyDescent="0.2">
      <c r="A3042" s="2" t="str">
        <f>"8710447467312"</f>
        <v>8710447467312</v>
      </c>
      <c r="B3042" s="1" t="s">
        <v>3026</v>
      </c>
      <c r="C3042" s="9" t="s">
        <v>3418</v>
      </c>
      <c r="D3042" s="6">
        <v>339</v>
      </c>
      <c r="F3042">
        <v>100</v>
      </c>
    </row>
    <row r="3043" spans="1:6" x14ac:dyDescent="0.2">
      <c r="A3043" s="2" t="str">
        <f>"8710447282984"</f>
        <v>8710447282984</v>
      </c>
      <c r="B3043" s="1" t="s">
        <v>3027</v>
      </c>
      <c r="C3043" s="9" t="s">
        <v>3418</v>
      </c>
      <c r="D3043" s="6">
        <v>431.33</v>
      </c>
      <c r="F3043">
        <v>100</v>
      </c>
    </row>
    <row r="3044" spans="1:6" x14ac:dyDescent="0.2">
      <c r="A3044" s="2" t="str">
        <f>"5998198300031"</f>
        <v>5998198300031</v>
      </c>
      <c r="B3044" s="1" t="s">
        <v>3028</v>
      </c>
      <c r="C3044" s="9" t="s">
        <v>3418</v>
      </c>
      <c r="D3044" s="6">
        <v>154.53</v>
      </c>
      <c r="F3044">
        <v>100</v>
      </c>
    </row>
    <row r="3045" spans="1:6" x14ac:dyDescent="0.2">
      <c r="A3045" s="2" t="str">
        <f>"8001090975188"</f>
        <v>8001090975188</v>
      </c>
      <c r="B3045" s="1" t="s">
        <v>3029</v>
      </c>
      <c r="C3045" s="9" t="s">
        <v>3418</v>
      </c>
      <c r="D3045" s="6">
        <v>267.7</v>
      </c>
      <c r="F3045">
        <v>100</v>
      </c>
    </row>
    <row r="3046" spans="1:6" x14ac:dyDescent="0.2">
      <c r="A3046" s="2" t="str">
        <f>"3574661350134"</f>
        <v>3574661350134</v>
      </c>
      <c r="B3046" s="1" t="s">
        <v>3030</v>
      </c>
      <c r="C3046" s="9" t="s">
        <v>3418</v>
      </c>
      <c r="D3046" s="6">
        <v>483.54</v>
      </c>
      <c r="F3046">
        <v>100</v>
      </c>
    </row>
    <row r="3047" spans="1:6" x14ac:dyDescent="0.2">
      <c r="A3047" s="2" t="str">
        <f>"90407031     "</f>
        <v xml:space="preserve">90407031     </v>
      </c>
      <c r="B3047" s="1" t="s">
        <v>3031</v>
      </c>
      <c r="C3047" s="9" t="s">
        <v>3418</v>
      </c>
      <c r="D3047" s="6">
        <v>255</v>
      </c>
      <c r="F3047">
        <v>100</v>
      </c>
    </row>
    <row r="3048" spans="1:6" x14ac:dyDescent="0.2">
      <c r="A3048" s="2" t="str">
        <f>"9000101317930"</f>
        <v>9000101317930</v>
      </c>
      <c r="B3048" s="1" t="s">
        <v>3032</v>
      </c>
      <c r="C3048" s="9" t="s">
        <v>3418</v>
      </c>
      <c r="D3048" s="6">
        <v>744.93</v>
      </c>
      <c r="F3048">
        <v>100</v>
      </c>
    </row>
    <row r="3049" spans="1:6" x14ac:dyDescent="0.2">
      <c r="A3049" s="2" t="str">
        <f>"4015400006756"</f>
        <v>4015400006756</v>
      </c>
      <c r="B3049" s="1" t="s">
        <v>3033</v>
      </c>
      <c r="C3049" s="9" t="s">
        <v>3418</v>
      </c>
      <c r="D3049" s="6">
        <v>592.70000000000005</v>
      </c>
      <c r="F3049">
        <v>100</v>
      </c>
    </row>
    <row r="3050" spans="1:6" x14ac:dyDescent="0.2">
      <c r="A3050" s="2" t="str">
        <f>"9000100965507"</f>
        <v>9000100965507</v>
      </c>
      <c r="B3050" s="1" t="s">
        <v>3034</v>
      </c>
      <c r="C3050" s="9" t="s">
        <v>3382</v>
      </c>
      <c r="D3050" s="6">
        <v>168</v>
      </c>
      <c r="F3050">
        <v>100</v>
      </c>
    </row>
    <row r="3051" spans="1:6" x14ac:dyDescent="0.2">
      <c r="A3051" s="2" t="str">
        <f>"8710447283035"</f>
        <v>8710447283035</v>
      </c>
      <c r="B3051" s="1" t="s">
        <v>3035</v>
      </c>
      <c r="C3051" s="9" t="s">
        <v>3418</v>
      </c>
      <c r="D3051" s="6">
        <v>429.9</v>
      </c>
      <c r="F3051">
        <v>100</v>
      </c>
    </row>
    <row r="3052" spans="1:6" x14ac:dyDescent="0.2">
      <c r="A3052" s="2" t="str">
        <f>"5900273132147"</f>
        <v>5900273132147</v>
      </c>
      <c r="B3052" s="1" t="s">
        <v>3036</v>
      </c>
      <c r="C3052" s="9" t="s">
        <v>3418</v>
      </c>
      <c r="D3052" s="6">
        <v>297.39999999999998</v>
      </c>
      <c r="F3052">
        <v>100</v>
      </c>
    </row>
    <row r="3053" spans="1:6" x14ac:dyDescent="0.2">
      <c r="A3053" s="2" t="str">
        <f>"5997446584124"</f>
        <v>5997446584124</v>
      </c>
      <c r="B3053" s="1" t="s">
        <v>3037</v>
      </c>
      <c r="C3053" s="9" t="s">
        <v>3376</v>
      </c>
      <c r="D3053" s="6">
        <v>186.42</v>
      </c>
      <c r="F3053">
        <v>100</v>
      </c>
    </row>
    <row r="3054" spans="1:6" x14ac:dyDescent="0.2">
      <c r="A3054" s="2" t="str">
        <f>"8717163287507"</f>
        <v>8717163287507</v>
      </c>
      <c r="B3054" s="1" t="s">
        <v>3038</v>
      </c>
      <c r="C3054" s="9" t="s">
        <v>3418</v>
      </c>
      <c r="D3054" s="6">
        <v>357.11</v>
      </c>
      <c r="F3054">
        <v>100</v>
      </c>
    </row>
    <row r="3055" spans="1:6" x14ac:dyDescent="0.2">
      <c r="A3055" s="2" t="str">
        <f>"8001090975065"</f>
        <v>8001090975065</v>
      </c>
      <c r="B3055" s="1" t="s">
        <v>3039</v>
      </c>
      <c r="C3055" s="9" t="s">
        <v>3418</v>
      </c>
      <c r="D3055" s="6">
        <v>470.35</v>
      </c>
      <c r="F3055">
        <v>100</v>
      </c>
    </row>
    <row r="3056" spans="1:6" x14ac:dyDescent="0.2">
      <c r="A3056" s="2" t="str">
        <f>"4005808764006"</f>
        <v>4005808764006</v>
      </c>
      <c r="B3056" s="1" t="s">
        <v>3040</v>
      </c>
      <c r="C3056" s="9" t="s">
        <v>3418</v>
      </c>
      <c r="D3056" s="6">
        <v>295.38</v>
      </c>
      <c r="F3056">
        <v>100</v>
      </c>
    </row>
    <row r="3057" spans="1:6" x14ac:dyDescent="0.2">
      <c r="A3057" s="2" t="str">
        <f>"5900095000211"</f>
        <v>5900095000211</v>
      </c>
      <c r="B3057" s="1" t="s">
        <v>3041</v>
      </c>
      <c r="C3057" s="9" t="s">
        <v>3418</v>
      </c>
      <c r="D3057" s="6">
        <v>119.77</v>
      </c>
      <c r="F3057">
        <v>100</v>
      </c>
    </row>
    <row r="3058" spans="1:6" x14ac:dyDescent="0.2">
      <c r="A3058" s="2" t="str">
        <f>"8595159808109"</f>
        <v>8595159808109</v>
      </c>
      <c r="B3058" s="1" t="s">
        <v>3042</v>
      </c>
      <c r="C3058" s="9" t="s">
        <v>3380</v>
      </c>
      <c r="D3058" s="6">
        <v>189.23</v>
      </c>
      <c r="F3058">
        <v>100</v>
      </c>
    </row>
    <row r="3059" spans="1:6" x14ac:dyDescent="0.2">
      <c r="A3059" s="2" t="str">
        <f>"8001090592491"</f>
        <v>8001090592491</v>
      </c>
      <c r="B3059" s="1" t="s">
        <v>3043</v>
      </c>
      <c r="C3059" s="9" t="s">
        <v>3418</v>
      </c>
      <c r="D3059" s="6">
        <v>1020.73</v>
      </c>
      <c r="F3059">
        <v>100</v>
      </c>
    </row>
    <row r="3060" spans="1:6" x14ac:dyDescent="0.2">
      <c r="A3060" s="2" t="str">
        <f>"8712561212144"</f>
        <v>8712561212144</v>
      </c>
      <c r="B3060" s="1" t="s">
        <v>3044</v>
      </c>
      <c r="C3060" s="9" t="s">
        <v>3418</v>
      </c>
      <c r="D3060" s="6">
        <v>661.07</v>
      </c>
      <c r="F3060">
        <v>100</v>
      </c>
    </row>
    <row r="3061" spans="1:6" x14ac:dyDescent="0.2">
      <c r="A3061" s="2" t="str">
        <f>"8710447282960"</f>
        <v>8710447282960</v>
      </c>
      <c r="B3061" s="1" t="s">
        <v>3045</v>
      </c>
      <c r="C3061" s="9" t="s">
        <v>3418</v>
      </c>
      <c r="D3061" s="6">
        <v>436.77</v>
      </c>
      <c r="F3061">
        <v>100</v>
      </c>
    </row>
    <row r="3062" spans="1:6" x14ac:dyDescent="0.2">
      <c r="A3062" s="2" t="str">
        <f>"8710447282991"</f>
        <v>8710447282991</v>
      </c>
      <c r="B3062" s="1" t="s">
        <v>3046</v>
      </c>
      <c r="C3062" s="9" t="s">
        <v>3418</v>
      </c>
      <c r="D3062" s="6">
        <v>428.91</v>
      </c>
      <c r="F3062">
        <v>100</v>
      </c>
    </row>
    <row r="3063" spans="1:6" x14ac:dyDescent="0.2">
      <c r="A3063" s="2" t="str">
        <f>"5999566943317"</f>
        <v>5999566943317</v>
      </c>
      <c r="B3063" s="1" t="s">
        <v>3047</v>
      </c>
      <c r="C3063" s="9" t="s">
        <v>3376</v>
      </c>
      <c r="D3063" s="6">
        <v>8.8800000000000008</v>
      </c>
      <c r="F3063">
        <v>100</v>
      </c>
    </row>
    <row r="3064" spans="1:6" x14ac:dyDescent="0.2">
      <c r="A3064" s="2" t="str">
        <f>"5998624102819"</f>
        <v>5998624102819</v>
      </c>
      <c r="B3064" s="1" t="s">
        <v>3048</v>
      </c>
      <c r="C3064" s="9" t="s">
        <v>3379</v>
      </c>
      <c r="D3064" s="6">
        <v>200.94</v>
      </c>
      <c r="F3064">
        <v>100</v>
      </c>
    </row>
    <row r="3065" spans="1:6" x14ac:dyDescent="0.2">
      <c r="A3065" s="2" t="str">
        <f>"5999882535012"</f>
        <v>5999882535012</v>
      </c>
      <c r="B3065" s="1" t="s">
        <v>3049</v>
      </c>
      <c r="C3065" s="9" t="s">
        <v>3379</v>
      </c>
      <c r="D3065" s="6">
        <v>341.51</v>
      </c>
      <c r="F3065">
        <v>100</v>
      </c>
    </row>
    <row r="3066" spans="1:6" x14ac:dyDescent="0.2">
      <c r="A3066" s="2" t="str">
        <f>"5000204859270"</f>
        <v>5000204859270</v>
      </c>
      <c r="B3066" s="1" t="s">
        <v>3050</v>
      </c>
      <c r="C3066" s="9" t="s">
        <v>3418</v>
      </c>
      <c r="D3066" s="6">
        <v>582.12</v>
      </c>
      <c r="F3066">
        <v>100</v>
      </c>
    </row>
    <row r="3067" spans="1:6" x14ac:dyDescent="0.2">
      <c r="A3067" s="2" t="str">
        <f>"5900300056002"</f>
        <v>5900300056002</v>
      </c>
      <c r="B3067" s="1" t="s">
        <v>3051</v>
      </c>
      <c r="C3067" s="9" t="s">
        <v>3418</v>
      </c>
      <c r="D3067" s="6">
        <v>205.37</v>
      </c>
      <c r="F3067">
        <v>100</v>
      </c>
    </row>
    <row r="3068" spans="1:6" x14ac:dyDescent="0.2">
      <c r="A3068" s="2" t="str">
        <f>"5999079551115"</f>
        <v>5999079551115</v>
      </c>
      <c r="B3068" s="1" t="s">
        <v>3052</v>
      </c>
      <c r="C3068" s="9" t="s">
        <v>3439</v>
      </c>
      <c r="D3068" s="6">
        <v>790.52</v>
      </c>
      <c r="F3068">
        <v>100</v>
      </c>
    </row>
    <row r="3069" spans="1:6" x14ac:dyDescent="0.2">
      <c r="A3069" s="2" t="str">
        <f>"5999883231012"</f>
        <v>5999883231012</v>
      </c>
      <c r="B3069" s="1" t="s">
        <v>3053</v>
      </c>
      <c r="C3069" s="9" t="s">
        <v>3440</v>
      </c>
      <c r="D3069" s="6">
        <v>90</v>
      </c>
      <c r="F3069">
        <v>100</v>
      </c>
    </row>
    <row r="3070" spans="1:6" x14ac:dyDescent="0.2">
      <c r="A3070" s="2" t="str">
        <f>"5997321761848"</f>
        <v>5997321761848</v>
      </c>
      <c r="B3070" s="1" t="s">
        <v>3054</v>
      </c>
      <c r="C3070" s="9" t="s">
        <v>3418</v>
      </c>
      <c r="D3070" s="6">
        <v>515.84</v>
      </c>
      <c r="F3070">
        <v>100</v>
      </c>
    </row>
    <row r="3071" spans="1:6" x14ac:dyDescent="0.2">
      <c r="A3071" s="2" t="str">
        <f>"9000101341171"</f>
        <v>9000101341171</v>
      </c>
      <c r="B3071" s="1" t="s">
        <v>3055</v>
      </c>
      <c r="C3071" s="9" t="s">
        <v>3418</v>
      </c>
      <c r="D3071" s="6">
        <v>733.21</v>
      </c>
      <c r="F3071">
        <v>100</v>
      </c>
    </row>
    <row r="3072" spans="1:6" x14ac:dyDescent="0.2">
      <c r="A3072" s="2" t="str">
        <f>"5900273472908"</f>
        <v>5900273472908</v>
      </c>
      <c r="B3072" s="1" t="s">
        <v>3056</v>
      </c>
      <c r="C3072" s="9" t="s">
        <v>3418</v>
      </c>
      <c r="D3072" s="6">
        <v>354</v>
      </c>
      <c r="F3072">
        <v>100</v>
      </c>
    </row>
    <row r="3073" spans="1:6" x14ac:dyDescent="0.2">
      <c r="A3073" s="2" t="str">
        <f>"5999548690024"</f>
        <v>5999548690024</v>
      </c>
      <c r="B3073" s="1" t="s">
        <v>3057</v>
      </c>
      <c r="C3073" s="9" t="s">
        <v>3379</v>
      </c>
      <c r="D3073" s="6">
        <v>219.8</v>
      </c>
      <c r="F3073">
        <v>100</v>
      </c>
    </row>
    <row r="3074" spans="1:6" x14ac:dyDescent="0.2">
      <c r="A3074" s="2" t="str">
        <f>"4015400006770"</f>
        <v>4015400006770</v>
      </c>
      <c r="B3074" s="1" t="s">
        <v>3058</v>
      </c>
      <c r="C3074" s="9" t="s">
        <v>3418</v>
      </c>
      <c r="D3074" s="6">
        <v>586.70000000000005</v>
      </c>
      <c r="F3074">
        <v>100</v>
      </c>
    </row>
    <row r="3075" spans="1:6" x14ac:dyDescent="0.2">
      <c r="A3075" s="2" t="str">
        <f>"8717644554555"</f>
        <v>8717644554555</v>
      </c>
      <c r="B3075" s="1" t="s">
        <v>3059</v>
      </c>
      <c r="C3075" s="9" t="s">
        <v>3418</v>
      </c>
      <c r="D3075" s="6">
        <v>199</v>
      </c>
      <c r="F3075">
        <v>100</v>
      </c>
    </row>
    <row r="3076" spans="1:6" x14ac:dyDescent="0.2">
      <c r="A3076" s="2" t="str">
        <f>"4084500702899"</f>
        <v>4084500702899</v>
      </c>
      <c r="B3076" s="1" t="s">
        <v>3060</v>
      </c>
      <c r="C3076" s="9" t="s">
        <v>3418</v>
      </c>
      <c r="D3076" s="6">
        <v>373.04</v>
      </c>
      <c r="F3076">
        <v>100</v>
      </c>
    </row>
    <row r="3077" spans="1:6" x14ac:dyDescent="0.2">
      <c r="A3077" s="2" t="str">
        <f>"8712561398893"</f>
        <v>8712561398893</v>
      </c>
      <c r="B3077" s="1" t="s">
        <v>3061</v>
      </c>
      <c r="C3077" s="9" t="s">
        <v>3418</v>
      </c>
      <c r="D3077" s="6">
        <v>409</v>
      </c>
      <c r="F3077">
        <v>100</v>
      </c>
    </row>
    <row r="3078" spans="1:6" x14ac:dyDescent="0.2">
      <c r="A3078" s="2" t="str">
        <f>"8692730508028"</f>
        <v>8692730508028</v>
      </c>
      <c r="B3078" s="1" t="s">
        <v>3062</v>
      </c>
      <c r="C3078" s="9" t="s">
        <v>3418</v>
      </c>
      <c r="D3078" s="6">
        <v>339</v>
      </c>
      <c r="F3078">
        <v>100</v>
      </c>
    </row>
    <row r="3079" spans="1:6" x14ac:dyDescent="0.2">
      <c r="A3079" s="2" t="str">
        <f>"8712561552776"</f>
        <v>8712561552776</v>
      </c>
      <c r="B3079" s="1" t="s">
        <v>3063</v>
      </c>
      <c r="C3079" s="9" t="s">
        <v>3418</v>
      </c>
      <c r="D3079" s="6">
        <v>418.98</v>
      </c>
      <c r="F3079">
        <v>100</v>
      </c>
    </row>
    <row r="3080" spans="1:6" x14ac:dyDescent="0.2">
      <c r="A3080" s="2" t="str">
        <f>"3574661486147"</f>
        <v>3574661486147</v>
      </c>
      <c r="B3080" s="1" t="s">
        <v>3064</v>
      </c>
      <c r="C3080" s="9" t="s">
        <v>3418</v>
      </c>
      <c r="D3080" s="6">
        <v>388.33</v>
      </c>
      <c r="F3080">
        <v>100</v>
      </c>
    </row>
    <row r="3081" spans="1:6" x14ac:dyDescent="0.2">
      <c r="A3081" s="2" t="str">
        <f>"9000100866224"</f>
        <v>9000100866224</v>
      </c>
      <c r="B3081" s="1" t="s">
        <v>3065</v>
      </c>
      <c r="C3081" s="9" t="s">
        <v>3418</v>
      </c>
      <c r="D3081" s="6">
        <v>341.05</v>
      </c>
      <c r="F3081">
        <v>100</v>
      </c>
    </row>
    <row r="3082" spans="1:6" x14ac:dyDescent="0.2">
      <c r="A3082" s="2" t="str">
        <f>"8710447283226"</f>
        <v>8710447283226</v>
      </c>
      <c r="B3082" s="1" t="s">
        <v>3066</v>
      </c>
      <c r="C3082" s="9" t="s">
        <v>3418</v>
      </c>
      <c r="D3082" s="6">
        <v>826.97</v>
      </c>
      <c r="F3082">
        <v>100</v>
      </c>
    </row>
    <row r="3083" spans="1:6" x14ac:dyDescent="0.2">
      <c r="A3083" s="2" t="str">
        <f>"7891024131435"</f>
        <v>7891024131435</v>
      </c>
      <c r="B3083" s="1" t="s">
        <v>3067</v>
      </c>
      <c r="C3083" s="9" t="s">
        <v>3418</v>
      </c>
      <c r="D3083" s="6">
        <v>188.24</v>
      </c>
      <c r="F3083">
        <v>100</v>
      </c>
    </row>
    <row r="3084" spans="1:6" x14ac:dyDescent="0.2">
      <c r="A3084" s="2" t="str">
        <f>"5999524035009"</f>
        <v>5999524035009</v>
      </c>
      <c r="B3084" s="1" t="s">
        <v>3068</v>
      </c>
      <c r="C3084" s="9" t="s">
        <v>3376</v>
      </c>
      <c r="D3084" s="6">
        <v>318.44</v>
      </c>
      <c r="F3084">
        <v>100</v>
      </c>
    </row>
    <row r="3085" spans="1:6" x14ac:dyDescent="0.2">
      <c r="A3085" s="2" t="str">
        <f>"5996037079780"</f>
        <v>5996037079780</v>
      </c>
      <c r="B3085" s="1" t="s">
        <v>3069</v>
      </c>
      <c r="C3085" s="9" t="s">
        <v>3382</v>
      </c>
      <c r="D3085" s="6">
        <v>334.87</v>
      </c>
      <c r="F3085">
        <v>100</v>
      </c>
    </row>
    <row r="3086" spans="1:6" x14ac:dyDescent="0.2">
      <c r="A3086" s="2" t="str">
        <f>"8717163760192"</f>
        <v>8717163760192</v>
      </c>
      <c r="B3086" s="1" t="s">
        <v>3070</v>
      </c>
      <c r="C3086" s="9" t="s">
        <v>3418</v>
      </c>
      <c r="D3086" s="6">
        <v>332.5</v>
      </c>
      <c r="F3086">
        <v>100</v>
      </c>
    </row>
    <row r="3087" spans="1:6" x14ac:dyDescent="0.2">
      <c r="A3087" s="2" t="str">
        <f>"8712561607391"</f>
        <v>8712561607391</v>
      </c>
      <c r="B3087" s="1" t="s">
        <v>3071</v>
      </c>
      <c r="C3087" s="9" t="s">
        <v>3389</v>
      </c>
      <c r="D3087" s="6">
        <v>0</v>
      </c>
      <c r="F3087">
        <v>100</v>
      </c>
    </row>
    <row r="3088" spans="1:6" x14ac:dyDescent="0.2">
      <c r="A3088" s="2" t="str">
        <f>"5000204009835"</f>
        <v>5000204009835</v>
      </c>
      <c r="B3088" s="1" t="s">
        <v>3072</v>
      </c>
      <c r="C3088" s="9" t="s">
        <v>3418</v>
      </c>
      <c r="D3088" s="6">
        <v>279.01</v>
      </c>
      <c r="F3088">
        <v>100</v>
      </c>
    </row>
    <row r="3089" spans="1:6" x14ac:dyDescent="0.2">
      <c r="A3089" s="2" t="str">
        <f>"8717163287477"</f>
        <v>8717163287477</v>
      </c>
      <c r="B3089" s="1" t="s">
        <v>3073</v>
      </c>
      <c r="C3089" s="9" t="s">
        <v>3418</v>
      </c>
      <c r="D3089" s="6">
        <v>357.47</v>
      </c>
      <c r="F3089">
        <v>100</v>
      </c>
    </row>
    <row r="3090" spans="1:6" x14ac:dyDescent="0.2">
      <c r="A3090" s="2" t="str">
        <f>"5997842532026"</f>
        <v>5997842532026</v>
      </c>
      <c r="B3090" s="1" t="s">
        <v>3074</v>
      </c>
      <c r="C3090" s="9" t="s">
        <v>3379</v>
      </c>
      <c r="D3090" s="6">
        <v>191.97</v>
      </c>
      <c r="F3090">
        <v>100</v>
      </c>
    </row>
    <row r="3091" spans="1:6" x14ac:dyDescent="0.2">
      <c r="A3091" s="2" t="str">
        <f>"8594001939305"</f>
        <v>8594001939305</v>
      </c>
      <c r="B3091" s="1" t="s">
        <v>3075</v>
      </c>
      <c r="C3091" s="9" t="s">
        <v>3381</v>
      </c>
      <c r="D3091" s="6">
        <v>688.57</v>
      </c>
      <c r="F3091">
        <v>100</v>
      </c>
    </row>
    <row r="3092" spans="1:6" x14ac:dyDescent="0.2">
      <c r="A3092" s="2" t="str">
        <f>"5900861043343"</f>
        <v>5900861043343</v>
      </c>
      <c r="B3092" s="1" t="s">
        <v>3076</v>
      </c>
      <c r="C3092" s="9" t="s">
        <v>3411</v>
      </c>
      <c r="D3092" s="6">
        <v>227.33</v>
      </c>
      <c r="F3092">
        <v>100</v>
      </c>
    </row>
    <row r="3093" spans="1:6" x14ac:dyDescent="0.2">
      <c r="A3093" s="2" t="str">
        <f>"5999880266284"</f>
        <v>5999880266284</v>
      </c>
      <c r="B3093" s="1" t="s">
        <v>3077</v>
      </c>
      <c r="C3093" s="9" t="s">
        <v>3379</v>
      </c>
      <c r="D3093" s="6">
        <v>335.71</v>
      </c>
      <c r="F3093">
        <v>100</v>
      </c>
    </row>
    <row r="3094" spans="1:6" x14ac:dyDescent="0.2">
      <c r="A3094" s="2" t="str">
        <f>"3574661329840"</f>
        <v>3574661329840</v>
      </c>
      <c r="B3094" s="1" t="s">
        <v>3078</v>
      </c>
      <c r="C3094" s="9" t="s">
        <v>3418</v>
      </c>
      <c r="D3094" s="6">
        <v>512.69000000000005</v>
      </c>
      <c r="F3094">
        <v>100</v>
      </c>
    </row>
    <row r="3095" spans="1:6" x14ac:dyDescent="0.2">
      <c r="A3095" s="2" t="str">
        <f>"8693495033176"</f>
        <v>8693495033176</v>
      </c>
      <c r="B3095" s="1" t="s">
        <v>3079</v>
      </c>
      <c r="C3095" s="9" t="s">
        <v>3418</v>
      </c>
      <c r="D3095" s="6">
        <v>94.7</v>
      </c>
      <c r="F3095">
        <v>100</v>
      </c>
    </row>
    <row r="3096" spans="1:6" x14ac:dyDescent="0.2">
      <c r="A3096" s="2" t="str">
        <f>"8718951022898"</f>
        <v>8718951022898</v>
      </c>
      <c r="B3096" s="1" t="s">
        <v>3080</v>
      </c>
      <c r="C3096" s="9" t="s">
        <v>3389</v>
      </c>
      <c r="D3096" s="6">
        <v>550</v>
      </c>
      <c r="F3096">
        <v>100</v>
      </c>
    </row>
    <row r="3097" spans="1:6" x14ac:dyDescent="0.2">
      <c r="A3097" s="2" t="str">
        <f>"90407024     "</f>
        <v xml:space="preserve">90407024     </v>
      </c>
      <c r="B3097" s="1" t="s">
        <v>3081</v>
      </c>
      <c r="C3097" s="9" t="s">
        <v>3418</v>
      </c>
      <c r="D3097" s="6">
        <v>266.02</v>
      </c>
      <c r="F3097">
        <v>100</v>
      </c>
    </row>
    <row r="3098" spans="1:6" x14ac:dyDescent="0.2">
      <c r="A3098" s="2" t="str">
        <f>"5999079577726"</f>
        <v>5999079577726</v>
      </c>
      <c r="B3098" s="1" t="s">
        <v>3082</v>
      </c>
      <c r="C3098" s="9" t="s">
        <v>3439</v>
      </c>
      <c r="D3098" s="6">
        <v>195</v>
      </c>
      <c r="F3098">
        <v>100</v>
      </c>
    </row>
    <row r="3099" spans="1:6" x14ac:dyDescent="0.2">
      <c r="A3099" s="2" t="str">
        <f>"9000101363296"</f>
        <v>9000101363296</v>
      </c>
      <c r="B3099" s="1" t="s">
        <v>3083</v>
      </c>
      <c r="C3099" s="9" t="s">
        <v>3382</v>
      </c>
      <c r="D3099" s="6">
        <v>761.06</v>
      </c>
      <c r="F3099">
        <v>100</v>
      </c>
    </row>
    <row r="3100" spans="1:6" x14ac:dyDescent="0.2">
      <c r="A3100" s="2" t="str">
        <f>"9000101363654"</f>
        <v>9000101363654</v>
      </c>
      <c r="B3100" s="1" t="s">
        <v>3084</v>
      </c>
      <c r="C3100" s="9" t="s">
        <v>3418</v>
      </c>
      <c r="D3100" s="6">
        <v>245.59</v>
      </c>
      <c r="F3100">
        <v>100</v>
      </c>
    </row>
    <row r="3101" spans="1:6" x14ac:dyDescent="0.2">
      <c r="A3101" s="2" t="str">
        <f>"9000101363685"</f>
        <v>9000101363685</v>
      </c>
      <c r="B3101" s="1" t="s">
        <v>3085</v>
      </c>
      <c r="C3101" s="9" t="s">
        <v>3418</v>
      </c>
      <c r="D3101" s="6">
        <v>734.5</v>
      </c>
      <c r="F3101">
        <v>100</v>
      </c>
    </row>
    <row r="3102" spans="1:6" x14ac:dyDescent="0.2">
      <c r="A3102" s="2" t="str">
        <f>"8001090206893"</f>
        <v>8001090206893</v>
      </c>
      <c r="B3102" s="1" t="s">
        <v>3086</v>
      </c>
      <c r="C3102" s="9" t="s">
        <v>3418</v>
      </c>
      <c r="D3102" s="6">
        <v>440.69</v>
      </c>
      <c r="F3102">
        <v>100</v>
      </c>
    </row>
    <row r="3103" spans="1:6" x14ac:dyDescent="0.2">
      <c r="A3103" s="2" t="str">
        <f>"7891024149164"</f>
        <v>7891024149164</v>
      </c>
      <c r="B3103" s="1" t="s">
        <v>3087</v>
      </c>
      <c r="C3103" s="9" t="s">
        <v>3441</v>
      </c>
      <c r="D3103" s="6">
        <v>200.79</v>
      </c>
      <c r="F3103">
        <v>100</v>
      </c>
    </row>
    <row r="3104" spans="1:6" x14ac:dyDescent="0.2">
      <c r="A3104" s="2" t="str">
        <f>"5900273472984"</f>
        <v>5900273472984</v>
      </c>
      <c r="B3104" s="1" t="s">
        <v>3088</v>
      </c>
      <c r="C3104" s="9" t="s">
        <v>3418</v>
      </c>
      <c r="D3104" s="6">
        <v>351.69</v>
      </c>
      <c r="F3104">
        <v>100</v>
      </c>
    </row>
    <row r="3105" spans="1:6" x14ac:dyDescent="0.2">
      <c r="A3105" s="2" t="str">
        <f>"8718951190160"</f>
        <v>8718951190160</v>
      </c>
      <c r="B3105" s="1" t="s">
        <v>3089</v>
      </c>
      <c r="C3105" s="9" t="s">
        <v>3418</v>
      </c>
      <c r="D3105" s="6">
        <v>359.29</v>
      </c>
      <c r="F3105">
        <v>100</v>
      </c>
    </row>
    <row r="3106" spans="1:6" x14ac:dyDescent="0.2">
      <c r="A3106" s="2" t="str">
        <f>"5900273472939"</f>
        <v>5900273472939</v>
      </c>
      <c r="B3106" s="1" t="s">
        <v>3090</v>
      </c>
      <c r="C3106" s="9" t="s">
        <v>3418</v>
      </c>
      <c r="D3106" s="6">
        <v>354</v>
      </c>
      <c r="F3106">
        <v>100</v>
      </c>
    </row>
    <row r="3107" spans="1:6" x14ac:dyDescent="0.2">
      <c r="A3107" s="2" t="str">
        <f>"4015400552154"</f>
        <v>4015400552154</v>
      </c>
      <c r="B3107" s="1" t="s">
        <v>3091</v>
      </c>
      <c r="C3107" s="9" t="s">
        <v>3418</v>
      </c>
      <c r="D3107" s="6">
        <v>588.07000000000005</v>
      </c>
      <c r="F3107">
        <v>100</v>
      </c>
    </row>
    <row r="3108" spans="1:6" x14ac:dyDescent="0.2">
      <c r="A3108" s="2" t="str">
        <f>"5054563058652"</f>
        <v>5054563058652</v>
      </c>
      <c r="B3108" s="1" t="s">
        <v>3092</v>
      </c>
      <c r="C3108" s="9" t="s">
        <v>3418</v>
      </c>
      <c r="D3108" s="6">
        <v>344</v>
      </c>
      <c r="F3108">
        <v>100</v>
      </c>
    </row>
    <row r="3109" spans="1:6" x14ac:dyDescent="0.2">
      <c r="A3109" s="2" t="str">
        <f>"3830029294336"</f>
        <v>3830029294336</v>
      </c>
      <c r="B3109" s="1" t="s">
        <v>3093</v>
      </c>
      <c r="C3109" s="9" t="s">
        <v>3418</v>
      </c>
      <c r="D3109" s="6">
        <v>243.62</v>
      </c>
      <c r="F3109">
        <v>100</v>
      </c>
    </row>
    <row r="3110" spans="1:6" x14ac:dyDescent="0.2">
      <c r="A3110" s="2" t="str">
        <f>"8001841183114"</f>
        <v>8001841183114</v>
      </c>
      <c r="B3110" s="1" t="s">
        <v>3094</v>
      </c>
      <c r="C3110" s="9" t="s">
        <v>3418</v>
      </c>
      <c r="D3110" s="6">
        <v>1002.5</v>
      </c>
      <c r="F3110">
        <v>100</v>
      </c>
    </row>
    <row r="3111" spans="1:6" x14ac:dyDescent="0.2">
      <c r="A3111" s="2" t="str">
        <f>"5996037081394"</f>
        <v>5996037081394</v>
      </c>
      <c r="B3111" s="1" t="s">
        <v>3095</v>
      </c>
      <c r="C3111" s="9" t="s">
        <v>3418</v>
      </c>
      <c r="D3111" s="6">
        <v>409</v>
      </c>
      <c r="F3111">
        <v>100</v>
      </c>
    </row>
    <row r="3112" spans="1:6" x14ac:dyDescent="0.2">
      <c r="A3112" s="2" t="str">
        <f>"8712561021807"</f>
        <v>8712561021807</v>
      </c>
      <c r="B3112" s="1" t="s">
        <v>3096</v>
      </c>
      <c r="C3112" s="9" t="s">
        <v>3418</v>
      </c>
      <c r="D3112" s="6">
        <v>402.3</v>
      </c>
      <c r="F3112">
        <v>100</v>
      </c>
    </row>
    <row r="3113" spans="1:6" x14ac:dyDescent="0.2">
      <c r="A3113" s="2" t="str">
        <f>"8717163726440"</f>
        <v>8717163726440</v>
      </c>
      <c r="B3113" s="1" t="s">
        <v>3097</v>
      </c>
      <c r="C3113" s="9" t="s">
        <v>3418</v>
      </c>
      <c r="D3113" s="6">
        <v>414.45</v>
      </c>
      <c r="F3113">
        <v>100</v>
      </c>
    </row>
    <row r="3114" spans="1:6" x14ac:dyDescent="0.2">
      <c r="A3114" s="2" t="str">
        <f>"8717163761298"</f>
        <v>8717163761298</v>
      </c>
      <c r="B3114" s="1" t="s">
        <v>3098</v>
      </c>
      <c r="C3114" s="9" t="s">
        <v>3418</v>
      </c>
      <c r="D3114" s="6">
        <v>406.91</v>
      </c>
      <c r="F3114">
        <v>100</v>
      </c>
    </row>
    <row r="3115" spans="1:6" x14ac:dyDescent="0.2">
      <c r="A3115" s="2" t="str">
        <f>"5900785530035"</f>
        <v>5900785530035</v>
      </c>
      <c r="B3115" s="1" t="s">
        <v>3099</v>
      </c>
      <c r="C3115" s="9" t="s">
        <v>3418</v>
      </c>
      <c r="D3115" s="6">
        <v>319</v>
      </c>
      <c r="F3115">
        <v>100</v>
      </c>
    </row>
    <row r="3116" spans="1:6" x14ac:dyDescent="0.2">
      <c r="A3116" s="2" t="str">
        <f>"5997321701813"</f>
        <v>5997321701813</v>
      </c>
      <c r="B3116" s="1" t="s">
        <v>3100</v>
      </c>
      <c r="C3116" s="9" t="s">
        <v>3418</v>
      </c>
      <c r="D3116" s="6">
        <v>1345.01</v>
      </c>
      <c r="F3116">
        <v>100</v>
      </c>
    </row>
    <row r="3117" spans="1:6" x14ac:dyDescent="0.2">
      <c r="A3117" s="2" t="str">
        <f>"8711700503440"</f>
        <v>8711700503440</v>
      </c>
      <c r="B3117" s="1" t="s">
        <v>3101</v>
      </c>
      <c r="C3117" s="9" t="s">
        <v>3382</v>
      </c>
      <c r="D3117" s="6">
        <v>234.11</v>
      </c>
      <c r="F3117">
        <v>100</v>
      </c>
    </row>
    <row r="3118" spans="1:6" x14ac:dyDescent="0.2">
      <c r="A3118" s="2" t="str">
        <f>"5997842506553"</f>
        <v>5997842506553</v>
      </c>
      <c r="B3118" s="1" t="s">
        <v>3102</v>
      </c>
      <c r="C3118" s="9" t="s">
        <v>3421</v>
      </c>
      <c r="D3118" s="6">
        <v>164.6</v>
      </c>
      <c r="F3118">
        <v>100</v>
      </c>
    </row>
    <row r="3119" spans="1:6" x14ac:dyDescent="0.2">
      <c r="A3119" s="2" t="str">
        <f>"5998830940137"</f>
        <v>5998830940137</v>
      </c>
      <c r="B3119" s="1" t="s">
        <v>3103</v>
      </c>
      <c r="C3119" s="9" t="s">
        <v>3379</v>
      </c>
      <c r="D3119" s="6">
        <v>194.33</v>
      </c>
      <c r="F3119">
        <v>100</v>
      </c>
    </row>
    <row r="3120" spans="1:6" x14ac:dyDescent="0.2">
      <c r="A3120" s="2" t="str">
        <f>"8710447282670"</f>
        <v>8710447282670</v>
      </c>
      <c r="B3120" s="1" t="s">
        <v>3104</v>
      </c>
      <c r="C3120" s="9" t="s">
        <v>3418</v>
      </c>
      <c r="D3120" s="6">
        <v>811.21</v>
      </c>
      <c r="F3120">
        <v>100</v>
      </c>
    </row>
    <row r="3121" spans="1:6" x14ac:dyDescent="0.2">
      <c r="A3121" s="2" t="str">
        <f>"8710447282649"</f>
        <v>8710447282649</v>
      </c>
      <c r="B3121" s="1" t="s">
        <v>3105</v>
      </c>
      <c r="C3121" s="9" t="s">
        <v>3418</v>
      </c>
      <c r="D3121" s="6">
        <v>828.15</v>
      </c>
      <c r="F3121">
        <v>100</v>
      </c>
    </row>
    <row r="3122" spans="1:6" x14ac:dyDescent="0.2">
      <c r="A3122" s="2" t="str">
        <f>"8710447282946"</f>
        <v>8710447282946</v>
      </c>
      <c r="B3122" s="1" t="s">
        <v>3106</v>
      </c>
      <c r="C3122" s="9" t="s">
        <v>3418</v>
      </c>
      <c r="D3122" s="6">
        <v>435.25</v>
      </c>
      <c r="F3122">
        <v>100</v>
      </c>
    </row>
    <row r="3123" spans="1:6" x14ac:dyDescent="0.2">
      <c r="A3123" s="2" t="str">
        <f>"8710447282915"</f>
        <v>8710447282915</v>
      </c>
      <c r="B3123" s="1" t="s">
        <v>3107</v>
      </c>
      <c r="C3123" s="9" t="s">
        <v>3418</v>
      </c>
      <c r="D3123" s="6">
        <v>439.07</v>
      </c>
      <c r="F3123">
        <v>100</v>
      </c>
    </row>
    <row r="3124" spans="1:6" x14ac:dyDescent="0.2">
      <c r="A3124" s="2" t="str">
        <f>"8710447282977"</f>
        <v>8710447282977</v>
      </c>
      <c r="B3124" s="1" t="s">
        <v>3108</v>
      </c>
      <c r="C3124" s="9" t="s">
        <v>3418</v>
      </c>
      <c r="D3124" s="6">
        <v>435.92</v>
      </c>
      <c r="F3124">
        <v>100</v>
      </c>
    </row>
    <row r="3125" spans="1:6" x14ac:dyDescent="0.2">
      <c r="A3125" s="2" t="str">
        <f>"7891024132074"</f>
        <v>7891024132074</v>
      </c>
      <c r="B3125" s="1" t="s">
        <v>3109</v>
      </c>
      <c r="C3125" s="9" t="s">
        <v>3418</v>
      </c>
      <c r="D3125" s="6">
        <v>188.17</v>
      </c>
      <c r="F3125">
        <v>100</v>
      </c>
    </row>
    <row r="3126" spans="1:6" x14ac:dyDescent="0.2">
      <c r="A3126" s="2" t="str">
        <f>"7891024137895"</f>
        <v>7891024137895</v>
      </c>
      <c r="B3126" s="1" t="s">
        <v>3110</v>
      </c>
      <c r="C3126" s="9" t="s">
        <v>3418</v>
      </c>
      <c r="D3126" s="6">
        <v>188.57</v>
      </c>
      <c r="F3126">
        <v>100</v>
      </c>
    </row>
    <row r="3127" spans="1:6" x14ac:dyDescent="0.2">
      <c r="A3127" s="2" t="str">
        <f>"5997514381013"</f>
        <v>5997514381013</v>
      </c>
      <c r="B3127" s="1" t="s">
        <v>3111</v>
      </c>
      <c r="C3127" s="9" t="s">
        <v>3376</v>
      </c>
      <c r="D3127" s="6">
        <v>203.12</v>
      </c>
      <c r="F3127">
        <v>100</v>
      </c>
    </row>
    <row r="3128" spans="1:6" x14ac:dyDescent="0.2">
      <c r="A3128" s="2" t="str">
        <f>"5997446584131"</f>
        <v>5997446584131</v>
      </c>
      <c r="B3128" s="1" t="s">
        <v>3112</v>
      </c>
      <c r="C3128" s="9" t="s">
        <v>3376</v>
      </c>
      <c r="D3128" s="6">
        <v>268.66000000000003</v>
      </c>
      <c r="F3128">
        <v>100</v>
      </c>
    </row>
    <row r="3129" spans="1:6" x14ac:dyDescent="0.2">
      <c r="A3129" s="2" t="str">
        <f>"5999524035016"</f>
        <v>5999524035016</v>
      </c>
      <c r="B3129" s="1" t="s">
        <v>3113</v>
      </c>
      <c r="C3129" s="9" t="s">
        <v>3376</v>
      </c>
      <c r="D3129" s="6">
        <v>317.39</v>
      </c>
      <c r="F3129">
        <v>100</v>
      </c>
    </row>
    <row r="3130" spans="1:6" x14ac:dyDescent="0.2">
      <c r="A3130" s="2" t="str">
        <f>"5997250502659"</f>
        <v>5997250502659</v>
      </c>
      <c r="B3130" s="1" t="s">
        <v>3114</v>
      </c>
      <c r="C3130" s="9" t="s">
        <v>3418</v>
      </c>
      <c r="D3130" s="6">
        <v>239.29</v>
      </c>
      <c r="F3130">
        <v>100</v>
      </c>
    </row>
    <row r="3131" spans="1:6" x14ac:dyDescent="0.2">
      <c r="A3131" s="2" t="str">
        <f>"5996358010714"</f>
        <v>5996358010714</v>
      </c>
      <c r="B3131" s="1" t="s">
        <v>3115</v>
      </c>
      <c r="C3131" s="9" t="s">
        <v>3418</v>
      </c>
      <c r="D3131" s="6">
        <v>342.19</v>
      </c>
      <c r="F3131">
        <v>100</v>
      </c>
    </row>
    <row r="3132" spans="1:6" x14ac:dyDescent="0.2">
      <c r="A3132" s="2" t="str">
        <f>"3600520752624"</f>
        <v>3600520752624</v>
      </c>
      <c r="B3132" s="1" t="s">
        <v>3116</v>
      </c>
      <c r="C3132" s="9" t="s">
        <v>3418</v>
      </c>
      <c r="D3132" s="6">
        <v>546.53</v>
      </c>
      <c r="F3132">
        <v>100</v>
      </c>
    </row>
    <row r="3133" spans="1:6" x14ac:dyDescent="0.2">
      <c r="A3133" s="2" t="str">
        <f>"3600521704622"</f>
        <v>3600521704622</v>
      </c>
      <c r="B3133" s="1" t="s">
        <v>3117</v>
      </c>
      <c r="C3133" s="9" t="s">
        <v>3418</v>
      </c>
      <c r="D3133" s="6">
        <v>548.79</v>
      </c>
      <c r="F3133">
        <v>100</v>
      </c>
    </row>
    <row r="3134" spans="1:6" x14ac:dyDescent="0.2">
      <c r="A3134" s="2" t="str">
        <f>"5997301322014"</f>
        <v>5997301322014</v>
      </c>
      <c r="B3134" s="1" t="s">
        <v>3118</v>
      </c>
      <c r="C3134" s="9" t="s">
        <v>3379</v>
      </c>
      <c r="D3134" s="6">
        <v>111</v>
      </c>
      <c r="F3134">
        <v>100</v>
      </c>
    </row>
    <row r="3135" spans="1:6" x14ac:dyDescent="0.2">
      <c r="A3135" s="2" t="str">
        <f>"5201137050080"</f>
        <v>5201137050080</v>
      </c>
      <c r="B3135" s="1" t="s">
        <v>3119</v>
      </c>
      <c r="C3135" s="9" t="s">
        <v>3418</v>
      </c>
      <c r="D3135" s="6">
        <v>153.61000000000001</v>
      </c>
      <c r="F3135">
        <v>100</v>
      </c>
    </row>
    <row r="3136" spans="1:6" x14ac:dyDescent="0.2">
      <c r="A3136" s="2" t="str">
        <f>"5998830940038"</f>
        <v>5998830940038</v>
      </c>
      <c r="B3136" s="1" t="s">
        <v>3120</v>
      </c>
      <c r="C3136" s="9" t="s">
        <v>3379</v>
      </c>
      <c r="D3136" s="6">
        <v>188.01</v>
      </c>
      <c r="F3136">
        <v>100</v>
      </c>
    </row>
    <row r="3137" spans="1:6" x14ac:dyDescent="0.2">
      <c r="A3137" s="2" t="str">
        <f>"4015400991274"</f>
        <v>4015400991274</v>
      </c>
      <c r="B3137" s="1" t="s">
        <v>3121</v>
      </c>
      <c r="C3137" s="9" t="s">
        <v>3418</v>
      </c>
      <c r="D3137" s="6">
        <v>270.74</v>
      </c>
      <c r="F3137">
        <v>100</v>
      </c>
    </row>
    <row r="3138" spans="1:6" x14ac:dyDescent="0.2">
      <c r="A3138" s="2" t="str">
        <f>"8001841002323"</f>
        <v>8001841002323</v>
      </c>
      <c r="B3138" s="1" t="s">
        <v>3122</v>
      </c>
      <c r="C3138" s="9" t="s">
        <v>3418</v>
      </c>
      <c r="D3138" s="6">
        <v>945.93</v>
      </c>
      <c r="F3138">
        <v>100</v>
      </c>
    </row>
    <row r="3139" spans="1:6" x14ac:dyDescent="0.2">
      <c r="A3139" s="2" t="str">
        <f>"4015400922490"</f>
        <v>4015400922490</v>
      </c>
      <c r="B3139" s="1" t="s">
        <v>3123</v>
      </c>
      <c r="C3139" s="9" t="s">
        <v>3418</v>
      </c>
      <c r="D3139" s="6">
        <v>285</v>
      </c>
      <c r="F3139">
        <v>100</v>
      </c>
    </row>
    <row r="3140" spans="1:6" x14ac:dyDescent="0.2">
      <c r="A3140" s="2" t="str">
        <f>"5998918710287"</f>
        <v>5998918710287</v>
      </c>
      <c r="B3140" s="1" t="s">
        <v>3124</v>
      </c>
      <c r="C3140" s="9" t="s">
        <v>3379</v>
      </c>
      <c r="D3140" s="6">
        <v>139.99</v>
      </c>
      <c r="F3140">
        <v>100</v>
      </c>
    </row>
    <row r="3141" spans="1:6" x14ac:dyDescent="0.2">
      <c r="A3141" s="2" t="str">
        <f>"9005800302836"</f>
        <v>9005800302836</v>
      </c>
      <c r="B3141" s="1" t="s">
        <v>3125</v>
      </c>
      <c r="C3141" s="9" t="s">
        <v>3418</v>
      </c>
      <c r="D3141" s="6">
        <v>312.29000000000002</v>
      </c>
      <c r="F3141">
        <v>100</v>
      </c>
    </row>
    <row r="3142" spans="1:6" x14ac:dyDescent="0.2">
      <c r="A3142" s="2" t="str">
        <f>"8001090206855"</f>
        <v>8001090206855</v>
      </c>
      <c r="B3142" s="1" t="s">
        <v>3126</v>
      </c>
      <c r="C3142" s="9" t="s">
        <v>3418</v>
      </c>
      <c r="D3142" s="6">
        <v>446.09</v>
      </c>
      <c r="F3142">
        <v>100</v>
      </c>
    </row>
    <row r="3143" spans="1:6" x14ac:dyDescent="0.2">
      <c r="A3143" s="2" t="str">
        <f>"5997960567306"</f>
        <v>5997960567306</v>
      </c>
      <c r="B3143" s="1" t="s">
        <v>3127</v>
      </c>
      <c r="C3143" s="9" t="s">
        <v>3418</v>
      </c>
      <c r="D3143" s="6">
        <v>243.46</v>
      </c>
      <c r="F3143">
        <v>100</v>
      </c>
    </row>
    <row r="3144" spans="1:6" x14ac:dyDescent="0.2">
      <c r="A3144" s="2" t="str">
        <f>"5900498011852"</f>
        <v>5900498011852</v>
      </c>
      <c r="B3144" s="1" t="s">
        <v>3128</v>
      </c>
      <c r="C3144" s="9" t="s">
        <v>3411</v>
      </c>
      <c r="D3144" s="6">
        <v>227.33</v>
      </c>
      <c r="F3144">
        <v>100</v>
      </c>
    </row>
    <row r="3145" spans="1:6" x14ac:dyDescent="0.2">
      <c r="A3145" s="2" t="str">
        <f>"5999548690819"</f>
        <v>5999548690819</v>
      </c>
      <c r="B3145" s="1" t="s">
        <v>3129</v>
      </c>
      <c r="C3145" s="9" t="s">
        <v>3376</v>
      </c>
      <c r="D3145" s="6">
        <v>244</v>
      </c>
      <c r="F3145">
        <v>100</v>
      </c>
    </row>
    <row r="3146" spans="1:6" x14ac:dyDescent="0.2">
      <c r="A3146" s="2" t="str">
        <f>"5997422750628"</f>
        <v>5997422750628</v>
      </c>
      <c r="B3146" s="1" t="s">
        <v>3130</v>
      </c>
      <c r="C3146" s="9" t="s">
        <v>3418</v>
      </c>
      <c r="D3146" s="6">
        <v>263.66000000000003</v>
      </c>
      <c r="F3146">
        <v>100</v>
      </c>
    </row>
    <row r="3147" spans="1:6" x14ac:dyDescent="0.2">
      <c r="A3147" s="2" t="str">
        <f>"4005808780785"</f>
        <v>4005808780785</v>
      </c>
      <c r="B3147" s="1" t="s">
        <v>3131</v>
      </c>
      <c r="C3147" s="9" t="s">
        <v>3418</v>
      </c>
      <c r="D3147" s="6">
        <v>409</v>
      </c>
      <c r="F3147">
        <v>100</v>
      </c>
    </row>
    <row r="3148" spans="1:6" x14ac:dyDescent="0.2">
      <c r="A3148" s="2" t="str">
        <f>"4005808782581"</f>
        <v>4005808782581</v>
      </c>
      <c r="B3148" s="1" t="s">
        <v>3132</v>
      </c>
      <c r="C3148" s="9" t="s">
        <v>3418</v>
      </c>
      <c r="D3148" s="6">
        <v>401.41</v>
      </c>
      <c r="F3148">
        <v>100</v>
      </c>
    </row>
    <row r="3149" spans="1:6" x14ac:dyDescent="0.2">
      <c r="A3149" s="2" t="str">
        <f>"3574661329635"</f>
        <v>3574661329635</v>
      </c>
      <c r="B3149" s="1" t="s">
        <v>3133</v>
      </c>
      <c r="C3149" s="9" t="s">
        <v>3418</v>
      </c>
      <c r="D3149" s="6">
        <v>517.28</v>
      </c>
      <c r="F3149">
        <v>100</v>
      </c>
    </row>
    <row r="3150" spans="1:6" x14ac:dyDescent="0.2">
      <c r="A3150" s="2" t="str">
        <f>"8003520012906"</f>
        <v>8003520012906</v>
      </c>
      <c r="B3150" s="1" t="s">
        <v>3134</v>
      </c>
      <c r="C3150" s="9" t="s">
        <v>3418</v>
      </c>
      <c r="D3150" s="6">
        <v>346.66</v>
      </c>
      <c r="F3150">
        <v>100</v>
      </c>
    </row>
    <row r="3151" spans="1:6" x14ac:dyDescent="0.2">
      <c r="A3151" s="2" t="str">
        <f>"8003520013026"</f>
        <v>8003520013026</v>
      </c>
      <c r="B3151" s="1" t="s">
        <v>3135</v>
      </c>
      <c r="C3151" s="9" t="s">
        <v>3418</v>
      </c>
      <c r="D3151" s="6">
        <v>336.43</v>
      </c>
      <c r="F3151">
        <v>100</v>
      </c>
    </row>
    <row r="3152" spans="1:6" x14ac:dyDescent="0.2">
      <c r="A3152" s="2" t="str">
        <f>"8714789703398"</f>
        <v>8714789703398</v>
      </c>
      <c r="B3152" s="1" t="s">
        <v>3136</v>
      </c>
      <c r="C3152" s="9" t="s">
        <v>3418</v>
      </c>
      <c r="D3152" s="6">
        <v>291.45999999999998</v>
      </c>
      <c r="F3152">
        <v>100</v>
      </c>
    </row>
    <row r="3153" spans="1:6" x14ac:dyDescent="0.2">
      <c r="A3153" s="2" t="str">
        <f>"5999548881644"</f>
        <v>5999548881644</v>
      </c>
      <c r="B3153" s="1" t="s">
        <v>3137</v>
      </c>
      <c r="C3153" s="9" t="s">
        <v>3379</v>
      </c>
      <c r="D3153" s="6">
        <v>100.07</v>
      </c>
      <c r="F3153">
        <v>100</v>
      </c>
    </row>
    <row r="3154" spans="1:6" x14ac:dyDescent="0.2">
      <c r="A3154" s="2" t="str">
        <f>"90005596     "</f>
        <v xml:space="preserve">90005596     </v>
      </c>
      <c r="B3154" s="1" t="s">
        <v>3138</v>
      </c>
      <c r="C3154" s="9" t="s">
        <v>3418</v>
      </c>
      <c r="D3154" s="6">
        <v>239</v>
      </c>
      <c r="F3154">
        <v>100</v>
      </c>
    </row>
    <row r="3155" spans="1:6" x14ac:dyDescent="0.2">
      <c r="A3155" s="2" t="str">
        <f>"90407147     "</f>
        <v xml:space="preserve">90407147     </v>
      </c>
      <c r="B3155" s="1" t="s">
        <v>3139</v>
      </c>
      <c r="C3155" s="9" t="s">
        <v>3418</v>
      </c>
      <c r="D3155" s="6">
        <v>330.52</v>
      </c>
      <c r="F3155">
        <v>100</v>
      </c>
    </row>
    <row r="3156" spans="1:6" x14ac:dyDescent="0.2">
      <c r="A3156" s="2" t="str">
        <f>"9000100829373"</f>
        <v>9000100829373</v>
      </c>
      <c r="B3156" s="1" t="s">
        <v>3140</v>
      </c>
      <c r="C3156" s="9" t="s">
        <v>3382</v>
      </c>
      <c r="D3156" s="6">
        <v>240.26</v>
      </c>
      <c r="F3156">
        <v>100</v>
      </c>
    </row>
    <row r="3157" spans="1:6" x14ac:dyDescent="0.2">
      <c r="A3157" s="2" t="str">
        <f>"8594193500598"</f>
        <v>8594193500598</v>
      </c>
      <c r="B3157" s="1" t="s">
        <v>3141</v>
      </c>
      <c r="C3157" s="9" t="s">
        <v>3389</v>
      </c>
      <c r="D3157" s="6">
        <v>0</v>
      </c>
      <c r="F3157">
        <v>100</v>
      </c>
    </row>
    <row r="3158" spans="1:6" x14ac:dyDescent="0.2">
      <c r="A3158" s="2" t="str">
        <f>"8594193500543"</f>
        <v>8594193500543</v>
      </c>
      <c r="B3158" s="1" t="s">
        <v>3142</v>
      </c>
      <c r="C3158" s="9" t="s">
        <v>3389</v>
      </c>
      <c r="D3158" s="6">
        <v>0</v>
      </c>
      <c r="F3158">
        <v>100</v>
      </c>
    </row>
    <row r="3159" spans="1:6" x14ac:dyDescent="0.2">
      <c r="A3159" s="2" t="str">
        <f>"9000101091786"</f>
        <v>9000101091786</v>
      </c>
      <c r="B3159" s="1" t="s">
        <v>3143</v>
      </c>
      <c r="C3159" s="9" t="s">
        <v>3418</v>
      </c>
      <c r="D3159" s="6">
        <v>684.33</v>
      </c>
      <c r="F3159">
        <v>100</v>
      </c>
    </row>
    <row r="3160" spans="1:6" x14ac:dyDescent="0.2">
      <c r="A3160" s="2" t="str">
        <f>"9000101090253"</f>
        <v>9000101090253</v>
      </c>
      <c r="B3160" s="1" t="s">
        <v>3144</v>
      </c>
      <c r="C3160" s="9" t="s">
        <v>3418</v>
      </c>
      <c r="D3160" s="6">
        <v>693.2</v>
      </c>
      <c r="F3160">
        <v>100</v>
      </c>
    </row>
    <row r="3161" spans="1:6" x14ac:dyDescent="0.2">
      <c r="A3161" s="2" t="str">
        <f>"9000101090659"</f>
        <v>9000101090659</v>
      </c>
      <c r="B3161" s="1" t="s">
        <v>3145</v>
      </c>
      <c r="C3161" s="9" t="s">
        <v>3418</v>
      </c>
      <c r="D3161" s="6">
        <v>381.99</v>
      </c>
      <c r="F3161">
        <v>100</v>
      </c>
    </row>
    <row r="3162" spans="1:6" x14ac:dyDescent="0.2">
      <c r="A3162" s="2" t="str">
        <f>"9000101308297"</f>
        <v>9000101308297</v>
      </c>
      <c r="B3162" s="1" t="s">
        <v>3146</v>
      </c>
      <c r="C3162" s="9" t="s">
        <v>3418</v>
      </c>
      <c r="D3162" s="6">
        <v>765.62</v>
      </c>
      <c r="F3162">
        <v>100</v>
      </c>
    </row>
    <row r="3163" spans="1:6" x14ac:dyDescent="0.2">
      <c r="A3163" s="2" t="str">
        <f>"9000101091373"</f>
        <v>9000101091373</v>
      </c>
      <c r="B3163" s="1" t="s">
        <v>3147</v>
      </c>
      <c r="C3163" s="9" t="s">
        <v>3418</v>
      </c>
      <c r="D3163" s="6">
        <v>364.31</v>
      </c>
      <c r="F3163">
        <v>100</v>
      </c>
    </row>
    <row r="3164" spans="1:6" x14ac:dyDescent="0.2">
      <c r="A3164" s="2" t="str">
        <f>"8595159802411"</f>
        <v>8595159802411</v>
      </c>
      <c r="B3164" s="1" t="s">
        <v>3148</v>
      </c>
      <c r="C3164" s="9" t="s">
        <v>3380</v>
      </c>
      <c r="D3164" s="6">
        <v>100.33</v>
      </c>
      <c r="F3164">
        <v>100</v>
      </c>
    </row>
    <row r="3165" spans="1:6" x14ac:dyDescent="0.2">
      <c r="A3165" s="2" t="str">
        <f>"5997844301156"</f>
        <v>5997844301156</v>
      </c>
      <c r="B3165" s="1" t="s">
        <v>3149</v>
      </c>
      <c r="C3165" s="9" t="s">
        <v>3421</v>
      </c>
      <c r="D3165" s="6">
        <v>273</v>
      </c>
      <c r="F3165">
        <v>100</v>
      </c>
    </row>
    <row r="3166" spans="1:6" x14ac:dyDescent="0.2">
      <c r="A3166" s="2" t="str">
        <f>"9000101206081"</f>
        <v>9000101206081</v>
      </c>
      <c r="B3166" s="1" t="s">
        <v>3150</v>
      </c>
      <c r="C3166" s="9" t="s">
        <v>3418</v>
      </c>
      <c r="D3166" s="6">
        <v>519.52</v>
      </c>
      <c r="F3166">
        <v>100</v>
      </c>
    </row>
    <row r="3167" spans="1:6" x14ac:dyDescent="0.2">
      <c r="A3167" s="2" t="str">
        <f>"5998624103434"</f>
        <v>5998624103434</v>
      </c>
      <c r="B3167" s="1" t="s">
        <v>3151</v>
      </c>
      <c r="C3167" s="9" t="s">
        <v>3379</v>
      </c>
      <c r="D3167" s="6">
        <v>104</v>
      </c>
      <c r="F3167">
        <v>100</v>
      </c>
    </row>
    <row r="3168" spans="1:6" x14ac:dyDescent="0.2">
      <c r="A3168" s="2" t="str">
        <f>"9000101363234"</f>
        <v>9000101363234</v>
      </c>
      <c r="B3168" s="1" t="s">
        <v>3152</v>
      </c>
      <c r="C3168" s="9" t="s">
        <v>3418</v>
      </c>
      <c r="D3168" s="6">
        <v>242</v>
      </c>
      <c r="F3168">
        <v>100</v>
      </c>
    </row>
    <row r="3169" spans="1:6" x14ac:dyDescent="0.2">
      <c r="A3169" s="2" t="str">
        <f>"9000101318050"</f>
        <v>9000101318050</v>
      </c>
      <c r="B3169" s="1" t="s">
        <v>3153</v>
      </c>
      <c r="C3169" s="9" t="s">
        <v>3418</v>
      </c>
      <c r="D3169" s="6">
        <v>737.55</v>
      </c>
      <c r="F3169">
        <v>100</v>
      </c>
    </row>
    <row r="3170" spans="1:6" x14ac:dyDescent="0.2">
      <c r="A3170" s="2" t="str">
        <f>"9000101318098"</f>
        <v>9000101318098</v>
      </c>
      <c r="B3170" s="1" t="s">
        <v>3154</v>
      </c>
      <c r="C3170" s="9" t="s">
        <v>3418</v>
      </c>
      <c r="D3170" s="6">
        <v>738.07</v>
      </c>
      <c r="F3170">
        <v>100</v>
      </c>
    </row>
    <row r="3171" spans="1:6" x14ac:dyDescent="0.2">
      <c r="A3171" s="2" t="str">
        <f>"9000101317510"</f>
        <v>9000101317510</v>
      </c>
      <c r="B3171" s="1" t="s">
        <v>3155</v>
      </c>
      <c r="C3171" s="9" t="s">
        <v>3418</v>
      </c>
      <c r="D3171" s="6">
        <v>753.02</v>
      </c>
      <c r="F3171">
        <v>100</v>
      </c>
    </row>
    <row r="3172" spans="1:6" x14ac:dyDescent="0.2">
      <c r="A3172" s="2" t="str">
        <f>"9000101363623"</f>
        <v>9000101363623</v>
      </c>
      <c r="B3172" s="1" t="s">
        <v>3156</v>
      </c>
      <c r="C3172" s="9" t="s">
        <v>3418</v>
      </c>
      <c r="D3172" s="6">
        <v>750.43</v>
      </c>
      <c r="F3172">
        <v>100</v>
      </c>
    </row>
    <row r="3173" spans="1:6" x14ac:dyDescent="0.2">
      <c r="A3173" s="2" t="str">
        <f>"5999887323089"</f>
        <v>5999887323089</v>
      </c>
      <c r="B3173" s="1" t="s">
        <v>3157</v>
      </c>
      <c r="C3173" s="9" t="s">
        <v>3389</v>
      </c>
      <c r="D3173" s="6">
        <v>0</v>
      </c>
      <c r="F3173">
        <v>100</v>
      </c>
    </row>
    <row r="3174" spans="1:6" x14ac:dyDescent="0.2">
      <c r="A3174" s="2" t="str">
        <f>"5998466118054"</f>
        <v>5998466118054</v>
      </c>
      <c r="B3174" s="1" t="s">
        <v>3158</v>
      </c>
      <c r="C3174" s="9" t="s">
        <v>3418</v>
      </c>
      <c r="D3174" s="6">
        <v>687.37</v>
      </c>
      <c r="F3174">
        <v>100</v>
      </c>
    </row>
    <row r="3175" spans="1:6" x14ac:dyDescent="0.2">
      <c r="A3175" s="2" t="str">
        <f>"4015400012306"</f>
        <v>4015400012306</v>
      </c>
      <c r="B3175" s="1" t="s">
        <v>3159</v>
      </c>
      <c r="C3175" s="9" t="s">
        <v>3418</v>
      </c>
      <c r="D3175" s="6">
        <v>320.82</v>
      </c>
      <c r="F3175">
        <v>100</v>
      </c>
    </row>
    <row r="3176" spans="1:6" x14ac:dyDescent="0.2">
      <c r="A3176" s="2" t="str">
        <f>"8717644277379"</f>
        <v>8717644277379</v>
      </c>
      <c r="B3176" s="1" t="s">
        <v>3160</v>
      </c>
      <c r="C3176" s="9" t="s">
        <v>3442</v>
      </c>
      <c r="D3176" s="6">
        <v>569</v>
      </c>
      <c r="F3176">
        <v>100</v>
      </c>
    </row>
    <row r="3177" spans="1:6" x14ac:dyDescent="0.2">
      <c r="A3177" s="2" t="str">
        <f>"5900273462213"</f>
        <v>5900273462213</v>
      </c>
      <c r="B3177" s="1" t="s">
        <v>3161</v>
      </c>
      <c r="C3177" s="9" t="s">
        <v>3418</v>
      </c>
      <c r="D3177" s="6">
        <v>350.25</v>
      </c>
      <c r="F3177">
        <v>100</v>
      </c>
    </row>
    <row r="3178" spans="1:6" x14ac:dyDescent="0.2">
      <c r="A3178" s="2" t="str">
        <f>"8718951136724"</f>
        <v>8718951136724</v>
      </c>
      <c r="B3178" s="1" t="s">
        <v>3162</v>
      </c>
      <c r="C3178" s="9" t="s">
        <v>3418</v>
      </c>
      <c r="D3178" s="6">
        <v>354</v>
      </c>
      <c r="F3178">
        <v>100</v>
      </c>
    </row>
    <row r="3179" spans="1:6" x14ac:dyDescent="0.2">
      <c r="A3179" s="2" t="str">
        <f>"4015400032328"</f>
        <v>4015400032328</v>
      </c>
      <c r="B3179" s="1" t="s">
        <v>3163</v>
      </c>
      <c r="C3179" s="9" t="s">
        <v>3418</v>
      </c>
      <c r="D3179" s="6">
        <v>597.63</v>
      </c>
      <c r="F3179">
        <v>100</v>
      </c>
    </row>
    <row r="3180" spans="1:6" x14ac:dyDescent="0.2">
      <c r="A3180" s="2" t="str">
        <f>"8001090567567"</f>
        <v>8001090567567</v>
      </c>
      <c r="B3180" s="1" t="s">
        <v>3164</v>
      </c>
      <c r="C3180" s="9" t="s">
        <v>3418</v>
      </c>
      <c r="D3180" s="6">
        <v>663.87</v>
      </c>
      <c r="F3180">
        <v>100</v>
      </c>
    </row>
    <row r="3181" spans="1:6" x14ac:dyDescent="0.2">
      <c r="A3181" s="2" t="str">
        <f>"4015600541699"</f>
        <v>4015600541699</v>
      </c>
      <c r="B3181" s="1" t="s">
        <v>3165</v>
      </c>
      <c r="C3181" s="9" t="s">
        <v>3418</v>
      </c>
      <c r="D3181" s="6">
        <v>669</v>
      </c>
      <c r="F3181">
        <v>100</v>
      </c>
    </row>
    <row r="3182" spans="1:6" x14ac:dyDescent="0.2">
      <c r="A3182" s="2" t="str">
        <f>"5908311862407"</f>
        <v>5908311862407</v>
      </c>
      <c r="B3182" s="1" t="s">
        <v>3166</v>
      </c>
      <c r="C3182" s="9" t="s">
        <v>3418</v>
      </c>
      <c r="D3182" s="6">
        <v>244.47</v>
      </c>
      <c r="F3182">
        <v>100</v>
      </c>
    </row>
    <row r="3183" spans="1:6" x14ac:dyDescent="0.2">
      <c r="A3183" s="2" t="str">
        <f>"4084500716612"</f>
        <v>4084500716612</v>
      </c>
      <c r="B3183" s="1" t="s">
        <v>3167</v>
      </c>
      <c r="C3183" s="9" t="s">
        <v>3418</v>
      </c>
      <c r="D3183" s="6">
        <v>1002.04</v>
      </c>
      <c r="F3183">
        <v>100</v>
      </c>
    </row>
    <row r="3184" spans="1:6" x14ac:dyDescent="0.2">
      <c r="A3184" s="2" t="str">
        <f>"4084500716650"</f>
        <v>4084500716650</v>
      </c>
      <c r="B3184" s="1" t="s">
        <v>3168</v>
      </c>
      <c r="C3184" s="9" t="s">
        <v>3418</v>
      </c>
      <c r="D3184" s="6">
        <v>1829</v>
      </c>
      <c r="F3184">
        <v>100</v>
      </c>
    </row>
    <row r="3185" spans="1:6" x14ac:dyDescent="0.2">
      <c r="A3185" s="2" t="str">
        <f>"8717644485910"</f>
        <v>8717644485910</v>
      </c>
      <c r="B3185" s="1" t="s">
        <v>3169</v>
      </c>
      <c r="C3185" s="9" t="s">
        <v>3418</v>
      </c>
      <c r="D3185" s="6">
        <v>409</v>
      </c>
      <c r="F3185">
        <v>100</v>
      </c>
    </row>
    <row r="3186" spans="1:6" x14ac:dyDescent="0.2">
      <c r="A3186" s="2" t="str">
        <f>"5904517021990"</f>
        <v>5904517021990</v>
      </c>
      <c r="B3186" s="1" t="s">
        <v>3170</v>
      </c>
      <c r="C3186" s="9" t="s">
        <v>3418</v>
      </c>
      <c r="D3186" s="6">
        <v>539</v>
      </c>
      <c r="F3186">
        <v>100</v>
      </c>
    </row>
    <row r="3187" spans="1:6" x14ac:dyDescent="0.2">
      <c r="A3187" s="2" t="str">
        <f>"8712561399074"</f>
        <v>8712561399074</v>
      </c>
      <c r="B3187" s="1" t="s">
        <v>3171</v>
      </c>
      <c r="C3187" s="9" t="s">
        <v>3418</v>
      </c>
      <c r="D3187" s="6">
        <v>409</v>
      </c>
      <c r="F3187">
        <v>100</v>
      </c>
    </row>
    <row r="3188" spans="1:6" x14ac:dyDescent="0.2">
      <c r="A3188" s="2" t="str">
        <f>"8712561704502"</f>
        <v>8712561704502</v>
      </c>
      <c r="B3188" s="1" t="s">
        <v>3172</v>
      </c>
      <c r="C3188" s="9" t="s">
        <v>3418</v>
      </c>
      <c r="D3188" s="6">
        <v>605.94000000000005</v>
      </c>
      <c r="F3188">
        <v>100</v>
      </c>
    </row>
    <row r="3189" spans="1:6" x14ac:dyDescent="0.2">
      <c r="A3189" s="2" t="str">
        <f>"8712561672535"</f>
        <v>8712561672535</v>
      </c>
      <c r="B3189" s="1" t="s">
        <v>3173</v>
      </c>
      <c r="C3189" s="9" t="s">
        <v>3418</v>
      </c>
      <c r="D3189" s="6">
        <v>615</v>
      </c>
      <c r="F3189">
        <v>100</v>
      </c>
    </row>
    <row r="3190" spans="1:6" x14ac:dyDescent="0.2">
      <c r="A3190" s="2" t="str">
        <f>"8712561399234"</f>
        <v>8712561399234</v>
      </c>
      <c r="B3190" s="1" t="s">
        <v>3174</v>
      </c>
      <c r="C3190" s="9" t="s">
        <v>3418</v>
      </c>
      <c r="D3190" s="6">
        <v>409</v>
      </c>
      <c r="F3190">
        <v>100</v>
      </c>
    </row>
    <row r="3191" spans="1:6" x14ac:dyDescent="0.2">
      <c r="A3191" s="2" t="str">
        <f>"8717163761182"</f>
        <v>8717163761182</v>
      </c>
      <c r="B3191" s="1" t="s">
        <v>3175</v>
      </c>
      <c r="C3191" s="9" t="s">
        <v>3418</v>
      </c>
      <c r="D3191" s="6">
        <v>413.6</v>
      </c>
      <c r="F3191">
        <v>100</v>
      </c>
    </row>
    <row r="3192" spans="1:6" x14ac:dyDescent="0.2">
      <c r="A3192" s="2" t="str">
        <f>"8711600748934"</f>
        <v>8711600748934</v>
      </c>
      <c r="B3192" s="1" t="s">
        <v>3176</v>
      </c>
      <c r="C3192" s="9" t="s">
        <v>3418</v>
      </c>
      <c r="D3192" s="6">
        <v>419</v>
      </c>
      <c r="F3192">
        <v>100</v>
      </c>
    </row>
    <row r="3193" spans="1:6" x14ac:dyDescent="0.2">
      <c r="A3193" s="2" t="str">
        <f>"8710908828430"</f>
        <v>8710908828430</v>
      </c>
      <c r="B3193" s="1" t="s">
        <v>3177</v>
      </c>
      <c r="C3193" s="9" t="s">
        <v>3418</v>
      </c>
      <c r="D3193" s="6">
        <v>407.4</v>
      </c>
      <c r="F3193">
        <v>100</v>
      </c>
    </row>
    <row r="3194" spans="1:6" x14ac:dyDescent="0.2">
      <c r="A3194" s="2" t="str">
        <f>"3574660495973"</f>
        <v>3574660495973</v>
      </c>
      <c r="B3194" s="1" t="s">
        <v>3178</v>
      </c>
      <c r="C3194" s="9" t="s">
        <v>3418</v>
      </c>
      <c r="D3194" s="6">
        <v>225.32</v>
      </c>
      <c r="F3194">
        <v>100</v>
      </c>
    </row>
    <row r="3195" spans="1:6" x14ac:dyDescent="0.2">
      <c r="A3195" s="2" t="str">
        <f>"3574660495959"</f>
        <v>3574660495959</v>
      </c>
      <c r="B3195" s="1" t="s">
        <v>3179</v>
      </c>
      <c r="C3195" s="9" t="s">
        <v>3418</v>
      </c>
      <c r="D3195" s="6">
        <v>319</v>
      </c>
      <c r="F3195">
        <v>100</v>
      </c>
    </row>
    <row r="3196" spans="1:6" x14ac:dyDescent="0.2">
      <c r="A3196" s="2" t="str">
        <f>"5900516400019"</f>
        <v>5900516400019</v>
      </c>
      <c r="B3196" s="1" t="s">
        <v>3180</v>
      </c>
      <c r="C3196" s="9" t="s">
        <v>3418</v>
      </c>
      <c r="D3196" s="6">
        <v>228.99</v>
      </c>
      <c r="F3196">
        <v>100</v>
      </c>
    </row>
    <row r="3197" spans="1:6" x14ac:dyDescent="0.2">
      <c r="A3197" s="2" t="str">
        <f>"9000100572675"</f>
        <v>9000100572675</v>
      </c>
      <c r="B3197" s="1" t="s">
        <v>3181</v>
      </c>
      <c r="C3197" s="9" t="s">
        <v>3418</v>
      </c>
      <c r="D3197" s="6">
        <v>465</v>
      </c>
      <c r="F3197">
        <v>100</v>
      </c>
    </row>
    <row r="3198" spans="1:6" x14ac:dyDescent="0.2">
      <c r="A3198" s="2" t="str">
        <f>"9000101317350"</f>
        <v>9000101317350</v>
      </c>
      <c r="B3198" s="1" t="s">
        <v>3182</v>
      </c>
      <c r="C3198" s="9" t="s">
        <v>3418</v>
      </c>
      <c r="D3198" s="6">
        <v>675.01</v>
      </c>
      <c r="F3198">
        <v>100</v>
      </c>
    </row>
    <row r="3199" spans="1:6" x14ac:dyDescent="0.2">
      <c r="A3199" s="2" t="str">
        <f>"5997844301064"</f>
        <v>5997844301064</v>
      </c>
      <c r="B3199" s="1" t="s">
        <v>3183</v>
      </c>
      <c r="C3199" s="9" t="s">
        <v>3379</v>
      </c>
      <c r="D3199" s="6">
        <v>80.540000000000006</v>
      </c>
      <c r="F3199">
        <v>100</v>
      </c>
    </row>
    <row r="3200" spans="1:6" x14ac:dyDescent="0.2">
      <c r="A3200" s="2" t="str">
        <f>"9000100753371"</f>
        <v>9000100753371</v>
      </c>
      <c r="B3200" s="1" t="s">
        <v>3184</v>
      </c>
      <c r="C3200" s="9" t="s">
        <v>3389</v>
      </c>
      <c r="D3200" s="6">
        <v>0</v>
      </c>
      <c r="F3200">
        <v>100</v>
      </c>
    </row>
    <row r="3201" spans="1:6" x14ac:dyDescent="0.2">
      <c r="A3201" s="2" t="str">
        <f>"5904517021099"</f>
        <v>5904517021099</v>
      </c>
      <c r="B3201" s="1" t="s">
        <v>3185</v>
      </c>
      <c r="C3201" s="9" t="s">
        <v>3418</v>
      </c>
      <c r="D3201" s="6">
        <v>499</v>
      </c>
      <c r="F3201">
        <v>100</v>
      </c>
    </row>
    <row r="3202" spans="1:6" x14ac:dyDescent="0.2">
      <c r="A3202" s="2" t="str">
        <f>"5900785530042"</f>
        <v>5900785530042</v>
      </c>
      <c r="B3202" s="1" t="s">
        <v>3186</v>
      </c>
      <c r="C3202" s="9" t="s">
        <v>3418</v>
      </c>
      <c r="D3202" s="6">
        <v>319</v>
      </c>
      <c r="F3202">
        <v>100</v>
      </c>
    </row>
    <row r="3203" spans="1:6" x14ac:dyDescent="0.2">
      <c r="A3203" s="2" t="str">
        <f>"8717644147030"</f>
        <v>8717644147030</v>
      </c>
      <c r="B3203" s="1" t="s">
        <v>3187</v>
      </c>
      <c r="C3203" s="9" t="s">
        <v>3418</v>
      </c>
      <c r="D3203" s="6">
        <v>250.82</v>
      </c>
      <c r="F3203">
        <v>100</v>
      </c>
    </row>
    <row r="3204" spans="1:6" x14ac:dyDescent="0.2">
      <c r="A3204" s="2" t="str">
        <f>"8712561561877"</f>
        <v>8712561561877</v>
      </c>
      <c r="B3204" s="1" t="s">
        <v>3188</v>
      </c>
      <c r="C3204" s="9" t="s">
        <v>3418</v>
      </c>
      <c r="D3204" s="6">
        <v>223</v>
      </c>
      <c r="F3204">
        <v>100</v>
      </c>
    </row>
    <row r="3205" spans="1:6" x14ac:dyDescent="0.2">
      <c r="A3205" s="2" t="str">
        <f>"5900095011859"</f>
        <v>5900095011859</v>
      </c>
      <c r="B3205" s="1" t="s">
        <v>3189</v>
      </c>
      <c r="C3205" s="9" t="s">
        <v>3418</v>
      </c>
      <c r="D3205" s="6">
        <v>176.38</v>
      </c>
      <c r="F3205">
        <v>100</v>
      </c>
    </row>
    <row r="3206" spans="1:6" x14ac:dyDescent="0.2">
      <c r="A3206" s="2" t="str">
        <f>"5995000830106"</f>
        <v>5995000830106</v>
      </c>
      <c r="B3206" s="1" t="s">
        <v>3190</v>
      </c>
      <c r="C3206" s="9" t="s">
        <v>3379</v>
      </c>
      <c r="D3206" s="6">
        <v>242</v>
      </c>
      <c r="F3206">
        <v>100</v>
      </c>
    </row>
    <row r="3207" spans="1:6" x14ac:dyDescent="0.2">
      <c r="A3207" s="2" t="str">
        <f>"5995000830090"</f>
        <v>5995000830090</v>
      </c>
      <c r="B3207" s="1" t="s">
        <v>3191</v>
      </c>
      <c r="C3207" s="9" t="s">
        <v>3418</v>
      </c>
      <c r="D3207" s="6">
        <v>231.61</v>
      </c>
      <c r="F3207">
        <v>100</v>
      </c>
    </row>
    <row r="3208" spans="1:6" x14ac:dyDescent="0.2">
      <c r="A3208" s="2" t="str">
        <f>"3574661518503"</f>
        <v>3574661518503</v>
      </c>
      <c r="B3208" s="1" t="s">
        <v>3192</v>
      </c>
      <c r="C3208" s="9" t="s">
        <v>3418</v>
      </c>
      <c r="D3208" s="6">
        <v>388.21</v>
      </c>
      <c r="F3208">
        <v>100</v>
      </c>
    </row>
    <row r="3209" spans="1:6" x14ac:dyDescent="0.2">
      <c r="A3209" s="2" t="str">
        <f>"5201137030372"</f>
        <v>5201137030372</v>
      </c>
      <c r="B3209" s="1" t="s">
        <v>3193</v>
      </c>
      <c r="C3209" s="9" t="s">
        <v>3418</v>
      </c>
      <c r="D3209" s="6">
        <v>249</v>
      </c>
      <c r="F3209">
        <v>100</v>
      </c>
    </row>
    <row r="3210" spans="1:6" x14ac:dyDescent="0.2">
      <c r="A3210" s="2" t="str">
        <f>"8712561552936"</f>
        <v>8712561552936</v>
      </c>
      <c r="B3210" s="1" t="s">
        <v>3194</v>
      </c>
      <c r="C3210" s="9" t="s">
        <v>3418</v>
      </c>
      <c r="D3210" s="6">
        <v>416.37</v>
      </c>
      <c r="F3210">
        <v>100</v>
      </c>
    </row>
    <row r="3211" spans="1:6" x14ac:dyDescent="0.2">
      <c r="A3211" s="2" t="str">
        <f>"8717644075111"</f>
        <v>8717644075111</v>
      </c>
      <c r="B3211" s="1" t="s">
        <v>3195</v>
      </c>
      <c r="C3211" s="9" t="s">
        <v>3418</v>
      </c>
      <c r="D3211" s="6">
        <v>428.16</v>
      </c>
      <c r="F3211">
        <v>100</v>
      </c>
    </row>
    <row r="3212" spans="1:6" x14ac:dyDescent="0.2">
      <c r="A3212" s="2" t="str">
        <f>"8712561561969"</f>
        <v>8712561561969</v>
      </c>
      <c r="B3212" s="1" t="s">
        <v>3196</v>
      </c>
      <c r="C3212" s="9" t="s">
        <v>3418</v>
      </c>
      <c r="D3212" s="6">
        <v>225.52</v>
      </c>
      <c r="F3212">
        <v>100</v>
      </c>
    </row>
    <row r="3213" spans="1:6" x14ac:dyDescent="0.2">
      <c r="A3213" s="2" t="str">
        <f>"5996037000746"</f>
        <v>5996037000746</v>
      </c>
      <c r="B3213" s="1" t="s">
        <v>3197</v>
      </c>
      <c r="C3213" s="9" t="s">
        <v>3418</v>
      </c>
      <c r="D3213" s="6">
        <v>225.83</v>
      </c>
      <c r="F3213">
        <v>100</v>
      </c>
    </row>
    <row r="3214" spans="1:6" x14ac:dyDescent="0.2">
      <c r="A3214" s="2" t="str">
        <f>"5900095001638"</f>
        <v>5900095001638</v>
      </c>
      <c r="B3214" s="1" t="s">
        <v>3198</v>
      </c>
      <c r="C3214" s="9" t="s">
        <v>3418</v>
      </c>
      <c r="D3214" s="6">
        <v>285.36</v>
      </c>
      <c r="F3214">
        <v>100</v>
      </c>
    </row>
    <row r="3215" spans="1:6" x14ac:dyDescent="0.2">
      <c r="A3215" s="2" t="str">
        <f>"9000100866699"</f>
        <v>9000100866699</v>
      </c>
      <c r="B3215" s="1" t="s">
        <v>3199</v>
      </c>
      <c r="C3215" s="9" t="s">
        <v>3418</v>
      </c>
      <c r="D3215" s="6">
        <v>341.31</v>
      </c>
      <c r="F3215">
        <v>100</v>
      </c>
    </row>
    <row r="3216" spans="1:6" x14ac:dyDescent="0.2">
      <c r="A3216" s="2" t="str">
        <f>"8710447283219"</f>
        <v>8710447283219</v>
      </c>
      <c r="B3216" s="1" t="s">
        <v>3200</v>
      </c>
      <c r="C3216" s="9" t="s">
        <v>3418</v>
      </c>
      <c r="D3216" s="6">
        <v>823.85</v>
      </c>
      <c r="F3216">
        <v>100</v>
      </c>
    </row>
    <row r="3217" spans="1:6" x14ac:dyDescent="0.2">
      <c r="A3217" s="2" t="str">
        <f>"8710447283233"</f>
        <v>8710447283233</v>
      </c>
      <c r="B3217" s="1" t="s">
        <v>3201</v>
      </c>
      <c r="C3217" s="9" t="s">
        <v>3418</v>
      </c>
      <c r="D3217" s="6">
        <v>817.84</v>
      </c>
      <c r="F3217">
        <v>100</v>
      </c>
    </row>
    <row r="3218" spans="1:6" x14ac:dyDescent="0.2">
      <c r="A3218" s="2" t="str">
        <f>"8710447282748"</f>
        <v>8710447282748</v>
      </c>
      <c r="B3218" s="1" t="s">
        <v>3202</v>
      </c>
      <c r="C3218" s="9" t="s">
        <v>3418</v>
      </c>
      <c r="D3218" s="6">
        <v>823.56</v>
      </c>
      <c r="F3218">
        <v>100</v>
      </c>
    </row>
    <row r="3219" spans="1:6" x14ac:dyDescent="0.2">
      <c r="A3219" s="2" t="str">
        <f>"8718951076372"</f>
        <v>8718951076372</v>
      </c>
      <c r="B3219" s="1" t="s">
        <v>3203</v>
      </c>
      <c r="C3219" s="9" t="s">
        <v>3418</v>
      </c>
      <c r="D3219" s="6">
        <v>280.44</v>
      </c>
      <c r="F3219">
        <v>100</v>
      </c>
    </row>
    <row r="3220" spans="1:6" x14ac:dyDescent="0.2">
      <c r="A3220" s="2" t="str">
        <f>"5997514362722"</f>
        <v>5997514362722</v>
      </c>
      <c r="B3220" s="1" t="s">
        <v>3204</v>
      </c>
      <c r="C3220" s="9" t="s">
        <v>3376</v>
      </c>
      <c r="D3220" s="6">
        <v>507.24</v>
      </c>
      <c r="F3220">
        <v>100</v>
      </c>
    </row>
    <row r="3221" spans="1:6" x14ac:dyDescent="0.2">
      <c r="A3221" s="2" t="str">
        <f>"8594001939954"</f>
        <v>8594001939954</v>
      </c>
      <c r="B3221" s="1" t="s">
        <v>3205</v>
      </c>
      <c r="C3221" s="9" t="s">
        <v>3376</v>
      </c>
      <c r="D3221" s="6">
        <v>304.18</v>
      </c>
      <c r="F3221">
        <v>100</v>
      </c>
    </row>
    <row r="3222" spans="1:6" x14ac:dyDescent="0.2">
      <c r="A3222" s="2" t="str">
        <f>"5997514311126"</f>
        <v>5997514311126</v>
      </c>
      <c r="B3222" s="1" t="s">
        <v>3206</v>
      </c>
      <c r="C3222" s="9" t="s">
        <v>3376</v>
      </c>
      <c r="D3222" s="6">
        <v>222.79</v>
      </c>
      <c r="F3222">
        <v>100</v>
      </c>
    </row>
    <row r="3223" spans="1:6" x14ac:dyDescent="0.2">
      <c r="A3223" s="2" t="str">
        <f>"5997901666754"</f>
        <v>5997901666754</v>
      </c>
      <c r="B3223" s="1" t="s">
        <v>3207</v>
      </c>
      <c r="C3223" s="9" t="s">
        <v>3376</v>
      </c>
      <c r="D3223" s="6">
        <v>392.67</v>
      </c>
      <c r="F3223">
        <v>100</v>
      </c>
    </row>
    <row r="3224" spans="1:6" x14ac:dyDescent="0.2">
      <c r="A3224" s="2" t="str">
        <f>"5997514351528"</f>
        <v>5997514351528</v>
      </c>
      <c r="B3224" s="1" t="s">
        <v>3208</v>
      </c>
      <c r="C3224" s="9" t="s">
        <v>3376</v>
      </c>
      <c r="D3224" s="6">
        <v>139.83000000000001</v>
      </c>
      <c r="F3224">
        <v>100</v>
      </c>
    </row>
    <row r="3225" spans="1:6" x14ac:dyDescent="0.2">
      <c r="A3225" s="2" t="str">
        <f>"8008970037776"</f>
        <v>8008970037776</v>
      </c>
      <c r="B3225" s="1" t="s">
        <v>3209</v>
      </c>
      <c r="C3225" s="9" t="s">
        <v>3441</v>
      </c>
      <c r="D3225" s="6">
        <v>499.55</v>
      </c>
      <c r="F3225">
        <v>100</v>
      </c>
    </row>
    <row r="3226" spans="1:6" x14ac:dyDescent="0.2">
      <c r="A3226" s="2" t="str">
        <f>"5997250501188"</f>
        <v>5997250501188</v>
      </c>
      <c r="B3226" s="1" t="s">
        <v>3210</v>
      </c>
      <c r="C3226" s="9" t="s">
        <v>3418</v>
      </c>
      <c r="D3226" s="6">
        <v>153.6</v>
      </c>
      <c r="F3226">
        <v>100</v>
      </c>
    </row>
    <row r="3227" spans="1:6" x14ac:dyDescent="0.2">
      <c r="A3227" s="2" t="str">
        <f>"8718114433950"</f>
        <v>8718114433950</v>
      </c>
      <c r="B3227" s="1" t="s">
        <v>3211</v>
      </c>
      <c r="C3227" s="9" t="s">
        <v>3418</v>
      </c>
      <c r="D3227" s="6">
        <v>683.29</v>
      </c>
      <c r="F3227">
        <v>100</v>
      </c>
    </row>
    <row r="3228" spans="1:6" x14ac:dyDescent="0.2">
      <c r="A3228" s="2" t="str">
        <f>"8718114635729"</f>
        <v>8718114635729</v>
      </c>
      <c r="B3228" s="1" t="s">
        <v>3212</v>
      </c>
      <c r="C3228" s="9" t="s">
        <v>3418</v>
      </c>
      <c r="D3228" s="6">
        <v>351</v>
      </c>
      <c r="F3228">
        <v>100</v>
      </c>
    </row>
    <row r="3229" spans="1:6" x14ac:dyDescent="0.2">
      <c r="A3229" s="2" t="str">
        <f>"5900627035339"</f>
        <v>5900627035339</v>
      </c>
      <c r="B3229" s="1" t="s">
        <v>3213</v>
      </c>
      <c r="C3229" s="9" t="s">
        <v>3418</v>
      </c>
      <c r="D3229" s="6">
        <v>134.63</v>
      </c>
      <c r="F3229">
        <v>100</v>
      </c>
    </row>
    <row r="3230" spans="1:6" x14ac:dyDescent="0.2">
      <c r="A3230" s="2" t="str">
        <f>"8710908882012"</f>
        <v>8710908882012</v>
      </c>
      <c r="B3230" s="1" t="s">
        <v>3214</v>
      </c>
      <c r="C3230" s="9" t="s">
        <v>3389</v>
      </c>
      <c r="D3230" s="6">
        <v>364.89</v>
      </c>
      <c r="F3230">
        <v>100</v>
      </c>
    </row>
    <row r="3231" spans="1:6" x14ac:dyDescent="0.2">
      <c r="A3231" s="2" t="str">
        <f>"8710908882128"</f>
        <v>8710908882128</v>
      </c>
      <c r="B3231" s="1" t="s">
        <v>3215</v>
      </c>
      <c r="C3231" s="9" t="s">
        <v>3389</v>
      </c>
      <c r="D3231" s="6">
        <v>0</v>
      </c>
      <c r="F3231">
        <v>100</v>
      </c>
    </row>
    <row r="3232" spans="1:6" x14ac:dyDescent="0.2">
      <c r="A3232" s="2" t="str">
        <f>"8712561630764"</f>
        <v>8712561630764</v>
      </c>
      <c r="B3232" s="1" t="s">
        <v>3216</v>
      </c>
      <c r="C3232" s="9" t="s">
        <v>3389</v>
      </c>
      <c r="D3232" s="6">
        <v>428.77</v>
      </c>
      <c r="F3232">
        <v>100</v>
      </c>
    </row>
    <row r="3233" spans="1:6" x14ac:dyDescent="0.2">
      <c r="A3233" s="2" t="str">
        <f>"8712561643238"</f>
        <v>8712561643238</v>
      </c>
      <c r="B3233" s="1" t="s">
        <v>3217</v>
      </c>
      <c r="C3233" s="9" t="s">
        <v>3389</v>
      </c>
      <c r="D3233" s="6">
        <v>309.48</v>
      </c>
      <c r="F3233">
        <v>100</v>
      </c>
    </row>
    <row r="3234" spans="1:6" x14ac:dyDescent="0.2">
      <c r="A3234" s="2" t="str">
        <f>"5000204954845"</f>
        <v>5000204954845</v>
      </c>
      <c r="B3234" s="1" t="s">
        <v>3218</v>
      </c>
      <c r="C3234" s="9" t="s">
        <v>3418</v>
      </c>
      <c r="D3234" s="6">
        <v>279.45</v>
      </c>
      <c r="F3234">
        <v>100</v>
      </c>
    </row>
    <row r="3235" spans="1:6" x14ac:dyDescent="0.2">
      <c r="A3235" s="2" t="str">
        <f>"3600523741878"</f>
        <v>3600523741878</v>
      </c>
      <c r="B3235" s="1" t="s">
        <v>3219</v>
      </c>
      <c r="C3235" s="9" t="s">
        <v>3418</v>
      </c>
      <c r="D3235" s="6">
        <v>578.24</v>
      </c>
      <c r="F3235">
        <v>100</v>
      </c>
    </row>
    <row r="3236" spans="1:6" x14ac:dyDescent="0.2">
      <c r="A3236" s="2" t="str">
        <f>"3600522086581"</f>
        <v>3600522086581</v>
      </c>
      <c r="B3236" s="1" t="s">
        <v>3220</v>
      </c>
      <c r="C3236" s="9" t="s">
        <v>3418</v>
      </c>
      <c r="D3236" s="6">
        <v>554.64</v>
      </c>
      <c r="F3236">
        <v>100</v>
      </c>
    </row>
    <row r="3237" spans="1:6" x14ac:dyDescent="0.2">
      <c r="A3237" s="2" t="str">
        <f>"3600522086505"</f>
        <v>3600522086505</v>
      </c>
      <c r="B3237" s="1" t="s">
        <v>3221</v>
      </c>
      <c r="C3237" s="9" t="s">
        <v>3418</v>
      </c>
      <c r="D3237" s="6">
        <v>540.62</v>
      </c>
      <c r="F3237">
        <v>100</v>
      </c>
    </row>
    <row r="3238" spans="1:6" x14ac:dyDescent="0.2">
      <c r="A3238" s="2" t="str">
        <f>"3600523741861"</f>
        <v>3600523741861</v>
      </c>
      <c r="B3238" s="1" t="s">
        <v>3222</v>
      </c>
      <c r="C3238" s="9" t="s">
        <v>3418</v>
      </c>
      <c r="D3238" s="6">
        <v>578.63</v>
      </c>
      <c r="F3238">
        <v>100</v>
      </c>
    </row>
    <row r="3239" spans="1:6" x14ac:dyDescent="0.2">
      <c r="A3239" s="2" t="str">
        <f>"5998198300017"</f>
        <v>5998198300017</v>
      </c>
      <c r="B3239" s="1" t="s">
        <v>3223</v>
      </c>
      <c r="C3239" s="9" t="s">
        <v>3379</v>
      </c>
      <c r="D3239" s="6">
        <v>143.75</v>
      </c>
      <c r="F3239">
        <v>100</v>
      </c>
    </row>
    <row r="3240" spans="1:6" x14ac:dyDescent="0.2">
      <c r="A3240" s="2" t="str">
        <f>"9000101092202"</f>
        <v>9000101092202</v>
      </c>
      <c r="B3240" s="1" t="s">
        <v>3224</v>
      </c>
      <c r="C3240" s="9" t="s">
        <v>3441</v>
      </c>
      <c r="D3240" s="6">
        <v>365.37</v>
      </c>
      <c r="F3240">
        <v>100</v>
      </c>
    </row>
    <row r="3241" spans="1:6" x14ac:dyDescent="0.2">
      <c r="A3241" s="2" t="str">
        <f>"9000101090031"</f>
        <v>9000101090031</v>
      </c>
      <c r="B3241" s="1" t="s">
        <v>3225</v>
      </c>
      <c r="C3241" s="9" t="s">
        <v>3418</v>
      </c>
      <c r="D3241" s="6">
        <v>341.29</v>
      </c>
      <c r="F3241">
        <v>100</v>
      </c>
    </row>
    <row r="3242" spans="1:6" x14ac:dyDescent="0.2">
      <c r="A3242" s="2" t="str">
        <f>"8013656000609"</f>
        <v>8013656000609</v>
      </c>
      <c r="B3242" s="1" t="s">
        <v>3226</v>
      </c>
      <c r="C3242" s="9" t="s">
        <v>3421</v>
      </c>
      <c r="D3242" s="6">
        <v>175.81</v>
      </c>
      <c r="F3242">
        <v>100</v>
      </c>
    </row>
    <row r="3243" spans="1:6" x14ac:dyDescent="0.2">
      <c r="A3243" s="2" t="str">
        <f>"5998466112359"</f>
        <v>5998466112359</v>
      </c>
      <c r="B3243" s="1" t="s">
        <v>3227</v>
      </c>
      <c r="C3243" s="9" t="s">
        <v>3418</v>
      </c>
      <c r="D3243" s="6">
        <v>279.08999999999997</v>
      </c>
      <c r="F3243">
        <v>100</v>
      </c>
    </row>
    <row r="3244" spans="1:6" x14ac:dyDescent="0.2">
      <c r="A3244" s="2" t="str">
        <f>"5998466112342"</f>
        <v>5998466112342</v>
      </c>
      <c r="B3244" s="1" t="s">
        <v>3228</v>
      </c>
      <c r="C3244" s="9" t="s">
        <v>3418</v>
      </c>
      <c r="D3244" s="6">
        <v>280.11</v>
      </c>
      <c r="F3244">
        <v>100</v>
      </c>
    </row>
    <row r="3245" spans="1:6" x14ac:dyDescent="0.2">
      <c r="A3245" s="2" t="str">
        <f>"8710447237977"</f>
        <v>8710447237977</v>
      </c>
      <c r="B3245" s="1" t="s">
        <v>3229</v>
      </c>
      <c r="C3245" s="9" t="s">
        <v>3418</v>
      </c>
      <c r="D3245" s="6">
        <v>509.65</v>
      </c>
      <c r="F3245">
        <v>100</v>
      </c>
    </row>
    <row r="3246" spans="1:6" x14ac:dyDescent="0.2">
      <c r="A3246" s="2" t="str">
        <f>"8717163891452"</f>
        <v>8717163891452</v>
      </c>
      <c r="B3246" s="1" t="s">
        <v>3230</v>
      </c>
      <c r="C3246" s="9" t="s">
        <v>3418</v>
      </c>
      <c r="D3246" s="6">
        <v>594.45000000000005</v>
      </c>
      <c r="F3246">
        <v>100</v>
      </c>
    </row>
    <row r="3247" spans="1:6" x14ac:dyDescent="0.2">
      <c r="A3247" s="2" t="str">
        <f>"5201137050189"</f>
        <v>5201137050189</v>
      </c>
      <c r="B3247" s="1" t="s">
        <v>3231</v>
      </c>
      <c r="C3247" s="9" t="s">
        <v>3418</v>
      </c>
      <c r="D3247" s="6">
        <v>154.81</v>
      </c>
      <c r="F3247">
        <v>100</v>
      </c>
    </row>
    <row r="3248" spans="1:6" x14ac:dyDescent="0.2">
      <c r="A3248" s="2" t="str">
        <f>"8692641044004"</f>
        <v>8692641044004</v>
      </c>
      <c r="B3248" s="1" t="s">
        <v>3232</v>
      </c>
      <c r="C3248" s="9" t="s">
        <v>3379</v>
      </c>
      <c r="D3248" s="6">
        <v>309.99</v>
      </c>
      <c r="F3248">
        <v>100</v>
      </c>
    </row>
    <row r="3249" spans="1:6" x14ac:dyDescent="0.2">
      <c r="A3249" s="2" t="str">
        <f>"8692641043991"</f>
        <v>8692641043991</v>
      </c>
      <c r="B3249" s="1" t="s">
        <v>3233</v>
      </c>
      <c r="C3249" s="9" t="s">
        <v>3379</v>
      </c>
      <c r="D3249" s="6">
        <v>309.99</v>
      </c>
      <c r="F3249">
        <v>100</v>
      </c>
    </row>
    <row r="3250" spans="1:6" x14ac:dyDescent="0.2">
      <c r="A3250" s="2" t="str">
        <f>"8712561819534"</f>
        <v>8712561819534</v>
      </c>
      <c r="B3250" s="1" t="s">
        <v>3234</v>
      </c>
      <c r="C3250" s="9" t="s">
        <v>3418</v>
      </c>
      <c r="D3250" s="6">
        <v>585.69000000000005</v>
      </c>
      <c r="F3250">
        <v>100</v>
      </c>
    </row>
    <row r="3251" spans="1:6" x14ac:dyDescent="0.2">
      <c r="A3251" s="2" t="str">
        <f>"5900785709110"</f>
        <v>5900785709110</v>
      </c>
      <c r="B3251" s="1" t="s">
        <v>3235</v>
      </c>
      <c r="C3251" s="9" t="s">
        <v>3418</v>
      </c>
      <c r="D3251" s="6">
        <v>299</v>
      </c>
      <c r="F3251">
        <v>100</v>
      </c>
    </row>
    <row r="3252" spans="1:6" x14ac:dyDescent="0.2">
      <c r="A3252" s="2" t="str">
        <f>"7702018076130"</f>
        <v>7702018076130</v>
      </c>
      <c r="B3252" s="1" t="s">
        <v>3236</v>
      </c>
      <c r="C3252" s="9" t="s">
        <v>3418</v>
      </c>
      <c r="D3252" s="6">
        <v>775</v>
      </c>
      <c r="F3252">
        <v>100</v>
      </c>
    </row>
    <row r="3253" spans="1:6" x14ac:dyDescent="0.2">
      <c r="A3253" s="2" t="str">
        <f>"8594001939282"</f>
        <v>8594001939282</v>
      </c>
      <c r="B3253" s="1" t="s">
        <v>3237</v>
      </c>
      <c r="C3253" s="9" t="s">
        <v>3381</v>
      </c>
      <c r="D3253" s="6">
        <v>693.61</v>
      </c>
      <c r="F3253">
        <v>100</v>
      </c>
    </row>
    <row r="3254" spans="1:6" x14ac:dyDescent="0.2">
      <c r="A3254" s="2" t="str">
        <f>"5999883881323"</f>
        <v>5999883881323</v>
      </c>
      <c r="B3254" s="1" t="s">
        <v>3238</v>
      </c>
      <c r="C3254" s="9" t="s">
        <v>3381</v>
      </c>
      <c r="D3254" s="6">
        <v>700.58</v>
      </c>
      <c r="F3254">
        <v>100</v>
      </c>
    </row>
    <row r="3255" spans="1:6" x14ac:dyDescent="0.2">
      <c r="A3255" s="2" t="str">
        <f>"8001090690234"</f>
        <v>8001090690234</v>
      </c>
      <c r="B3255" s="1" t="s">
        <v>3239</v>
      </c>
      <c r="C3255" s="9" t="s">
        <v>3418</v>
      </c>
      <c r="D3255" s="6">
        <v>925</v>
      </c>
      <c r="F3255">
        <v>100</v>
      </c>
    </row>
    <row r="3256" spans="1:6" x14ac:dyDescent="0.2">
      <c r="A3256" s="2" t="str">
        <f>"4015400997542"</f>
        <v>4015400997542</v>
      </c>
      <c r="B3256" s="1" t="s">
        <v>3240</v>
      </c>
      <c r="C3256" s="9" t="s">
        <v>3418</v>
      </c>
      <c r="D3256" s="6">
        <v>473.09</v>
      </c>
      <c r="F3256">
        <v>100</v>
      </c>
    </row>
    <row r="3257" spans="1:6" x14ac:dyDescent="0.2">
      <c r="A3257" s="2" t="str">
        <f>"4015400922407"</f>
        <v>4015400922407</v>
      </c>
      <c r="B3257" s="1" t="s">
        <v>3241</v>
      </c>
      <c r="C3257" s="9" t="s">
        <v>3418</v>
      </c>
      <c r="D3257" s="6">
        <v>266.24</v>
      </c>
      <c r="F3257">
        <v>100</v>
      </c>
    </row>
    <row r="3258" spans="1:6" x14ac:dyDescent="0.2">
      <c r="A3258" s="2" t="str">
        <f>"4015400922759"</f>
        <v>4015400922759</v>
      </c>
      <c r="B3258" s="1" t="s">
        <v>3242</v>
      </c>
      <c r="C3258" s="9" t="s">
        <v>3418</v>
      </c>
      <c r="D3258" s="6">
        <v>461.32</v>
      </c>
      <c r="F3258">
        <v>100</v>
      </c>
    </row>
    <row r="3259" spans="1:6" x14ac:dyDescent="0.2">
      <c r="A3259" s="2" t="str">
        <f>"4015400991434"</f>
        <v>4015400991434</v>
      </c>
      <c r="B3259" s="1" t="s">
        <v>3243</v>
      </c>
      <c r="C3259" s="9" t="s">
        <v>3418</v>
      </c>
      <c r="D3259" s="6">
        <v>454.44</v>
      </c>
      <c r="F3259">
        <v>100</v>
      </c>
    </row>
    <row r="3260" spans="1:6" x14ac:dyDescent="0.2">
      <c r="A3260" s="2" t="str">
        <f>"5998918710270"</f>
        <v>5998918710270</v>
      </c>
      <c r="B3260" s="1" t="s">
        <v>3244</v>
      </c>
      <c r="C3260" s="9" t="s">
        <v>3379</v>
      </c>
      <c r="D3260" s="6">
        <v>109.64</v>
      </c>
      <c r="F3260">
        <v>100</v>
      </c>
    </row>
    <row r="3261" spans="1:6" x14ac:dyDescent="0.2">
      <c r="A3261" s="2" t="str">
        <f>"5997467110364"</f>
        <v>5997467110364</v>
      </c>
      <c r="B3261" s="1" t="s">
        <v>3245</v>
      </c>
      <c r="C3261" s="9" t="s">
        <v>3418</v>
      </c>
      <c r="D3261" s="6">
        <v>188.9</v>
      </c>
      <c r="F3261">
        <v>100</v>
      </c>
    </row>
    <row r="3262" spans="1:6" x14ac:dyDescent="0.2">
      <c r="A3262" s="2" t="str">
        <f>"5997467110357"</f>
        <v>5997467110357</v>
      </c>
      <c r="B3262" s="1" t="s">
        <v>3246</v>
      </c>
      <c r="C3262" s="9" t="s">
        <v>3418</v>
      </c>
      <c r="D3262" s="6">
        <v>188.53</v>
      </c>
      <c r="F3262">
        <v>100</v>
      </c>
    </row>
    <row r="3263" spans="1:6" x14ac:dyDescent="0.2">
      <c r="A3263" s="2" t="str">
        <f>"8590338911328"</f>
        <v>8590338911328</v>
      </c>
      <c r="B3263" s="1" t="s">
        <v>3247</v>
      </c>
      <c r="C3263" s="9" t="s">
        <v>3382</v>
      </c>
      <c r="D3263" s="6">
        <v>170.7</v>
      </c>
      <c r="F3263">
        <v>100</v>
      </c>
    </row>
    <row r="3264" spans="1:6" x14ac:dyDescent="0.2">
      <c r="A3264" s="2" t="str">
        <f>"3574660537253"</f>
        <v>3574660537253</v>
      </c>
      <c r="B3264" s="1" t="s">
        <v>3248</v>
      </c>
      <c r="C3264" s="9" t="s">
        <v>3418</v>
      </c>
      <c r="D3264" s="6">
        <v>634.71</v>
      </c>
      <c r="F3264">
        <v>100</v>
      </c>
    </row>
    <row r="3265" spans="1:6" x14ac:dyDescent="0.2">
      <c r="A3265" s="2" t="str">
        <f>"5997960573345"</f>
        <v>5997960573345</v>
      </c>
      <c r="B3265" s="1" t="s">
        <v>3249</v>
      </c>
      <c r="C3265" s="9" t="s">
        <v>3418</v>
      </c>
      <c r="D3265" s="6">
        <v>953.54</v>
      </c>
      <c r="F3265">
        <v>100</v>
      </c>
    </row>
    <row r="3266" spans="1:6" x14ac:dyDescent="0.2">
      <c r="A3266" s="2" t="str">
        <f>"5997960573338"</f>
        <v>5997960573338</v>
      </c>
      <c r="B3266" s="1" t="s">
        <v>3250</v>
      </c>
      <c r="C3266" s="9" t="s">
        <v>3418</v>
      </c>
      <c r="D3266" s="6">
        <v>948.99</v>
      </c>
      <c r="F3266">
        <v>100</v>
      </c>
    </row>
    <row r="3267" spans="1:6" x14ac:dyDescent="0.2">
      <c r="A3267" s="2" t="str">
        <f>"5997960569355"</f>
        <v>5997960569355</v>
      </c>
      <c r="B3267" s="1" t="s">
        <v>3251</v>
      </c>
      <c r="C3267" s="9" t="s">
        <v>3418</v>
      </c>
      <c r="D3267" s="6">
        <v>250.53</v>
      </c>
      <c r="F3267">
        <v>100</v>
      </c>
    </row>
    <row r="3268" spans="1:6" x14ac:dyDescent="0.2">
      <c r="A3268" s="2" t="str">
        <f>"5997960567283"</f>
        <v>5997960567283</v>
      </c>
      <c r="B3268" s="1" t="s">
        <v>3252</v>
      </c>
      <c r="C3268" s="9" t="s">
        <v>3418</v>
      </c>
      <c r="D3268" s="6">
        <v>245.22</v>
      </c>
      <c r="F3268">
        <v>100</v>
      </c>
    </row>
    <row r="3269" spans="1:6" x14ac:dyDescent="0.2">
      <c r="A3269" s="2" t="str">
        <f>"5997960564244"</f>
        <v>5997960564244</v>
      </c>
      <c r="B3269" s="1" t="s">
        <v>3253</v>
      </c>
      <c r="C3269" s="9" t="s">
        <v>3418</v>
      </c>
      <c r="D3269" s="6">
        <v>225.01</v>
      </c>
      <c r="F3269">
        <v>100</v>
      </c>
    </row>
    <row r="3270" spans="1:6" x14ac:dyDescent="0.2">
      <c r="A3270" s="2" t="str">
        <f>"5997960568129"</f>
        <v>5997960568129</v>
      </c>
      <c r="B3270" s="1" t="s">
        <v>3254</v>
      </c>
      <c r="C3270" s="9" t="s">
        <v>3418</v>
      </c>
      <c r="D3270" s="6">
        <v>291.23</v>
      </c>
      <c r="F3270">
        <v>100</v>
      </c>
    </row>
    <row r="3271" spans="1:6" x14ac:dyDescent="0.2">
      <c r="A3271" s="2" t="str">
        <f>"8004120042737"</f>
        <v>8004120042737</v>
      </c>
      <c r="B3271" s="1" t="s">
        <v>3255</v>
      </c>
      <c r="C3271" s="9" t="s">
        <v>3443</v>
      </c>
      <c r="D3271" s="6">
        <v>230</v>
      </c>
      <c r="F3271">
        <v>100</v>
      </c>
    </row>
    <row r="3272" spans="1:6" x14ac:dyDescent="0.2">
      <c r="A3272" s="2" t="str">
        <f>"8004120042744"</f>
        <v>8004120042744</v>
      </c>
      <c r="B3272" s="1" t="s">
        <v>3256</v>
      </c>
      <c r="C3272" s="9" t="s">
        <v>3443</v>
      </c>
      <c r="D3272" s="6">
        <v>230</v>
      </c>
      <c r="F3272">
        <v>100</v>
      </c>
    </row>
    <row r="3273" spans="1:6" x14ac:dyDescent="0.2">
      <c r="A3273" s="2" t="str">
        <f>"5999548690215"</f>
        <v>5999548690215</v>
      </c>
      <c r="B3273" s="1" t="s">
        <v>3257</v>
      </c>
      <c r="C3273" s="9" t="s">
        <v>3379</v>
      </c>
      <c r="D3273" s="6">
        <v>141.78</v>
      </c>
      <c r="F3273">
        <v>100</v>
      </c>
    </row>
    <row r="3274" spans="1:6" x14ac:dyDescent="0.2">
      <c r="A3274" s="2" t="str">
        <f>"5999548690802"</f>
        <v>5999548690802</v>
      </c>
      <c r="B3274" s="1" t="s">
        <v>3258</v>
      </c>
      <c r="C3274" s="9" t="s">
        <v>3376</v>
      </c>
      <c r="D3274" s="6">
        <v>142.25</v>
      </c>
      <c r="F3274">
        <v>100</v>
      </c>
    </row>
    <row r="3275" spans="1:6" x14ac:dyDescent="0.2">
      <c r="A3275" s="2" t="str">
        <f>"4015400481836"</f>
        <v>4015400481836</v>
      </c>
      <c r="B3275" s="1" t="s">
        <v>3259</v>
      </c>
      <c r="C3275" s="9" t="s">
        <v>3418</v>
      </c>
      <c r="D3275" s="6">
        <v>199.25</v>
      </c>
      <c r="F3275">
        <v>100</v>
      </c>
    </row>
    <row r="3276" spans="1:6" x14ac:dyDescent="0.2">
      <c r="A3276" s="2" t="str">
        <f>"9005800243283"</f>
        <v>9005800243283</v>
      </c>
      <c r="B3276" s="1" t="s">
        <v>3260</v>
      </c>
      <c r="C3276" s="9" t="s">
        <v>3418</v>
      </c>
      <c r="D3276" s="6">
        <v>405.2</v>
      </c>
      <c r="F3276">
        <v>100</v>
      </c>
    </row>
    <row r="3277" spans="1:6" x14ac:dyDescent="0.2">
      <c r="A3277" s="2" t="str">
        <f>"9005800291871"</f>
        <v>9005800291871</v>
      </c>
      <c r="B3277" s="1" t="s">
        <v>3261</v>
      </c>
      <c r="C3277" s="9" t="s">
        <v>3418</v>
      </c>
      <c r="D3277" s="6">
        <v>355</v>
      </c>
      <c r="F3277">
        <v>100</v>
      </c>
    </row>
    <row r="3278" spans="1:6" x14ac:dyDescent="0.2">
      <c r="A3278" s="2" t="str">
        <f>"4005808255986"</f>
        <v>4005808255986</v>
      </c>
      <c r="B3278" s="1" t="s">
        <v>3262</v>
      </c>
      <c r="C3278" s="9" t="s">
        <v>3418</v>
      </c>
      <c r="D3278" s="6">
        <v>423.67</v>
      </c>
      <c r="F3278">
        <v>100</v>
      </c>
    </row>
    <row r="3279" spans="1:6" x14ac:dyDescent="0.2">
      <c r="A3279" s="2" t="str">
        <f>"4005808255832"</f>
        <v>4005808255832</v>
      </c>
      <c r="B3279" s="1" t="s">
        <v>3263</v>
      </c>
      <c r="C3279" s="9" t="s">
        <v>3418</v>
      </c>
      <c r="D3279" s="6">
        <v>435</v>
      </c>
      <c r="F3279">
        <v>100</v>
      </c>
    </row>
    <row r="3280" spans="1:6" x14ac:dyDescent="0.2">
      <c r="A3280" s="2" t="str">
        <f>"4005808751310"</f>
        <v>4005808751310</v>
      </c>
      <c r="B3280" s="1" t="s">
        <v>3264</v>
      </c>
      <c r="C3280" s="9" t="s">
        <v>3418</v>
      </c>
      <c r="D3280" s="6">
        <v>490.68</v>
      </c>
      <c r="F3280">
        <v>100</v>
      </c>
    </row>
    <row r="3281" spans="1:6" x14ac:dyDescent="0.2">
      <c r="A3281" s="2" t="str">
        <f>"42243199     "</f>
        <v xml:space="preserve">42243199     </v>
      </c>
      <c r="B3281" s="1" t="s">
        <v>3265</v>
      </c>
      <c r="C3281" s="9" t="s">
        <v>3441</v>
      </c>
      <c r="D3281" s="6">
        <v>368.28</v>
      </c>
      <c r="F3281">
        <v>100</v>
      </c>
    </row>
    <row r="3282" spans="1:6" x14ac:dyDescent="0.2">
      <c r="A3282" s="2" t="str">
        <f>"4005808134830"</f>
        <v>4005808134830</v>
      </c>
      <c r="B3282" s="1" t="s">
        <v>3266</v>
      </c>
      <c r="C3282" s="9" t="s">
        <v>3389</v>
      </c>
      <c r="D3282" s="6">
        <v>0</v>
      </c>
      <c r="F3282">
        <v>100</v>
      </c>
    </row>
    <row r="3283" spans="1:6" x14ac:dyDescent="0.2">
      <c r="A3283" s="2" t="str">
        <f>"3574661329833"</f>
        <v>3574661329833</v>
      </c>
      <c r="B3283" s="1" t="s">
        <v>3267</v>
      </c>
      <c r="C3283" s="9" t="s">
        <v>3418</v>
      </c>
      <c r="D3283" s="6">
        <v>520.37</v>
      </c>
      <c r="F3283">
        <v>100</v>
      </c>
    </row>
    <row r="3284" spans="1:6" x14ac:dyDescent="0.2">
      <c r="A3284" s="2" t="str">
        <f>"8001090977274"</f>
        <v>8001090977274</v>
      </c>
      <c r="B3284" s="1" t="s">
        <v>3268</v>
      </c>
      <c r="C3284" s="9" t="s">
        <v>3379</v>
      </c>
      <c r="D3284" s="6">
        <v>966</v>
      </c>
      <c r="F3284">
        <v>100</v>
      </c>
    </row>
    <row r="3285" spans="1:6" x14ac:dyDescent="0.2">
      <c r="A3285" s="2" t="str">
        <f>"5995000220013"</f>
        <v>5995000220013</v>
      </c>
      <c r="B3285" s="1" t="s">
        <v>3269</v>
      </c>
      <c r="C3285" s="9" t="s">
        <v>3418</v>
      </c>
      <c r="D3285" s="6">
        <v>278.32</v>
      </c>
      <c r="F3285">
        <v>100</v>
      </c>
    </row>
    <row r="3286" spans="1:6" x14ac:dyDescent="0.2">
      <c r="A3286" s="2" t="str">
        <f>"8693495017633"</f>
        <v>8693495017633</v>
      </c>
      <c r="B3286" s="1" t="s">
        <v>3270</v>
      </c>
      <c r="C3286" s="9" t="s">
        <v>3418</v>
      </c>
      <c r="D3286" s="6">
        <v>342.07</v>
      </c>
      <c r="F3286">
        <v>100</v>
      </c>
    </row>
    <row r="3287" spans="1:6" x14ac:dyDescent="0.2">
      <c r="A3287" s="2" t="str">
        <f>"5996175230975"</f>
        <v>5996175230975</v>
      </c>
      <c r="B3287" s="1" t="s">
        <v>3271</v>
      </c>
      <c r="C3287" s="9" t="s">
        <v>3418</v>
      </c>
      <c r="D3287" s="6">
        <v>295.85000000000002</v>
      </c>
      <c r="F3287">
        <v>100</v>
      </c>
    </row>
    <row r="3288" spans="1:6" x14ac:dyDescent="0.2">
      <c r="A3288" s="2" t="str">
        <f>"9000101024449"</f>
        <v>9000101024449</v>
      </c>
      <c r="B3288" s="1" t="s">
        <v>3272</v>
      </c>
      <c r="C3288" s="9" t="s">
        <v>3418</v>
      </c>
      <c r="D3288" s="6">
        <v>529.01</v>
      </c>
      <c r="F3288">
        <v>100</v>
      </c>
    </row>
    <row r="3289" spans="1:6" x14ac:dyDescent="0.2">
      <c r="A3289" s="2" t="str">
        <f>"3838824159218"</f>
        <v>3838824159218</v>
      </c>
      <c r="B3289" s="1" t="s">
        <v>3273</v>
      </c>
      <c r="C3289" s="9" t="s">
        <v>3418</v>
      </c>
      <c r="D3289" s="6">
        <v>532.59</v>
      </c>
      <c r="F3289">
        <v>100</v>
      </c>
    </row>
    <row r="3290" spans="1:6" x14ac:dyDescent="0.2">
      <c r="A3290" s="2" t="str">
        <f>"9000101231861"</f>
        <v>9000101231861</v>
      </c>
      <c r="B3290" s="1" t="s">
        <v>3274</v>
      </c>
      <c r="C3290" s="9" t="s">
        <v>3418</v>
      </c>
      <c r="D3290" s="6">
        <v>529.01</v>
      </c>
      <c r="F3290">
        <v>100</v>
      </c>
    </row>
    <row r="3291" spans="1:6" x14ac:dyDescent="0.2">
      <c r="A3291" s="2" t="str">
        <f>"9000101024135"</f>
        <v>9000101024135</v>
      </c>
      <c r="B3291" s="1" t="s">
        <v>3275</v>
      </c>
      <c r="C3291" s="9" t="s">
        <v>3418</v>
      </c>
      <c r="D3291" s="6">
        <v>529.01</v>
      </c>
      <c r="F3291">
        <v>100</v>
      </c>
    </row>
    <row r="3292" spans="1:6" x14ac:dyDescent="0.2">
      <c r="A3292" s="2" t="str">
        <f>"9000100883085"</f>
        <v>9000100883085</v>
      </c>
      <c r="B3292" s="1" t="s">
        <v>3276</v>
      </c>
      <c r="C3292" s="9" t="s">
        <v>3418</v>
      </c>
      <c r="D3292" s="6">
        <v>544.1</v>
      </c>
      <c r="F3292">
        <v>100</v>
      </c>
    </row>
    <row r="3293" spans="1:6" x14ac:dyDescent="0.2">
      <c r="A3293" s="2" t="str">
        <f>"3838824218601"</f>
        <v>3838824218601</v>
      </c>
      <c r="B3293" s="1" t="s">
        <v>3277</v>
      </c>
      <c r="C3293" s="9" t="s">
        <v>3418</v>
      </c>
      <c r="D3293" s="6">
        <v>545</v>
      </c>
      <c r="F3293">
        <v>100</v>
      </c>
    </row>
    <row r="3294" spans="1:6" x14ac:dyDescent="0.2">
      <c r="A3294" s="2" t="str">
        <f>"8714789639987"</f>
        <v>8714789639987</v>
      </c>
      <c r="B3294" s="1" t="s">
        <v>3278</v>
      </c>
      <c r="C3294" s="9" t="s">
        <v>3418</v>
      </c>
      <c r="D3294" s="6">
        <v>347.07</v>
      </c>
      <c r="F3294">
        <v>100</v>
      </c>
    </row>
    <row r="3295" spans="1:6" x14ac:dyDescent="0.2">
      <c r="A3295" s="2" t="str">
        <f>"8693495046589"</f>
        <v>8693495046589</v>
      </c>
      <c r="B3295" s="1" t="s">
        <v>3279</v>
      </c>
      <c r="C3295" s="9" t="s">
        <v>3418</v>
      </c>
      <c r="D3295" s="6">
        <v>95</v>
      </c>
      <c r="F3295">
        <v>100</v>
      </c>
    </row>
    <row r="3296" spans="1:6" x14ac:dyDescent="0.2">
      <c r="A3296" s="2" t="str">
        <f>"8693495050098"</f>
        <v>8693495050098</v>
      </c>
      <c r="B3296" s="1" t="s">
        <v>3280</v>
      </c>
      <c r="C3296" s="9" t="s">
        <v>3418</v>
      </c>
      <c r="D3296" s="6">
        <v>94.83</v>
      </c>
      <c r="F3296">
        <v>100</v>
      </c>
    </row>
    <row r="3297" spans="1:6" x14ac:dyDescent="0.2">
      <c r="A3297" s="2" t="str">
        <f>"8718951128422"</f>
        <v>8718951128422</v>
      </c>
      <c r="B3297" s="1" t="s">
        <v>3281</v>
      </c>
      <c r="C3297" s="9" t="s">
        <v>3389</v>
      </c>
      <c r="D3297" s="6">
        <v>0</v>
      </c>
      <c r="F3297">
        <v>100</v>
      </c>
    </row>
    <row r="3298" spans="1:6" x14ac:dyDescent="0.2">
      <c r="A3298" s="2" t="str">
        <f>"8718951068476"</f>
        <v>8718951068476</v>
      </c>
      <c r="B3298" s="1" t="s">
        <v>3282</v>
      </c>
      <c r="C3298" s="9" t="s">
        <v>3418</v>
      </c>
      <c r="D3298" s="6">
        <v>285</v>
      </c>
      <c r="F3298">
        <v>100</v>
      </c>
    </row>
    <row r="3299" spans="1:6" x14ac:dyDescent="0.2">
      <c r="A3299" s="2" t="str">
        <f>"9000101315899"</f>
        <v>9000101315899</v>
      </c>
      <c r="B3299" s="1" t="s">
        <v>3283</v>
      </c>
      <c r="C3299" s="9" t="s">
        <v>3379</v>
      </c>
      <c r="D3299" s="6">
        <v>699</v>
      </c>
      <c r="F3299">
        <v>100</v>
      </c>
    </row>
    <row r="3300" spans="1:6" x14ac:dyDescent="0.2">
      <c r="A3300" s="2" t="str">
        <f>"9000101326529"</f>
        <v>9000101326529</v>
      </c>
      <c r="B3300" s="1" t="s">
        <v>3284</v>
      </c>
      <c r="C3300" s="9" t="s">
        <v>3389</v>
      </c>
      <c r="D3300" s="6">
        <v>0</v>
      </c>
      <c r="F3300">
        <v>100</v>
      </c>
    </row>
    <row r="3301" spans="1:6" x14ac:dyDescent="0.2">
      <c r="A3301" s="2" t="str">
        <f>"9000101326802"</f>
        <v>9000101326802</v>
      </c>
      <c r="B3301" s="1" t="s">
        <v>3285</v>
      </c>
      <c r="C3301" s="9" t="s">
        <v>3389</v>
      </c>
      <c r="D3301" s="6">
        <v>0</v>
      </c>
      <c r="F3301">
        <v>100</v>
      </c>
    </row>
    <row r="3302" spans="1:6" x14ac:dyDescent="0.2">
      <c r="A3302" s="2" t="str">
        <f>"9000101326567"</f>
        <v>9000101326567</v>
      </c>
      <c r="B3302" s="1" t="s">
        <v>3286</v>
      </c>
      <c r="C3302" s="9" t="s">
        <v>3418</v>
      </c>
      <c r="D3302" s="6">
        <v>607.44000000000005</v>
      </c>
      <c r="F3302">
        <v>100</v>
      </c>
    </row>
    <row r="3303" spans="1:6" x14ac:dyDescent="0.2">
      <c r="A3303" s="2" t="str">
        <f>"5999548880104"</f>
        <v>5999548880104</v>
      </c>
      <c r="B3303" s="1" t="s">
        <v>3287</v>
      </c>
      <c r="C3303" s="9" t="s">
        <v>3379</v>
      </c>
      <c r="D3303" s="6">
        <v>141.13</v>
      </c>
      <c r="F3303">
        <v>100</v>
      </c>
    </row>
    <row r="3304" spans="1:6" x14ac:dyDescent="0.2">
      <c r="A3304" s="2" t="str">
        <f>"90005671     "</f>
        <v xml:space="preserve">90005671     </v>
      </c>
      <c r="B3304" s="1" t="s">
        <v>3288</v>
      </c>
      <c r="C3304" s="9" t="s">
        <v>3418</v>
      </c>
      <c r="D3304" s="6">
        <v>337.4</v>
      </c>
      <c r="F3304">
        <v>100</v>
      </c>
    </row>
    <row r="3305" spans="1:6" x14ac:dyDescent="0.2">
      <c r="A3305" s="2" t="str">
        <f>"90407154     "</f>
        <v xml:space="preserve">90407154     </v>
      </c>
      <c r="B3305" s="1" t="s">
        <v>3289</v>
      </c>
      <c r="C3305" s="9" t="s">
        <v>3418</v>
      </c>
      <c r="D3305" s="6">
        <v>329.01</v>
      </c>
      <c r="F3305">
        <v>100</v>
      </c>
    </row>
    <row r="3306" spans="1:6" x14ac:dyDescent="0.2">
      <c r="A3306" s="2" t="str">
        <f>"9000101026832"</f>
        <v>9000101026832</v>
      </c>
      <c r="B3306" s="1" t="s">
        <v>3290</v>
      </c>
      <c r="C3306" s="9" t="s">
        <v>3418</v>
      </c>
      <c r="D3306" s="6">
        <v>329.01</v>
      </c>
      <c r="F3306">
        <v>100</v>
      </c>
    </row>
    <row r="3307" spans="1:6" x14ac:dyDescent="0.2">
      <c r="A3307" s="2" t="str">
        <f>"9000100986977"</f>
        <v>9000100986977</v>
      </c>
      <c r="B3307" s="1" t="s">
        <v>3291</v>
      </c>
      <c r="C3307" s="9" t="s">
        <v>3418</v>
      </c>
      <c r="D3307" s="6">
        <v>354</v>
      </c>
      <c r="F3307">
        <v>100</v>
      </c>
    </row>
    <row r="3308" spans="1:6" x14ac:dyDescent="0.2">
      <c r="A3308" s="2" t="str">
        <f>"9000101341935"</f>
        <v>9000101341935</v>
      </c>
      <c r="B3308" s="1" t="s">
        <v>3292</v>
      </c>
      <c r="C3308" s="9" t="s">
        <v>3418</v>
      </c>
      <c r="D3308" s="6">
        <v>329.01</v>
      </c>
      <c r="F3308">
        <v>100</v>
      </c>
    </row>
    <row r="3309" spans="1:6" x14ac:dyDescent="0.2">
      <c r="A3309" s="2" t="str">
        <f>"9000100829434"</f>
        <v>9000100829434</v>
      </c>
      <c r="B3309" s="1" t="s">
        <v>3293</v>
      </c>
      <c r="C3309" s="9" t="s">
        <v>3418</v>
      </c>
      <c r="D3309" s="6">
        <v>244.35</v>
      </c>
      <c r="F3309">
        <v>100</v>
      </c>
    </row>
    <row r="3310" spans="1:6" x14ac:dyDescent="0.2">
      <c r="A3310" s="2" t="str">
        <f>"8594193500529"</f>
        <v>8594193500529</v>
      </c>
      <c r="B3310" s="1" t="s">
        <v>3142</v>
      </c>
      <c r="C3310" s="9" t="s">
        <v>3389</v>
      </c>
      <c r="D3310" s="6">
        <v>0</v>
      </c>
      <c r="F3310">
        <v>100</v>
      </c>
    </row>
    <row r="3311" spans="1:6" x14ac:dyDescent="0.2">
      <c r="A3311" s="2" t="str">
        <f>"4012800567658"</f>
        <v>4012800567658</v>
      </c>
      <c r="B3311" s="1" t="s">
        <v>3294</v>
      </c>
      <c r="C3311" s="9" t="s">
        <v>3418</v>
      </c>
      <c r="D3311" s="6">
        <v>385</v>
      </c>
      <c r="F3311">
        <v>100</v>
      </c>
    </row>
    <row r="3312" spans="1:6" x14ac:dyDescent="0.2">
      <c r="A3312" s="2" t="str">
        <f>"9000100790093"</f>
        <v>9000100790093</v>
      </c>
      <c r="B3312" s="1" t="s">
        <v>3295</v>
      </c>
      <c r="C3312" s="9" t="s">
        <v>3418</v>
      </c>
      <c r="D3312" s="6">
        <v>384.79</v>
      </c>
      <c r="F3312">
        <v>100</v>
      </c>
    </row>
    <row r="3313" spans="1:6" x14ac:dyDescent="0.2">
      <c r="A3313" s="2" t="str">
        <f>"9000101228939"</f>
        <v>9000101228939</v>
      </c>
      <c r="B3313" s="1" t="s">
        <v>3296</v>
      </c>
      <c r="C3313" s="9" t="s">
        <v>3418</v>
      </c>
      <c r="D3313" s="6">
        <v>385</v>
      </c>
      <c r="F3313">
        <v>100</v>
      </c>
    </row>
    <row r="3314" spans="1:6" x14ac:dyDescent="0.2">
      <c r="A3314" s="2" t="str">
        <f>"9000101091687"</f>
        <v>9000101091687</v>
      </c>
      <c r="B3314" s="1" t="s">
        <v>3297</v>
      </c>
      <c r="C3314" s="9" t="s">
        <v>3418</v>
      </c>
      <c r="D3314" s="6">
        <v>362.28</v>
      </c>
      <c r="F3314">
        <v>100</v>
      </c>
    </row>
    <row r="3315" spans="1:6" x14ac:dyDescent="0.2">
      <c r="A3315" s="2" t="str">
        <f>"9000101090710"</f>
        <v>9000101090710</v>
      </c>
      <c r="B3315" s="1" t="s">
        <v>3298</v>
      </c>
      <c r="C3315" s="9" t="s">
        <v>3418</v>
      </c>
      <c r="D3315" s="6">
        <v>763.65</v>
      </c>
      <c r="F3315">
        <v>100</v>
      </c>
    </row>
    <row r="3316" spans="1:6" x14ac:dyDescent="0.2">
      <c r="A3316" s="2" t="str">
        <f>"9000101090871"</f>
        <v>9000101090871</v>
      </c>
      <c r="B3316" s="1" t="s">
        <v>3299</v>
      </c>
      <c r="C3316" s="9" t="s">
        <v>3418</v>
      </c>
      <c r="D3316" s="6">
        <v>368</v>
      </c>
      <c r="F3316">
        <v>100</v>
      </c>
    </row>
    <row r="3317" spans="1:6" x14ac:dyDescent="0.2">
      <c r="A3317" s="2" t="str">
        <f>"9000101090956"</f>
        <v>9000101090956</v>
      </c>
      <c r="B3317" s="1" t="s">
        <v>3300</v>
      </c>
      <c r="C3317" s="9" t="s">
        <v>3418</v>
      </c>
      <c r="D3317" s="6">
        <v>715.28</v>
      </c>
      <c r="F3317">
        <v>100</v>
      </c>
    </row>
    <row r="3318" spans="1:6" x14ac:dyDescent="0.2">
      <c r="A3318" s="2" t="str">
        <f>"9000101090413"</f>
        <v>9000101090413</v>
      </c>
      <c r="B3318" s="1" t="s">
        <v>3301</v>
      </c>
      <c r="C3318" s="9" t="s">
        <v>3418</v>
      </c>
      <c r="D3318" s="6">
        <v>390.25</v>
      </c>
      <c r="F3318">
        <v>100</v>
      </c>
    </row>
    <row r="3319" spans="1:6" x14ac:dyDescent="0.2">
      <c r="A3319" s="2" t="str">
        <f>"9000101090291"</f>
        <v>9000101090291</v>
      </c>
      <c r="B3319" s="1" t="s">
        <v>3302</v>
      </c>
      <c r="C3319" s="9" t="s">
        <v>3418</v>
      </c>
      <c r="D3319" s="6">
        <v>389.57</v>
      </c>
      <c r="F3319">
        <v>100</v>
      </c>
    </row>
    <row r="3320" spans="1:6" x14ac:dyDescent="0.2">
      <c r="A3320" s="2" t="str">
        <f>"9000101091038"</f>
        <v>9000101091038</v>
      </c>
      <c r="B3320" s="1" t="s">
        <v>3303</v>
      </c>
      <c r="C3320" s="9" t="s">
        <v>3418</v>
      </c>
      <c r="D3320" s="6">
        <v>390.68</v>
      </c>
      <c r="F3320">
        <v>100</v>
      </c>
    </row>
    <row r="3321" spans="1:6" x14ac:dyDescent="0.2">
      <c r="A3321" s="2" t="str">
        <f>"9000101092134"</f>
        <v>9000101092134</v>
      </c>
      <c r="B3321" s="1" t="s">
        <v>3304</v>
      </c>
      <c r="C3321" s="9" t="s">
        <v>3418</v>
      </c>
      <c r="D3321" s="6">
        <v>394.84</v>
      </c>
      <c r="F3321">
        <v>100</v>
      </c>
    </row>
    <row r="3322" spans="1:6" x14ac:dyDescent="0.2">
      <c r="A3322" s="2" t="str">
        <f>"9000101092097"</f>
        <v>9000101092097</v>
      </c>
      <c r="B3322" s="1" t="s">
        <v>3305</v>
      </c>
      <c r="C3322" s="9" t="s">
        <v>3418</v>
      </c>
      <c r="D3322" s="6">
        <v>680.44</v>
      </c>
      <c r="F3322">
        <v>100</v>
      </c>
    </row>
    <row r="3323" spans="1:6" x14ac:dyDescent="0.2">
      <c r="A3323" s="2" t="str">
        <f>"5999079577771"</f>
        <v>5999079577771</v>
      </c>
      <c r="B3323" s="1" t="s">
        <v>3306</v>
      </c>
      <c r="C3323" s="9" t="s">
        <v>3439</v>
      </c>
      <c r="D3323" s="6">
        <v>195</v>
      </c>
      <c r="F3323">
        <v>100</v>
      </c>
    </row>
    <row r="3324" spans="1:6" x14ac:dyDescent="0.2">
      <c r="A3324" s="2" t="str">
        <f>"5999079577719"</f>
        <v>5999079577719</v>
      </c>
      <c r="B3324" s="1" t="s">
        <v>3307</v>
      </c>
      <c r="C3324" s="9" t="s">
        <v>3443</v>
      </c>
      <c r="D3324" s="6">
        <v>195</v>
      </c>
      <c r="F3324">
        <v>100</v>
      </c>
    </row>
    <row r="3325" spans="1:6" x14ac:dyDescent="0.2">
      <c r="A3325" s="2" t="str">
        <f>"5999079544612"</f>
        <v>5999079544612</v>
      </c>
      <c r="B3325" s="1" t="s">
        <v>3308</v>
      </c>
      <c r="C3325" s="9" t="s">
        <v>3443</v>
      </c>
      <c r="D3325" s="6">
        <v>514.89</v>
      </c>
      <c r="F3325">
        <v>100</v>
      </c>
    </row>
    <row r="3326" spans="1:6" x14ac:dyDescent="0.2">
      <c r="A3326" s="2" t="str">
        <f>"3838824092188"</f>
        <v>3838824092188</v>
      </c>
      <c r="B3326" s="1" t="s">
        <v>3309</v>
      </c>
      <c r="C3326" s="9" t="s">
        <v>3418</v>
      </c>
      <c r="D3326" s="6">
        <v>523</v>
      </c>
      <c r="F3326">
        <v>100</v>
      </c>
    </row>
    <row r="3327" spans="1:6" x14ac:dyDescent="0.2">
      <c r="A3327" s="2" t="str">
        <f>"9000101038897"</f>
        <v>9000101038897</v>
      </c>
      <c r="B3327" s="1" t="s">
        <v>3310</v>
      </c>
      <c r="C3327" s="9" t="s">
        <v>3418</v>
      </c>
      <c r="D3327" s="6">
        <v>533.01</v>
      </c>
      <c r="F3327">
        <v>100</v>
      </c>
    </row>
    <row r="3328" spans="1:6" x14ac:dyDescent="0.2">
      <c r="A3328" s="2" t="str">
        <f>"4015000500821"</f>
        <v>4015000500821</v>
      </c>
      <c r="B3328" s="1" t="s">
        <v>3311</v>
      </c>
      <c r="C3328" s="9" t="s">
        <v>3418</v>
      </c>
      <c r="D3328" s="6">
        <v>533.42999999999995</v>
      </c>
      <c r="F3328">
        <v>100</v>
      </c>
    </row>
    <row r="3329" spans="1:6" x14ac:dyDescent="0.2">
      <c r="A3329" s="2" t="str">
        <f>"5999503534417"</f>
        <v>5999503534417</v>
      </c>
      <c r="B3329" s="1" t="s">
        <v>3312</v>
      </c>
      <c r="C3329" s="9" t="s">
        <v>3379</v>
      </c>
      <c r="D3329" s="6">
        <v>99</v>
      </c>
      <c r="F3329">
        <v>100</v>
      </c>
    </row>
    <row r="3330" spans="1:6" x14ac:dyDescent="0.2">
      <c r="A3330" s="2" t="str">
        <f>"9000101358438"</f>
        <v>9000101358438</v>
      </c>
      <c r="B3330" s="1" t="s">
        <v>3313</v>
      </c>
      <c r="C3330" s="9" t="s">
        <v>3418</v>
      </c>
      <c r="D3330" s="6">
        <v>735</v>
      </c>
      <c r="F3330">
        <v>100</v>
      </c>
    </row>
    <row r="3331" spans="1:6" x14ac:dyDescent="0.2">
      <c r="A3331" s="2" t="str">
        <f>"9000101314205"</f>
        <v>9000101314205</v>
      </c>
      <c r="B3331" s="1" t="s">
        <v>3314</v>
      </c>
      <c r="C3331" s="9" t="s">
        <v>3418</v>
      </c>
      <c r="D3331" s="6">
        <v>749.92</v>
      </c>
      <c r="F3331">
        <v>100</v>
      </c>
    </row>
    <row r="3332" spans="1:6" x14ac:dyDescent="0.2">
      <c r="A3332" s="2" t="str">
        <f>"9000101363906"</f>
        <v>9000101363906</v>
      </c>
      <c r="B3332" s="1" t="s">
        <v>3315</v>
      </c>
      <c r="C3332" s="9" t="s">
        <v>3418</v>
      </c>
      <c r="D3332" s="6">
        <v>732.69</v>
      </c>
      <c r="F3332">
        <v>100</v>
      </c>
    </row>
    <row r="3333" spans="1:6" x14ac:dyDescent="0.2">
      <c r="A3333" s="2" t="str">
        <f>"8595159807973"</f>
        <v>8595159807973</v>
      </c>
      <c r="B3333" s="1" t="s">
        <v>3316</v>
      </c>
      <c r="C3333" s="9" t="s">
        <v>3380</v>
      </c>
      <c r="D3333" s="6">
        <v>189.23</v>
      </c>
      <c r="F3333">
        <v>100</v>
      </c>
    </row>
    <row r="3334" spans="1:6" x14ac:dyDescent="0.2">
      <c r="A3334" s="2" t="str">
        <f>"5999883231623"</f>
        <v>5999883231623</v>
      </c>
      <c r="B3334" s="1" t="s">
        <v>3317</v>
      </c>
      <c r="C3334" s="9" t="s">
        <v>3440</v>
      </c>
      <c r="D3334" s="6">
        <v>154.69999999999999</v>
      </c>
      <c r="F3334">
        <v>100</v>
      </c>
    </row>
    <row r="3335" spans="1:6" x14ac:dyDescent="0.2">
      <c r="A3335" s="2" t="str">
        <f>"5997842507161"</f>
        <v>5997842507161</v>
      </c>
      <c r="B3335" s="1" t="s">
        <v>3318</v>
      </c>
      <c r="C3335" s="9" t="s">
        <v>3421</v>
      </c>
      <c r="D3335" s="6">
        <v>263.99</v>
      </c>
      <c r="F3335">
        <v>100</v>
      </c>
    </row>
    <row r="3336" spans="1:6" x14ac:dyDescent="0.2">
      <c r="A3336" s="2" t="str">
        <f>"5997321747231"</f>
        <v>5997321747231</v>
      </c>
      <c r="B3336" s="1" t="s">
        <v>3319</v>
      </c>
      <c r="C3336" s="9" t="s">
        <v>3418</v>
      </c>
      <c r="D3336" s="6">
        <v>391.47</v>
      </c>
      <c r="F3336">
        <v>100</v>
      </c>
    </row>
    <row r="3337" spans="1:6" x14ac:dyDescent="0.2">
      <c r="A3337" s="2" t="str">
        <f>"5990795444415"</f>
        <v>5990795444415</v>
      </c>
      <c r="B3337" s="1" t="s">
        <v>3320</v>
      </c>
      <c r="C3337" s="9" t="s">
        <v>3443</v>
      </c>
      <c r="D3337" s="6">
        <v>335</v>
      </c>
      <c r="F3337">
        <v>100</v>
      </c>
    </row>
    <row r="3338" spans="1:6" x14ac:dyDescent="0.2">
      <c r="A3338" s="2" t="str">
        <f>"5997142101076"</f>
        <v>5997142101076</v>
      </c>
      <c r="B3338" s="1" t="s">
        <v>3321</v>
      </c>
      <c r="C3338" s="9" t="s">
        <v>3376</v>
      </c>
      <c r="D3338" s="6">
        <v>85.82</v>
      </c>
      <c r="F3338">
        <v>100</v>
      </c>
    </row>
    <row r="3339" spans="1:6" x14ac:dyDescent="0.2">
      <c r="A3339" s="2" t="str">
        <f>"8            "</f>
        <v xml:space="preserve">8            </v>
      </c>
      <c r="B3339" s="1" t="s">
        <v>3322</v>
      </c>
      <c r="C3339" s="9" t="s">
        <v>3389</v>
      </c>
      <c r="D3339" s="6">
        <v>0.7</v>
      </c>
      <c r="F3339">
        <v>100</v>
      </c>
    </row>
    <row r="3340" spans="1:6" x14ac:dyDescent="0.2">
      <c r="A3340" s="2" t="str">
        <f>"388          "</f>
        <v xml:space="preserve">388          </v>
      </c>
      <c r="B3340" s="1" t="s">
        <v>3323</v>
      </c>
      <c r="C3340" s="9" t="s">
        <v>3444</v>
      </c>
      <c r="D3340" s="6">
        <v>180</v>
      </c>
      <c r="F3340">
        <v>100</v>
      </c>
    </row>
    <row r="3341" spans="1:6" x14ac:dyDescent="0.2">
      <c r="A3341" s="2" t="str">
        <f>"265          "</f>
        <v xml:space="preserve">265          </v>
      </c>
      <c r="B3341" s="1" t="s">
        <v>3324</v>
      </c>
      <c r="C3341" s="9" t="s">
        <v>3419</v>
      </c>
      <c r="D3341" s="6">
        <v>90.06</v>
      </c>
      <c r="F3341">
        <v>100</v>
      </c>
    </row>
    <row r="3342" spans="1:6" x14ac:dyDescent="0.2">
      <c r="A3342" s="2" t="str">
        <f>"237          "</f>
        <v xml:space="preserve">237          </v>
      </c>
      <c r="B3342" s="1" t="s">
        <v>3325</v>
      </c>
      <c r="C3342" s="9" t="s">
        <v>3444</v>
      </c>
      <c r="D3342" s="6">
        <v>25</v>
      </c>
      <c r="F3342">
        <v>100</v>
      </c>
    </row>
    <row r="3343" spans="1:6" x14ac:dyDescent="0.2">
      <c r="A3343" s="2" t="str">
        <f>"111          "</f>
        <v xml:space="preserve">111          </v>
      </c>
      <c r="B3343" s="1" t="s">
        <v>3326</v>
      </c>
      <c r="C3343" s="9" t="s">
        <v>3445</v>
      </c>
      <c r="D3343" s="6">
        <v>207.62</v>
      </c>
      <c r="F3343">
        <v>100</v>
      </c>
    </row>
    <row r="3344" spans="1:6" x14ac:dyDescent="0.2">
      <c r="A3344" s="2" t="str">
        <f>"224          "</f>
        <v xml:space="preserve">224          </v>
      </c>
      <c r="B3344" s="1" t="s">
        <v>3327</v>
      </c>
      <c r="C3344" s="9" t="s">
        <v>3444</v>
      </c>
      <c r="D3344" s="6">
        <v>543.9</v>
      </c>
      <c r="F3344">
        <v>100</v>
      </c>
    </row>
    <row r="3345" spans="1:6" x14ac:dyDescent="0.2">
      <c r="A3345" s="2" t="str">
        <f>"382          "</f>
        <v xml:space="preserve">382          </v>
      </c>
      <c r="B3345" s="1" t="s">
        <v>3328</v>
      </c>
      <c r="C3345" s="9" t="s">
        <v>3445</v>
      </c>
      <c r="D3345" s="6">
        <v>682.98</v>
      </c>
      <c r="F3345">
        <v>100</v>
      </c>
    </row>
    <row r="3346" spans="1:6" x14ac:dyDescent="0.2">
      <c r="A3346" s="2" t="str">
        <f>"234          "</f>
        <v xml:space="preserve">234          </v>
      </c>
      <c r="B3346" s="1" t="s">
        <v>3329</v>
      </c>
      <c r="C3346" s="9" t="s">
        <v>3444</v>
      </c>
      <c r="D3346" s="6">
        <v>300</v>
      </c>
      <c r="F3346">
        <v>100</v>
      </c>
    </row>
    <row r="3347" spans="1:6" x14ac:dyDescent="0.2">
      <c r="A3347" s="2" t="str">
        <f>"231          "</f>
        <v xml:space="preserve">231          </v>
      </c>
      <c r="B3347" s="1" t="s">
        <v>3330</v>
      </c>
      <c r="C3347" s="9" t="s">
        <v>3445</v>
      </c>
      <c r="D3347" s="6">
        <v>190.63</v>
      </c>
      <c r="F3347">
        <v>100</v>
      </c>
    </row>
    <row r="3348" spans="1:6" x14ac:dyDescent="0.2">
      <c r="A3348" s="2" t="str">
        <f>"257          "</f>
        <v xml:space="preserve">257          </v>
      </c>
      <c r="B3348" s="1" t="s">
        <v>3331</v>
      </c>
      <c r="C3348" s="9" t="s">
        <v>3445</v>
      </c>
      <c r="D3348" s="6">
        <v>610.32000000000005</v>
      </c>
      <c r="F3348">
        <v>100</v>
      </c>
    </row>
    <row r="3349" spans="1:6" x14ac:dyDescent="0.2">
      <c r="A3349" s="2" t="str">
        <f>"89           "</f>
        <v xml:space="preserve">89           </v>
      </c>
      <c r="B3349" s="1" t="s">
        <v>3332</v>
      </c>
      <c r="C3349" s="9" t="s">
        <v>3446</v>
      </c>
      <c r="D3349" s="6">
        <v>400.01</v>
      </c>
      <c r="F3349">
        <v>100</v>
      </c>
    </row>
    <row r="3350" spans="1:6" x14ac:dyDescent="0.2">
      <c r="A3350" s="2" t="str">
        <f>"216          "</f>
        <v xml:space="preserve">216          </v>
      </c>
      <c r="B3350" s="1" t="s">
        <v>3333</v>
      </c>
      <c r="C3350" s="9" t="s">
        <v>3419</v>
      </c>
      <c r="D3350" s="6">
        <v>159</v>
      </c>
      <c r="F3350">
        <v>100</v>
      </c>
    </row>
    <row r="3351" spans="1:6" x14ac:dyDescent="0.2">
      <c r="A3351" s="2" t="str">
        <f>"236          "</f>
        <v xml:space="preserve">236          </v>
      </c>
      <c r="B3351" s="1" t="s">
        <v>3334</v>
      </c>
      <c r="C3351" s="9" t="s">
        <v>3445</v>
      </c>
      <c r="D3351" s="6">
        <v>189</v>
      </c>
      <c r="F3351">
        <v>100</v>
      </c>
    </row>
    <row r="3352" spans="1:6" x14ac:dyDescent="0.2">
      <c r="A3352" s="2" t="str">
        <f>"207          "</f>
        <v xml:space="preserve">207          </v>
      </c>
      <c r="B3352" s="1" t="s">
        <v>3335</v>
      </c>
      <c r="C3352" s="9" t="s">
        <v>3444</v>
      </c>
      <c r="D3352" s="6">
        <v>575.49</v>
      </c>
      <c r="F3352">
        <v>100</v>
      </c>
    </row>
    <row r="3353" spans="1:6" x14ac:dyDescent="0.2">
      <c r="A3353" s="2" t="str">
        <f>"210          "</f>
        <v xml:space="preserve">210          </v>
      </c>
      <c r="B3353" s="1" t="s">
        <v>3336</v>
      </c>
      <c r="C3353" s="9" t="s">
        <v>3445</v>
      </c>
      <c r="D3353" s="6">
        <v>279.89999999999998</v>
      </c>
      <c r="F3353">
        <v>100</v>
      </c>
    </row>
    <row r="3354" spans="1:6" x14ac:dyDescent="0.2">
      <c r="A3354" s="2" t="str">
        <f>"112          "</f>
        <v xml:space="preserve">112          </v>
      </c>
      <c r="B3354" s="1" t="s">
        <v>3337</v>
      </c>
      <c r="C3354" s="9" t="s">
        <v>3444</v>
      </c>
      <c r="D3354" s="6">
        <v>571.97</v>
      </c>
      <c r="F3354">
        <v>100</v>
      </c>
    </row>
    <row r="3355" spans="1:6" x14ac:dyDescent="0.2">
      <c r="A3355" s="2" t="str">
        <f>"144          "</f>
        <v xml:space="preserve">144          </v>
      </c>
      <c r="B3355" s="1" t="s">
        <v>3338</v>
      </c>
      <c r="C3355" s="9" t="s">
        <v>3419</v>
      </c>
      <c r="D3355" s="6">
        <v>241.32</v>
      </c>
      <c r="F3355">
        <v>100</v>
      </c>
    </row>
    <row r="3356" spans="1:6" x14ac:dyDescent="0.2">
      <c r="A3356" s="2" t="str">
        <f>"222          "</f>
        <v xml:space="preserve">222          </v>
      </c>
      <c r="B3356" s="1" t="s">
        <v>3339</v>
      </c>
      <c r="C3356" s="9" t="s">
        <v>3444</v>
      </c>
      <c r="D3356" s="6">
        <v>254</v>
      </c>
      <c r="F3356">
        <v>100</v>
      </c>
    </row>
    <row r="3357" spans="1:6" x14ac:dyDescent="0.2">
      <c r="A3357" s="2" t="str">
        <f>"221          "</f>
        <v xml:space="preserve">221          </v>
      </c>
      <c r="B3357" s="1" t="s">
        <v>3340</v>
      </c>
      <c r="C3357" s="9" t="s">
        <v>3419</v>
      </c>
      <c r="D3357" s="6">
        <v>384.01</v>
      </c>
      <c r="F3357">
        <v>100</v>
      </c>
    </row>
    <row r="3358" spans="1:6" x14ac:dyDescent="0.2">
      <c r="A3358" s="2" t="str">
        <f>"262          "</f>
        <v xml:space="preserve">262          </v>
      </c>
      <c r="B3358" s="1" t="s">
        <v>3341</v>
      </c>
      <c r="C3358" s="9" t="s">
        <v>3444</v>
      </c>
      <c r="D3358" s="6">
        <v>244.59</v>
      </c>
      <c r="F3358">
        <v>100</v>
      </c>
    </row>
    <row r="3359" spans="1:6" x14ac:dyDescent="0.2">
      <c r="A3359" s="2" t="str">
        <f>"108          "</f>
        <v xml:space="preserve">108          </v>
      </c>
      <c r="B3359" s="1" t="s">
        <v>3342</v>
      </c>
      <c r="C3359" s="9" t="s">
        <v>3434</v>
      </c>
      <c r="D3359" s="6">
        <v>325</v>
      </c>
      <c r="F3359">
        <v>100</v>
      </c>
    </row>
    <row r="3360" spans="1:6" x14ac:dyDescent="0.2">
      <c r="A3360" s="2" t="str">
        <f>"213          "</f>
        <v xml:space="preserve">213          </v>
      </c>
      <c r="B3360" s="1" t="s">
        <v>3343</v>
      </c>
      <c r="C3360" s="9" t="s">
        <v>3419</v>
      </c>
      <c r="D3360" s="6">
        <v>917.5</v>
      </c>
      <c r="F3360">
        <v>100</v>
      </c>
    </row>
    <row r="3361" spans="1:6" x14ac:dyDescent="0.2">
      <c r="A3361" s="2" t="str">
        <f>"258          "</f>
        <v xml:space="preserve">258          </v>
      </c>
      <c r="B3361" s="1" t="s">
        <v>3344</v>
      </c>
      <c r="C3361" s="9" t="s">
        <v>3445</v>
      </c>
      <c r="D3361" s="6">
        <v>486</v>
      </c>
      <c r="F3361">
        <v>100</v>
      </c>
    </row>
    <row r="3362" spans="1:6" x14ac:dyDescent="0.2">
      <c r="A3362" s="2" t="str">
        <f>"106          "</f>
        <v xml:space="preserve">106          </v>
      </c>
      <c r="B3362" s="1" t="s">
        <v>3345</v>
      </c>
      <c r="C3362" s="9" t="s">
        <v>3444</v>
      </c>
      <c r="D3362" s="6">
        <v>526.04</v>
      </c>
      <c r="F3362">
        <v>100</v>
      </c>
    </row>
    <row r="3363" spans="1:6" x14ac:dyDescent="0.2">
      <c r="A3363" s="2" t="str">
        <f>"316          "</f>
        <v xml:space="preserve">316          </v>
      </c>
      <c r="B3363" s="1" t="s">
        <v>3346</v>
      </c>
      <c r="C3363" s="9" t="s">
        <v>3444</v>
      </c>
      <c r="D3363" s="6">
        <v>514.29999999999995</v>
      </c>
      <c r="F3363">
        <v>100</v>
      </c>
    </row>
    <row r="3364" spans="1:6" x14ac:dyDescent="0.2">
      <c r="A3364" s="2" t="str">
        <f>"212          "</f>
        <v xml:space="preserve">212          </v>
      </c>
      <c r="B3364" s="1" t="s">
        <v>3347</v>
      </c>
      <c r="C3364" s="9" t="s">
        <v>3444</v>
      </c>
      <c r="D3364" s="6">
        <v>542.74</v>
      </c>
      <c r="F3364">
        <v>100</v>
      </c>
    </row>
    <row r="3365" spans="1:6" x14ac:dyDescent="0.2">
      <c r="A3365" s="2" t="str">
        <f>"230          "</f>
        <v xml:space="preserve">230          </v>
      </c>
      <c r="B3365" s="1" t="s">
        <v>3348</v>
      </c>
      <c r="C3365" s="9" t="s">
        <v>3444</v>
      </c>
      <c r="D3365" s="6">
        <v>188</v>
      </c>
      <c r="F3365">
        <v>100</v>
      </c>
    </row>
    <row r="3366" spans="1:6" x14ac:dyDescent="0.2">
      <c r="A3366" s="2" t="str">
        <f>"987          "</f>
        <v xml:space="preserve">987          </v>
      </c>
      <c r="B3366" s="1" t="s">
        <v>3349</v>
      </c>
      <c r="C3366" s="9" t="s">
        <v>3445</v>
      </c>
      <c r="D3366" s="6">
        <v>340.19</v>
      </c>
      <c r="F3366">
        <v>100</v>
      </c>
    </row>
    <row r="3367" spans="1:6" x14ac:dyDescent="0.2">
      <c r="A3367" s="2" t="str">
        <f>"1241         "</f>
        <v xml:space="preserve">1241         </v>
      </c>
      <c r="B3367" s="1" t="s">
        <v>3350</v>
      </c>
      <c r="C3367" s="9" t="s">
        <v>3444</v>
      </c>
      <c r="D3367" s="6">
        <v>276.37</v>
      </c>
      <c r="F3367">
        <v>100</v>
      </c>
    </row>
    <row r="3368" spans="1:6" x14ac:dyDescent="0.2">
      <c r="A3368" s="2" t="str">
        <f>"675          "</f>
        <v xml:space="preserve">675          </v>
      </c>
      <c r="B3368" s="1" t="s">
        <v>3351</v>
      </c>
      <c r="C3368" s="9" t="s">
        <v>3444</v>
      </c>
      <c r="D3368" s="6">
        <v>623.67999999999995</v>
      </c>
      <c r="F3368">
        <v>100</v>
      </c>
    </row>
    <row r="3369" spans="1:6" x14ac:dyDescent="0.2">
      <c r="A3369" s="2" t="str">
        <f>"670          "</f>
        <v xml:space="preserve">670          </v>
      </c>
      <c r="B3369" s="1" t="s">
        <v>3352</v>
      </c>
      <c r="C3369" s="9" t="s">
        <v>3444</v>
      </c>
      <c r="D3369" s="6">
        <v>300</v>
      </c>
      <c r="F3369">
        <v>100</v>
      </c>
    </row>
    <row r="3370" spans="1:6" x14ac:dyDescent="0.2">
      <c r="A3370" s="2" t="str">
        <f>"233          "</f>
        <v xml:space="preserve">233          </v>
      </c>
      <c r="B3370" s="1" t="s">
        <v>3353</v>
      </c>
      <c r="C3370" s="9" t="s">
        <v>3444</v>
      </c>
      <c r="D3370" s="6">
        <v>250</v>
      </c>
      <c r="F3370">
        <v>100</v>
      </c>
    </row>
    <row r="3371" spans="1:6" x14ac:dyDescent="0.2">
      <c r="A3371" s="2" t="str">
        <f>"208          "</f>
        <v xml:space="preserve">208          </v>
      </c>
      <c r="B3371" s="1" t="s">
        <v>3354</v>
      </c>
      <c r="C3371" s="9" t="s">
        <v>3444</v>
      </c>
      <c r="D3371" s="6">
        <v>750</v>
      </c>
      <c r="F3371">
        <v>100</v>
      </c>
    </row>
    <row r="3372" spans="1:6" x14ac:dyDescent="0.2">
      <c r="A3372" s="2" t="str">
        <f>"214          "</f>
        <v xml:space="preserve">214          </v>
      </c>
      <c r="B3372" s="1" t="s">
        <v>3355</v>
      </c>
      <c r="C3372" s="9" t="s">
        <v>3444</v>
      </c>
      <c r="D3372" s="6">
        <v>1069.3800000000001</v>
      </c>
      <c r="F3372">
        <v>100</v>
      </c>
    </row>
    <row r="3373" spans="1:6" x14ac:dyDescent="0.2">
      <c r="A3373" s="2" t="str">
        <f>"318          "</f>
        <v xml:space="preserve">318          </v>
      </c>
      <c r="B3373" s="1" t="s">
        <v>3356</v>
      </c>
      <c r="C3373" s="9" t="s">
        <v>3389</v>
      </c>
      <c r="D3373" s="6">
        <v>56.67</v>
      </c>
      <c r="F3373">
        <v>100</v>
      </c>
    </row>
    <row r="3374" spans="1:6" x14ac:dyDescent="0.2">
      <c r="A3374" s="2" t="str">
        <f>"242          "</f>
        <v xml:space="preserve">242          </v>
      </c>
      <c r="B3374" s="1" t="s">
        <v>3357</v>
      </c>
      <c r="C3374" s="9" t="s">
        <v>3444</v>
      </c>
      <c r="D3374" s="6">
        <v>200</v>
      </c>
      <c r="F3374">
        <v>100</v>
      </c>
    </row>
    <row r="3375" spans="1:6" x14ac:dyDescent="0.2">
      <c r="A3375" s="2" t="str">
        <f>"425          "</f>
        <v xml:space="preserve">425          </v>
      </c>
      <c r="B3375" s="1" t="s">
        <v>3358</v>
      </c>
      <c r="C3375" s="9" t="s">
        <v>3444</v>
      </c>
      <c r="D3375" s="6">
        <v>500</v>
      </c>
      <c r="F3375">
        <v>100</v>
      </c>
    </row>
    <row r="3376" spans="1:6" x14ac:dyDescent="0.2">
      <c r="A3376" s="2" t="str">
        <f>"244          "</f>
        <v xml:space="preserve">244          </v>
      </c>
      <c r="B3376" s="1" t="s">
        <v>3359</v>
      </c>
      <c r="C3376" s="9" t="s">
        <v>3419</v>
      </c>
      <c r="D3376" s="6">
        <v>379</v>
      </c>
      <c r="F3376">
        <v>100</v>
      </c>
    </row>
    <row r="3377" spans="1:6" x14ac:dyDescent="0.2">
      <c r="A3377" s="2" t="str">
        <f>"211          "</f>
        <v xml:space="preserve">211          </v>
      </c>
      <c r="B3377" s="1" t="s">
        <v>3360</v>
      </c>
      <c r="C3377" s="9" t="s">
        <v>3389</v>
      </c>
      <c r="D3377" s="6">
        <v>1180</v>
      </c>
      <c r="F3377">
        <v>100</v>
      </c>
    </row>
    <row r="3378" spans="1:6" x14ac:dyDescent="0.2">
      <c r="A3378" s="2" t="str">
        <f>"241          "</f>
        <v xml:space="preserve">241          </v>
      </c>
      <c r="B3378" s="1" t="s">
        <v>3361</v>
      </c>
      <c r="C3378" s="9" t="s">
        <v>3445</v>
      </c>
      <c r="D3378" s="6">
        <v>383.04</v>
      </c>
      <c r="F3378">
        <v>100</v>
      </c>
    </row>
    <row r="3379" spans="1:6" x14ac:dyDescent="0.2">
      <c r="A3379" s="2" t="str">
        <f>"225          "</f>
        <v xml:space="preserve">225          </v>
      </c>
      <c r="B3379" s="1" t="s">
        <v>3362</v>
      </c>
      <c r="C3379" s="9" t="s">
        <v>3419</v>
      </c>
      <c r="D3379" s="6">
        <v>415.2</v>
      </c>
      <c r="F3379">
        <v>100</v>
      </c>
    </row>
    <row r="3380" spans="1:6" x14ac:dyDescent="0.2">
      <c r="A3380" s="2" t="str">
        <f>"1211         "</f>
        <v xml:space="preserve">1211         </v>
      </c>
      <c r="B3380" s="1" t="s">
        <v>3363</v>
      </c>
      <c r="C3380" s="9" t="s">
        <v>3419</v>
      </c>
      <c r="D3380" s="6">
        <v>846.97</v>
      </c>
      <c r="F3380">
        <v>100</v>
      </c>
    </row>
    <row r="3381" spans="1:6" x14ac:dyDescent="0.2">
      <c r="A3381" s="2" t="str">
        <f>"2800770000000"</f>
        <v>2800770000000</v>
      </c>
      <c r="B3381" s="1" t="s">
        <v>3364</v>
      </c>
      <c r="C3381" s="9" t="s">
        <v>3428</v>
      </c>
      <c r="D3381" s="6">
        <v>300</v>
      </c>
      <c r="F3381">
        <v>100</v>
      </c>
    </row>
    <row r="3382" spans="1:6" x14ac:dyDescent="0.2">
      <c r="A3382" s="2" t="str">
        <f>"2800771000000"</f>
        <v>2800771000000</v>
      </c>
      <c r="B3382" s="1" t="s">
        <v>3365</v>
      </c>
      <c r="C3382" s="9" t="s">
        <v>3428</v>
      </c>
      <c r="D3382" s="6">
        <v>438.4</v>
      </c>
      <c r="F3382">
        <v>100</v>
      </c>
    </row>
    <row r="3383" spans="1:6" x14ac:dyDescent="0.2">
      <c r="A3383" s="2" t="str">
        <f>"5998400561045"</f>
        <v>5998400561045</v>
      </c>
      <c r="B3383" s="1" t="s">
        <v>3366</v>
      </c>
      <c r="C3383" s="9" t="s">
        <v>3376</v>
      </c>
      <c r="D3383" s="6">
        <v>205.4</v>
      </c>
      <c r="F3383">
        <v>100</v>
      </c>
    </row>
    <row r="3384" spans="1:6" x14ac:dyDescent="0.2">
      <c r="A3384" s="2" t="str">
        <f>"9771785483067"</f>
        <v>9771785483067</v>
      </c>
      <c r="B3384" s="1" t="s">
        <v>3367</v>
      </c>
      <c r="C3384" s="9" t="s">
        <v>3436</v>
      </c>
      <c r="D3384" s="6">
        <v>159</v>
      </c>
      <c r="F3384">
        <v>100</v>
      </c>
    </row>
    <row r="3385" spans="1:6" x14ac:dyDescent="0.2">
      <c r="A3385" s="2" t="str">
        <f>"5998274311708"</f>
        <v>5998274311708</v>
      </c>
      <c r="B3385" s="1" t="s">
        <v>3368</v>
      </c>
      <c r="C3385" s="9" t="s">
        <v>3374</v>
      </c>
      <c r="D3385" s="6">
        <v>328.83</v>
      </c>
      <c r="F3385">
        <v>100</v>
      </c>
    </row>
    <row r="3386" spans="1:6" x14ac:dyDescent="0.2">
      <c r="A3386" s="2" t="str">
        <f>"5999546172225"</f>
        <v>5999546172225</v>
      </c>
      <c r="B3386" s="1" t="s">
        <v>3369</v>
      </c>
      <c r="C3386" s="9" t="s">
        <v>3374</v>
      </c>
      <c r="D3386" s="6">
        <v>229.15</v>
      </c>
      <c r="F3386">
        <v>100</v>
      </c>
    </row>
    <row r="3387" spans="1:6" x14ac:dyDescent="0.2">
      <c r="A3387" s="2" t="str">
        <f>"5998274308999"</f>
        <v>5998274308999</v>
      </c>
      <c r="B3387" s="1" t="s">
        <v>3370</v>
      </c>
      <c r="C3387" s="9" t="s">
        <v>3374</v>
      </c>
      <c r="D3387" s="6">
        <v>474.33</v>
      </c>
      <c r="F3387">
        <v>100</v>
      </c>
    </row>
    <row r="3388" spans="1:6" x14ac:dyDescent="0.2">
      <c r="A3388" s="2" t="str">
        <f>"3800233071689"</f>
        <v>3800233071689</v>
      </c>
      <c r="B3388" s="1" t="s">
        <v>3371</v>
      </c>
      <c r="C3388" s="9" t="s">
        <v>3379</v>
      </c>
      <c r="D3388" s="6">
        <v>217.38</v>
      </c>
      <c r="F3388">
        <v>100</v>
      </c>
    </row>
    <row r="3389" spans="1:6" x14ac:dyDescent="0.2">
      <c r="A3389" s="2"/>
      <c r="C3389" s="9"/>
      <c r="D3389" s="6"/>
    </row>
    <row r="3390" spans="1:6" x14ac:dyDescent="0.2">
      <c r="A3390" s="2"/>
      <c r="C3390" s="9"/>
      <c r="D3390" s="6"/>
    </row>
    <row r="3391" spans="1:6" x14ac:dyDescent="0.2">
      <c r="A3391" s="3"/>
      <c r="B3391" s="5"/>
      <c r="C3391" s="10"/>
      <c r="D3391" s="8"/>
    </row>
    <row r="3392" spans="1:6" x14ac:dyDescent="0.2">
      <c r="A3392" s="2"/>
      <c r="C3392" s="9"/>
      <c r="D3392" s="6"/>
    </row>
    <row r="3393" spans="1:4" x14ac:dyDescent="0.2">
      <c r="A3393" s="3"/>
      <c r="B3393" s="5"/>
      <c r="C3393" s="10"/>
      <c r="D3393" s="8"/>
    </row>
    <row r="3394" spans="1:4" x14ac:dyDescent="0.2">
      <c r="A3394" s="2"/>
      <c r="C3394" s="9"/>
      <c r="D3394" s="6"/>
    </row>
    <row r="3395" spans="1:4" x14ac:dyDescent="0.2">
      <c r="A3395" s="2"/>
      <c r="C3395" s="9"/>
      <c r="D3395" s="6"/>
    </row>
    <row r="3396" spans="1:4" x14ac:dyDescent="0.2">
      <c r="A3396" s="2"/>
      <c r="C3396" s="9"/>
      <c r="D3396" s="6"/>
    </row>
    <row r="3397" spans="1:4" x14ac:dyDescent="0.2">
      <c r="A3397" s="2"/>
      <c r="C3397" s="9"/>
      <c r="D3397" s="6"/>
    </row>
    <row r="3398" spans="1:4" x14ac:dyDescent="0.2">
      <c r="A3398" s="2"/>
      <c r="C3398" s="9"/>
      <c r="D3398" s="6"/>
    </row>
    <row r="3399" spans="1:4" x14ac:dyDescent="0.2">
      <c r="A3399" s="2"/>
      <c r="C3399" s="9"/>
      <c r="D3399" s="6"/>
    </row>
    <row r="3400" spans="1:4" x14ac:dyDescent="0.2">
      <c r="A3400" s="3"/>
      <c r="B3400" s="5"/>
      <c r="C3400" s="10"/>
      <c r="D3400" s="8"/>
    </row>
    <row r="3401" spans="1:4" x14ac:dyDescent="0.2">
      <c r="A3401" s="2"/>
      <c r="C3401" s="9"/>
      <c r="D3401" s="6"/>
    </row>
    <row r="3402" spans="1:4" x14ac:dyDescent="0.2">
      <c r="A3402" s="2"/>
      <c r="C3402" s="9"/>
      <c r="D3402" s="6"/>
    </row>
    <row r="3403" spans="1:4" x14ac:dyDescent="0.2">
      <c r="A3403" s="2"/>
      <c r="C3403" s="9"/>
      <c r="D3403" s="6"/>
    </row>
    <row r="3404" spans="1:4" x14ac:dyDescent="0.2">
      <c r="A3404" s="2"/>
      <c r="C3404" s="9"/>
      <c r="D3404" s="6"/>
    </row>
    <row r="3405" spans="1:4" x14ac:dyDescent="0.2">
      <c r="A3405" s="2"/>
      <c r="C3405" s="9"/>
      <c r="D3405" s="6"/>
    </row>
    <row r="3406" spans="1:4" x14ac:dyDescent="0.2">
      <c r="A3406" s="2"/>
      <c r="C3406" s="9"/>
      <c r="D3406" s="6"/>
    </row>
    <row r="3407" spans="1:4" x14ac:dyDescent="0.2">
      <c r="A3407" s="2"/>
      <c r="C3407" s="9"/>
      <c r="D3407" s="6"/>
    </row>
    <row r="3408" spans="1:4" x14ac:dyDescent="0.2">
      <c r="A3408" s="3"/>
      <c r="B3408" s="5"/>
      <c r="C3408" s="10"/>
      <c r="D3408" s="8"/>
    </row>
    <row r="3409" spans="1:4" x14ac:dyDescent="0.2">
      <c r="A3409" s="2"/>
      <c r="C3409" s="9"/>
      <c r="D3409" s="6"/>
    </row>
    <row r="3410" spans="1:4" x14ac:dyDescent="0.2">
      <c r="A3410" s="2"/>
      <c r="C3410" s="9"/>
      <c r="D3410" s="6"/>
    </row>
    <row r="3411" spans="1:4" x14ac:dyDescent="0.2">
      <c r="A3411" s="2"/>
      <c r="C3411" s="9"/>
      <c r="D3411" s="6"/>
    </row>
    <row r="3412" spans="1:4" x14ac:dyDescent="0.2">
      <c r="A3412" s="2"/>
      <c r="C3412" s="9"/>
      <c r="D3412" s="6"/>
    </row>
    <row r="3413" spans="1:4" x14ac:dyDescent="0.2">
      <c r="A3413" s="2"/>
      <c r="C3413" s="9"/>
      <c r="D3413" s="6"/>
    </row>
    <row r="3414" spans="1:4" x14ac:dyDescent="0.2">
      <c r="A3414" s="2"/>
      <c r="C3414" s="9"/>
      <c r="D3414" s="6"/>
    </row>
    <row r="3415" spans="1:4" x14ac:dyDescent="0.2">
      <c r="A3415" s="2"/>
      <c r="C3415" s="9"/>
      <c r="D3415" s="6"/>
    </row>
    <row r="3416" spans="1:4" x14ac:dyDescent="0.2">
      <c r="A3416" s="3"/>
      <c r="B3416" s="5"/>
      <c r="C3416" s="10"/>
      <c r="D3416" s="8"/>
    </row>
    <row r="3417" spans="1:4" x14ac:dyDescent="0.2">
      <c r="A3417" s="2"/>
      <c r="C3417" s="9"/>
      <c r="D3417" s="6"/>
    </row>
    <row r="3418" spans="1:4" x14ac:dyDescent="0.2">
      <c r="A3418" s="2"/>
      <c r="C3418" s="9"/>
      <c r="D3418" s="6"/>
    </row>
    <row r="3419" spans="1:4" x14ac:dyDescent="0.2">
      <c r="A3419" s="2"/>
      <c r="C3419" s="9"/>
      <c r="D3419" s="6"/>
    </row>
    <row r="3420" spans="1:4" x14ac:dyDescent="0.2">
      <c r="A3420" s="2"/>
      <c r="C3420" s="9"/>
      <c r="D3420" s="6"/>
    </row>
    <row r="3421" spans="1:4" x14ac:dyDescent="0.2">
      <c r="A3421" s="2"/>
      <c r="C3421" s="9"/>
      <c r="D3421" s="6"/>
    </row>
    <row r="3422" spans="1:4" x14ac:dyDescent="0.2">
      <c r="A3422" s="3"/>
      <c r="B3422" s="5"/>
      <c r="C3422" s="10"/>
      <c r="D3422" s="8"/>
    </row>
    <row r="3423" spans="1:4" x14ac:dyDescent="0.2">
      <c r="A3423" s="2"/>
      <c r="C3423" s="9"/>
    </row>
    <row r="3424" spans="1:4" x14ac:dyDescent="0.2">
      <c r="A3424" s="2"/>
      <c r="C3424" s="9"/>
    </row>
    <row r="3425" spans="1:4" x14ac:dyDescent="0.2">
      <c r="A3425" s="2"/>
      <c r="C3425" s="9"/>
    </row>
    <row r="3426" spans="1:4" x14ac:dyDescent="0.2">
      <c r="A3426" s="3"/>
      <c r="B3426" s="5"/>
      <c r="C3426" s="10"/>
      <c r="D3426" s="8"/>
    </row>
    <row r="3427" spans="1:4" x14ac:dyDescent="0.2">
      <c r="A3427" s="2"/>
      <c r="C3427" s="9"/>
    </row>
    <row r="3428" spans="1:4" x14ac:dyDescent="0.2">
      <c r="A3428" s="2"/>
      <c r="C3428" s="9"/>
      <c r="D3428" s="5"/>
    </row>
    <row r="3429" spans="1:4" x14ac:dyDescent="0.2">
      <c r="A3429" s="2"/>
      <c r="C3429" s="9"/>
    </row>
    <row r="3430" spans="1:4" x14ac:dyDescent="0.2">
      <c r="A3430" s="3"/>
      <c r="B3430" s="5"/>
      <c r="C3430" s="10"/>
      <c r="D3430" s="8"/>
    </row>
    <row r="3431" spans="1:4" x14ac:dyDescent="0.2">
      <c r="A3431" s="2"/>
      <c r="C3431" s="9"/>
    </row>
    <row r="3432" spans="1:4" x14ac:dyDescent="0.2">
      <c r="A3432" s="2"/>
      <c r="C3432" s="9"/>
    </row>
    <row r="3433" spans="1:4" x14ac:dyDescent="0.2">
      <c r="A3433" s="2"/>
      <c r="C3433" s="9"/>
    </row>
    <row r="3434" spans="1:4" x14ac:dyDescent="0.2">
      <c r="A3434" s="2"/>
      <c r="C3434" s="9"/>
      <c r="D3434" s="6"/>
    </row>
    <row r="3435" spans="1:4" x14ac:dyDescent="0.2">
      <c r="A3435" s="2"/>
      <c r="C3435" s="9"/>
      <c r="D3435" s="6"/>
    </row>
    <row r="3436" spans="1:4" x14ac:dyDescent="0.2">
      <c r="A3436" s="2"/>
      <c r="C3436" s="9"/>
      <c r="D3436" s="6"/>
    </row>
    <row r="3437" spans="1:4" x14ac:dyDescent="0.2">
      <c r="A3437" s="3"/>
      <c r="B3437" s="5"/>
      <c r="C3437" s="10"/>
      <c r="D3437" s="8"/>
    </row>
    <row r="3438" spans="1:4" x14ac:dyDescent="0.2">
      <c r="A3438" s="2"/>
      <c r="C3438" s="9"/>
      <c r="D3438" s="6"/>
    </row>
    <row r="3439" spans="1:4" x14ac:dyDescent="0.2">
      <c r="A3439" s="3"/>
      <c r="B3439" s="5"/>
      <c r="C3439" s="10"/>
      <c r="D3439" s="8"/>
    </row>
    <row r="3440" spans="1:4" x14ac:dyDescent="0.2">
      <c r="A3440" s="2"/>
      <c r="C3440" s="9"/>
      <c r="D3440" s="6"/>
    </row>
    <row r="3441" spans="1:4" x14ac:dyDescent="0.2">
      <c r="A3441" s="2"/>
      <c r="C3441" s="9"/>
      <c r="D3441" s="6"/>
    </row>
    <row r="3442" spans="1:4" x14ac:dyDescent="0.2">
      <c r="A3442" s="2"/>
      <c r="C3442" s="9"/>
      <c r="D3442" s="6"/>
    </row>
    <row r="3443" spans="1:4" x14ac:dyDescent="0.2">
      <c r="A3443" s="2"/>
      <c r="C3443" s="9"/>
      <c r="D3443" s="6"/>
    </row>
    <row r="3444" spans="1:4" x14ac:dyDescent="0.2">
      <c r="A3444" s="2"/>
      <c r="C3444" s="9"/>
      <c r="D3444" s="6"/>
    </row>
    <row r="3445" spans="1:4" x14ac:dyDescent="0.2">
      <c r="A3445" s="2"/>
      <c r="C3445" s="9"/>
      <c r="D3445" s="6"/>
    </row>
    <row r="3446" spans="1:4" x14ac:dyDescent="0.2">
      <c r="A3446" s="2"/>
      <c r="C3446" s="9"/>
      <c r="D3446" s="6"/>
    </row>
    <row r="3447" spans="1:4" x14ac:dyDescent="0.2">
      <c r="A3447" s="2"/>
      <c r="C3447" s="9"/>
      <c r="D3447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远行客</dc:creator>
  <cp:lastModifiedBy>远行客</cp:lastModifiedBy>
  <dcterms:created xsi:type="dcterms:W3CDTF">2020-09-17T20:54:08Z</dcterms:created>
  <dcterms:modified xsi:type="dcterms:W3CDTF">2020-09-17T21:08:54Z</dcterms:modified>
</cp:coreProperties>
</file>