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urugat/Documents/Apartment/"/>
    </mc:Choice>
  </mc:AlternateContent>
  <bookViews>
    <workbookView xWindow="0" yWindow="460" windowWidth="25600" windowHeight="14440"/>
  </bookViews>
  <sheets>
    <sheet name="Summary" sheetId="4" r:id="rId1"/>
    <sheet name="Income Expense Summary" sheetId="1" r:id="rId2"/>
    <sheet name="Individual wise Details  " sheetId="2" r:id="rId3"/>
    <sheet name="Gym Members and collection" sheetId="3" r:id="rId4"/>
    <sheet name="Gym Spending" sheetId="5" r:id="rId5"/>
    <sheet name="Interest" sheetId="6" r:id="rId6"/>
  </sheets>
  <definedNames>
    <definedName name="_xlnm._FilterDatabase" localSheetId="3" hidden="1">'Gym Members and collection'!$E$1:$E$81</definedName>
    <definedName name="_xlnm._FilterDatabase" localSheetId="2" hidden="1">'Individual wise Details  '!$A$3:$H$39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12" i="1" l="1"/>
  <c r="CA7" i="1"/>
  <c r="CA6" i="1"/>
  <c r="BZ6" i="1"/>
  <c r="CA9" i="1"/>
  <c r="CL81" i="2"/>
  <c r="CK56" i="2"/>
  <c r="CK68" i="2"/>
  <c r="CK49" i="2"/>
  <c r="Y31" i="6"/>
  <c r="BZ9" i="1"/>
  <c r="CB44" i="1"/>
  <c r="CL83" i="2"/>
  <c r="CL41" i="2"/>
  <c r="I44" i="1"/>
  <c r="J44" i="1"/>
  <c r="K44" i="1"/>
  <c r="L44" i="1"/>
  <c r="M17" i="1"/>
  <c r="M44" i="1"/>
  <c r="N44" i="1"/>
  <c r="O21" i="1"/>
  <c r="O44" i="1"/>
  <c r="P12" i="1"/>
  <c r="P26" i="1"/>
  <c r="P44" i="1"/>
  <c r="Q6" i="1"/>
  <c r="Q9" i="1"/>
  <c r="Q10" i="1"/>
  <c r="Q12" i="1"/>
  <c r="Q44" i="1"/>
  <c r="R9" i="1"/>
  <c r="R10" i="1"/>
  <c r="R13" i="1"/>
  <c r="R16" i="1"/>
  <c r="R24" i="1"/>
  <c r="R44" i="1"/>
  <c r="S6" i="1"/>
  <c r="S9" i="1"/>
  <c r="S10" i="1"/>
  <c r="S12" i="1"/>
  <c r="S21" i="1"/>
  <c r="S24" i="1"/>
  <c r="S28" i="1"/>
  <c r="S44" i="1"/>
  <c r="T6" i="1"/>
  <c r="T9" i="1"/>
  <c r="T10" i="1"/>
  <c r="T12" i="1"/>
  <c r="T13" i="1"/>
  <c r="T24" i="1"/>
  <c r="T44" i="1"/>
  <c r="U6" i="1"/>
  <c r="U9" i="1"/>
  <c r="U10" i="1"/>
  <c r="U12" i="1"/>
  <c r="U13" i="1"/>
  <c r="U22" i="1"/>
  <c r="U24" i="1"/>
  <c r="U44" i="1"/>
  <c r="V6" i="1"/>
  <c r="V9" i="1"/>
  <c r="V12" i="1"/>
  <c r="V13" i="1"/>
  <c r="V20" i="1"/>
  <c r="V24" i="1"/>
  <c r="V44" i="1"/>
  <c r="W6" i="1"/>
  <c r="W9" i="1"/>
  <c r="W12" i="1"/>
  <c r="W13" i="1"/>
  <c r="W44" i="1"/>
  <c r="X9" i="1"/>
  <c r="X10" i="1"/>
  <c r="X12" i="1"/>
  <c r="X18" i="1"/>
  <c r="X22" i="1"/>
  <c r="X44" i="1"/>
  <c r="Y9" i="1"/>
  <c r="Y12" i="1"/>
  <c r="Y44" i="1"/>
  <c r="Z9" i="1"/>
  <c r="Z12" i="1"/>
  <c r="Z13" i="1"/>
  <c r="Z22" i="1"/>
  <c r="Z24" i="1"/>
  <c r="Z44" i="1"/>
  <c r="AA8" i="1"/>
  <c r="AA9" i="1"/>
  <c r="AA12" i="1"/>
  <c r="AA13" i="1"/>
  <c r="AA22" i="1"/>
  <c r="AA44" i="1"/>
  <c r="AB9" i="1"/>
  <c r="AB12" i="1"/>
  <c r="AB13" i="1"/>
  <c r="AB44" i="1"/>
  <c r="AC9" i="1"/>
  <c r="AC44" i="1"/>
  <c r="AD9" i="1"/>
  <c r="AD12" i="1"/>
  <c r="AD24" i="1"/>
  <c r="AD44" i="1"/>
  <c r="AE9" i="1"/>
  <c r="AE12" i="1"/>
  <c r="AE13" i="1"/>
  <c r="AE44" i="1"/>
  <c r="AF9" i="1"/>
  <c r="AF12" i="1"/>
  <c r="AF44" i="1"/>
  <c r="AG6" i="1"/>
  <c r="AG7" i="1"/>
  <c r="AG9" i="1"/>
  <c r="AG10" i="1"/>
  <c r="AG11" i="1"/>
  <c r="AG12" i="1"/>
  <c r="AG44" i="1"/>
  <c r="AH9" i="1"/>
  <c r="AH12" i="1"/>
  <c r="AH13" i="1"/>
  <c r="AH18" i="1"/>
  <c r="AH22" i="1"/>
  <c r="AH44" i="1"/>
  <c r="AI9" i="1"/>
  <c r="AI12" i="1"/>
  <c r="AI22" i="1"/>
  <c r="AI44" i="1"/>
  <c r="AJ9" i="1"/>
  <c r="AJ13" i="1"/>
  <c r="AJ21" i="1"/>
  <c r="AJ44" i="1"/>
  <c r="AK7" i="1"/>
  <c r="AK9" i="1"/>
  <c r="AK12" i="1"/>
  <c r="AK13" i="1"/>
  <c r="AK20" i="1"/>
  <c r="AK21" i="1"/>
  <c r="AK44" i="1"/>
  <c r="AL12" i="1"/>
  <c r="AL13" i="1"/>
  <c r="AL22" i="1"/>
  <c r="AL44" i="1"/>
  <c r="AM9" i="1"/>
  <c r="AM12" i="1"/>
  <c r="AM13" i="1"/>
  <c r="AM32" i="1"/>
  <c r="AM44" i="1"/>
  <c r="AN9" i="1"/>
  <c r="AN10" i="1"/>
  <c r="AN12" i="1"/>
  <c r="AN13" i="1"/>
  <c r="AN22" i="1"/>
  <c r="AN30" i="1"/>
  <c r="AN32" i="1"/>
  <c r="AN44" i="1"/>
  <c r="AO9" i="1"/>
  <c r="AO10" i="1"/>
  <c r="AO12" i="1"/>
  <c r="AO13" i="1"/>
  <c r="AO22" i="1"/>
  <c r="AO44" i="1"/>
  <c r="AP9" i="1"/>
  <c r="AP12" i="1"/>
  <c r="AP13" i="1"/>
  <c r="AP22" i="1"/>
  <c r="AP44" i="1"/>
  <c r="AQ9" i="1"/>
  <c r="AQ12" i="1"/>
  <c r="AQ13" i="1"/>
  <c r="AQ31" i="1"/>
  <c r="AQ32" i="1"/>
  <c r="AQ44" i="1"/>
  <c r="AR9" i="1"/>
  <c r="AR10" i="1"/>
  <c r="AR12" i="1"/>
  <c r="AR13" i="1"/>
  <c r="AR44" i="1"/>
  <c r="AS6" i="1"/>
  <c r="AS12" i="1"/>
  <c r="AS13" i="1"/>
  <c r="AS24" i="1"/>
  <c r="AS44" i="1"/>
  <c r="AT9" i="1"/>
  <c r="AT13" i="1"/>
  <c r="AT44" i="1"/>
  <c r="AU8" i="1"/>
  <c r="AU9" i="1"/>
  <c r="AU12" i="1"/>
  <c r="AU13" i="1"/>
  <c r="AU21" i="1"/>
  <c r="AU24" i="1"/>
  <c r="AU44" i="1"/>
  <c r="AV9" i="1"/>
  <c r="AV10" i="1"/>
  <c r="AV12" i="1"/>
  <c r="AV31" i="1"/>
  <c r="AV44" i="1"/>
  <c r="AW6" i="1"/>
  <c r="AW9" i="1"/>
  <c r="AW12" i="1"/>
  <c r="AW13" i="1"/>
  <c r="AW20" i="1"/>
  <c r="AW24" i="1"/>
  <c r="AW44" i="1"/>
  <c r="AX9" i="1"/>
  <c r="AX10" i="1"/>
  <c r="AX12" i="1"/>
  <c r="AX44" i="1"/>
  <c r="AY6" i="1"/>
  <c r="AY7" i="1"/>
  <c r="AY9" i="1"/>
  <c r="AY10" i="1"/>
  <c r="AY12" i="1"/>
  <c r="AY44" i="1"/>
  <c r="AZ9" i="1"/>
  <c r="AZ12" i="1"/>
  <c r="AZ17" i="1"/>
  <c r="AZ44" i="1"/>
  <c r="BA9" i="1"/>
  <c r="BA12" i="1"/>
  <c r="BA44" i="1"/>
  <c r="BB12" i="1"/>
  <c r="BB44" i="1"/>
  <c r="BC9" i="1"/>
  <c r="BC44" i="1"/>
  <c r="BD9" i="1"/>
  <c r="BD10" i="1"/>
  <c r="BD12" i="1"/>
  <c r="BD24" i="1"/>
  <c r="BD44" i="1"/>
  <c r="BE9" i="1"/>
  <c r="BE12" i="1"/>
  <c r="BE20" i="1"/>
  <c r="BE24" i="1"/>
  <c r="BE31" i="1"/>
  <c r="BE44" i="1"/>
  <c r="BF7" i="1"/>
  <c r="BF9" i="1"/>
  <c r="BF10" i="1"/>
  <c r="BF12" i="1"/>
  <c r="BF13" i="1"/>
  <c r="BF44" i="1"/>
  <c r="BG7" i="1"/>
  <c r="BG9" i="1"/>
  <c r="BG13" i="1"/>
  <c r="BG24" i="1"/>
  <c r="BG44" i="1"/>
  <c r="BH8" i="1"/>
  <c r="BH44" i="1"/>
  <c r="BI44" i="1"/>
  <c r="BJ44" i="1"/>
  <c r="BK44" i="1"/>
  <c r="BL44" i="1"/>
  <c r="BM44" i="1"/>
  <c r="BN44" i="1"/>
  <c r="BO6" i="1"/>
  <c r="BO44" i="1"/>
  <c r="BP6" i="1"/>
  <c r="BP7" i="1"/>
  <c r="BP8" i="1"/>
  <c r="BP9" i="1"/>
  <c r="BP44" i="1"/>
  <c r="BQ6" i="1"/>
  <c r="BQ7" i="1"/>
  <c r="BQ8" i="1"/>
  <c r="BQ9" i="1"/>
  <c r="BQ10" i="1"/>
  <c r="BQ12" i="1"/>
  <c r="BQ24" i="1"/>
  <c r="BQ44" i="1"/>
  <c r="BR6" i="1"/>
  <c r="BR7" i="1"/>
  <c r="BR8" i="1"/>
  <c r="BR9" i="1"/>
  <c r="BR12" i="1"/>
  <c r="BR31" i="1"/>
  <c r="BR44" i="1"/>
  <c r="BS6" i="1"/>
  <c r="BS7" i="1"/>
  <c r="BS9" i="1"/>
  <c r="BS12" i="1"/>
  <c r="BS24" i="1"/>
  <c r="BS31" i="1"/>
  <c r="BS44" i="1"/>
  <c r="BT6" i="1"/>
  <c r="BT7" i="1"/>
  <c r="BT8" i="1"/>
  <c r="BT9" i="1"/>
  <c r="BT12" i="1"/>
  <c r="BT44" i="1"/>
  <c r="BU6" i="1"/>
  <c r="BU7" i="1"/>
  <c r="BU8" i="1"/>
  <c r="BU9" i="1"/>
  <c r="BU12" i="1"/>
  <c r="BU13" i="1"/>
  <c r="BU44" i="1"/>
  <c r="BV6" i="1"/>
  <c r="BV7" i="1"/>
  <c r="BV8" i="1"/>
  <c r="BV9" i="1"/>
  <c r="BV12" i="1"/>
  <c r="BV31" i="1"/>
  <c r="BV44" i="1"/>
  <c r="BW6" i="1"/>
  <c r="BW7" i="1"/>
  <c r="BW9" i="1"/>
  <c r="BW11" i="1"/>
  <c r="BW12" i="1"/>
  <c r="BW44" i="1"/>
  <c r="BX6" i="1"/>
  <c r="BX7" i="1"/>
  <c r="BX8" i="1"/>
  <c r="BX9" i="1"/>
  <c r="BX12" i="1"/>
  <c r="BX44" i="1"/>
  <c r="BY6" i="1"/>
  <c r="BY7" i="1"/>
  <c r="BY9" i="1"/>
  <c r="BY12" i="1"/>
  <c r="BY13" i="1"/>
  <c r="BY44" i="1"/>
  <c r="BZ7" i="1"/>
  <c r="BZ8" i="1"/>
  <c r="BZ10" i="1"/>
  <c r="BZ12" i="1"/>
  <c r="BZ44" i="1"/>
  <c r="CA44" i="1"/>
  <c r="F44" i="1"/>
  <c r="CK29" i="2"/>
  <c r="W31" i="6"/>
  <c r="CK81" i="2"/>
  <c r="CJ61" i="2"/>
  <c r="CJ58" i="2"/>
  <c r="CJ76" i="2"/>
  <c r="CJ78" i="2"/>
  <c r="CJ48" i="2"/>
  <c r="CJ81" i="2"/>
  <c r="CI51" i="2"/>
  <c r="CI64" i="2"/>
  <c r="CJ83" i="2"/>
  <c r="CK83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6" i="1"/>
  <c r="CJ41" i="2"/>
  <c r="CK41" i="2"/>
  <c r="CI46" i="2"/>
  <c r="CH48" i="2"/>
  <c r="CH63" i="2"/>
  <c r="CH75" i="2"/>
  <c r="CH83" i="2"/>
  <c r="CI81" i="2"/>
  <c r="CI83" i="2"/>
  <c r="U29" i="6"/>
  <c r="CG69" i="2"/>
  <c r="CG78" i="2"/>
  <c r="CG47" i="2"/>
  <c r="CH41" i="2"/>
  <c r="CI41" i="2"/>
  <c r="CG46" i="2"/>
  <c r="CG70" i="2"/>
  <c r="CG83" i="2"/>
  <c r="S29" i="6"/>
  <c r="CF81" i="2"/>
  <c r="CF69" i="2"/>
  <c r="CF48" i="2"/>
  <c r="CF47" i="2"/>
  <c r="CG41" i="2"/>
  <c r="Q29" i="6"/>
  <c r="CE63" i="2"/>
  <c r="CD76" i="2"/>
  <c r="CE48" i="2"/>
  <c r="CE58" i="2"/>
  <c r="CE59" i="2"/>
  <c r="CE47" i="2"/>
  <c r="CE66" i="2"/>
  <c r="CE81" i="2"/>
  <c r="CD61" i="2"/>
  <c r="CE83" i="2"/>
  <c r="CF83" i="2"/>
  <c r="CE41" i="2"/>
  <c r="CF41" i="2"/>
  <c r="O29" i="6"/>
  <c r="CD81" i="2"/>
  <c r="CD83" i="2"/>
  <c r="CC78" i="2"/>
  <c r="CC53" i="2"/>
  <c r="CD41" i="2"/>
  <c r="K21" i="6"/>
  <c r="M5" i="6"/>
  <c r="CB78" i="2"/>
  <c r="F40" i="2"/>
  <c r="G40" i="2"/>
  <c r="CC46" i="2"/>
  <c r="CB41" i="2"/>
  <c r="CC41" i="2"/>
  <c r="CB59" i="2"/>
  <c r="CB83" i="2"/>
  <c r="CC83" i="2"/>
  <c r="I21" i="6"/>
  <c r="CA83" i="2"/>
  <c r="CA41" i="2"/>
  <c r="BZ41" i="2"/>
  <c r="BZ83" i="2"/>
  <c r="F3" i="2"/>
  <c r="V46" i="2"/>
  <c r="W46" i="2"/>
  <c r="AZ46" i="2"/>
  <c r="BD46" i="2"/>
  <c r="BM46" i="2"/>
  <c r="BN46" i="2"/>
  <c r="BR46" i="2"/>
  <c r="G3" i="2"/>
  <c r="H3" i="2"/>
  <c r="F4" i="2"/>
  <c r="AA47" i="2"/>
  <c r="AF47" i="2"/>
  <c r="AZ47" i="2"/>
  <c r="BA47" i="2"/>
  <c r="BI47" i="2"/>
  <c r="BN47" i="2"/>
  <c r="G4" i="2"/>
  <c r="H4" i="2"/>
  <c r="F5" i="2"/>
  <c r="W48" i="2"/>
  <c r="AF48" i="2"/>
  <c r="G5" i="2"/>
  <c r="H5" i="2"/>
  <c r="F6" i="2"/>
  <c r="AA49" i="2"/>
  <c r="G6" i="2"/>
  <c r="H6" i="2"/>
  <c r="M7" i="2"/>
  <c r="F7" i="2"/>
  <c r="G7" i="2"/>
  <c r="H7" i="2"/>
  <c r="F8" i="2"/>
  <c r="AS51" i="2"/>
  <c r="G8" i="2"/>
  <c r="H8" i="2"/>
  <c r="F9" i="2"/>
  <c r="G9" i="2"/>
  <c r="H9" i="2"/>
  <c r="F10" i="2"/>
  <c r="V53" i="2"/>
  <c r="W53" i="2"/>
  <c r="AA53" i="2"/>
  <c r="AB53" i="2"/>
  <c r="AC53" i="2"/>
  <c r="AD53" i="2"/>
  <c r="AE53" i="2"/>
  <c r="AF53" i="2"/>
  <c r="AH53" i="2"/>
  <c r="AI53" i="2"/>
  <c r="AJ53" i="2"/>
  <c r="AQ53" i="2"/>
  <c r="BD53" i="2"/>
  <c r="BE53" i="2"/>
  <c r="BF53" i="2"/>
  <c r="BG53" i="2"/>
  <c r="BH53" i="2"/>
  <c r="BI53" i="2"/>
  <c r="BJ53" i="2"/>
  <c r="BL53" i="2"/>
  <c r="G10" i="2"/>
  <c r="H10" i="2"/>
  <c r="F11" i="2"/>
  <c r="G11" i="2"/>
  <c r="H11" i="2"/>
  <c r="F12" i="2"/>
  <c r="T55" i="2"/>
  <c r="W55" i="2"/>
  <c r="G12" i="2"/>
  <c r="H12" i="2"/>
  <c r="F13" i="2"/>
  <c r="G13" i="2"/>
  <c r="H13" i="2"/>
  <c r="F14" i="2"/>
  <c r="G14" i="2"/>
  <c r="H14" i="2"/>
  <c r="F15" i="2"/>
  <c r="AT58" i="2"/>
  <c r="AY58" i="2"/>
  <c r="BO58" i="2"/>
  <c r="G15" i="2"/>
  <c r="H15" i="2"/>
  <c r="F16" i="2"/>
  <c r="AA59" i="2"/>
  <c r="AB59" i="2"/>
  <c r="G16" i="2"/>
  <c r="H16" i="2"/>
  <c r="F17" i="2"/>
  <c r="V60" i="2"/>
  <c r="W60" i="2"/>
  <c r="G17" i="2"/>
  <c r="H17" i="2"/>
  <c r="F18" i="2"/>
  <c r="S61" i="2"/>
  <c r="W61" i="2"/>
  <c r="AE61" i="2"/>
  <c r="G18" i="2"/>
  <c r="H18" i="2"/>
  <c r="F19" i="2"/>
  <c r="AA62" i="2"/>
  <c r="AE62" i="2"/>
  <c r="AL62" i="2"/>
  <c r="AM62" i="2"/>
  <c r="AN62" i="2"/>
  <c r="AO62" i="2"/>
  <c r="AQ62" i="2"/>
  <c r="AR62" i="2"/>
  <c r="AU62" i="2"/>
  <c r="G19" i="2"/>
  <c r="H19" i="2"/>
  <c r="F20" i="2"/>
  <c r="AF63" i="2"/>
  <c r="AG63" i="2"/>
  <c r="AP63" i="2"/>
  <c r="BD63" i="2"/>
  <c r="G20" i="2"/>
  <c r="H20" i="2"/>
  <c r="F21" i="2"/>
  <c r="W64" i="2"/>
  <c r="G21" i="2"/>
  <c r="H21" i="2"/>
  <c r="F22" i="2"/>
  <c r="W65" i="2"/>
  <c r="AA65" i="2"/>
  <c r="AB65" i="2"/>
  <c r="AL65" i="2"/>
  <c r="G22" i="2"/>
  <c r="H22" i="2"/>
  <c r="F23" i="2"/>
  <c r="AA66" i="2"/>
  <c r="AL66" i="2"/>
  <c r="AO66" i="2"/>
  <c r="AR66" i="2"/>
  <c r="G23" i="2"/>
  <c r="H23" i="2"/>
  <c r="F24" i="2"/>
  <c r="AA67" i="2"/>
  <c r="AB67" i="2"/>
  <c r="G24" i="2"/>
  <c r="H24" i="2"/>
  <c r="F25" i="2"/>
  <c r="S68" i="2"/>
  <c r="AA68" i="2"/>
  <c r="AZ68" i="2"/>
  <c r="BO68" i="2"/>
  <c r="BR68" i="2"/>
  <c r="G25" i="2"/>
  <c r="H25" i="2"/>
  <c r="F26" i="2"/>
  <c r="R69" i="2"/>
  <c r="S69" i="2"/>
  <c r="T69" i="2"/>
  <c r="W69" i="2"/>
  <c r="AG69" i="2"/>
  <c r="AT69" i="2"/>
  <c r="G26" i="2"/>
  <c r="H26" i="2"/>
  <c r="F27" i="2"/>
  <c r="V70" i="2"/>
  <c r="AA70" i="2"/>
  <c r="G27" i="2"/>
  <c r="H27" i="2"/>
  <c r="F28" i="2"/>
  <c r="AA71" i="2"/>
  <c r="G28" i="2"/>
  <c r="H28" i="2"/>
  <c r="F29" i="2"/>
  <c r="AB72" i="2"/>
  <c r="AE72" i="2"/>
  <c r="AF72" i="2"/>
  <c r="G29" i="2"/>
  <c r="H29" i="2"/>
  <c r="F30" i="2"/>
  <c r="U73" i="2"/>
  <c r="V73" i="2"/>
  <c r="W73" i="2"/>
  <c r="AF73" i="2"/>
  <c r="AU73" i="2"/>
  <c r="BE73" i="2"/>
  <c r="BM73" i="2"/>
  <c r="G30" i="2"/>
  <c r="H30" i="2"/>
  <c r="AF117" i="2"/>
  <c r="F31" i="2"/>
  <c r="W74" i="2"/>
  <c r="AD74" i="2"/>
  <c r="AH74" i="2"/>
  <c r="AU74" i="2"/>
  <c r="BA74" i="2"/>
  <c r="BF74" i="2"/>
  <c r="G31" i="2"/>
  <c r="H31" i="2"/>
  <c r="F32" i="2"/>
  <c r="AA75" i="2"/>
  <c r="AP75" i="2"/>
  <c r="AV75" i="2"/>
  <c r="G32" i="2"/>
  <c r="H32" i="2"/>
  <c r="F33" i="2"/>
  <c r="W76" i="2"/>
  <c r="AB76" i="2"/>
  <c r="AG76" i="2"/>
  <c r="AP76" i="2"/>
  <c r="AT76" i="2"/>
  <c r="G33" i="2"/>
  <c r="H33" i="2"/>
  <c r="F34" i="2"/>
  <c r="W77" i="2"/>
  <c r="G34" i="2"/>
  <c r="H34" i="2"/>
  <c r="F35" i="2"/>
  <c r="W78" i="2"/>
  <c r="AB78" i="2"/>
  <c r="AC78" i="2"/>
  <c r="G35" i="2"/>
  <c r="H35" i="2"/>
  <c r="F36" i="2"/>
  <c r="R79" i="2"/>
  <c r="AA79" i="2"/>
  <c r="G36" i="2"/>
  <c r="H36" i="2"/>
  <c r="F37" i="2"/>
  <c r="AA80" i="2"/>
  <c r="G37" i="2"/>
  <c r="H37" i="2"/>
  <c r="F38" i="2"/>
  <c r="R81" i="2"/>
  <c r="T81" i="2"/>
  <c r="AB81" i="2"/>
  <c r="G38" i="2"/>
  <c r="H38" i="2"/>
  <c r="H40" i="2"/>
  <c r="AN39" i="2"/>
  <c r="AR39" i="2"/>
  <c r="BR39" i="2"/>
  <c r="F39" i="2"/>
  <c r="AM82" i="2"/>
  <c r="AN82" i="2"/>
  <c r="AR82" i="2"/>
  <c r="BF82" i="2"/>
  <c r="G39" i="2"/>
  <c r="H39" i="2"/>
  <c r="H42" i="2"/>
  <c r="H43" i="2"/>
  <c r="BY41" i="2"/>
  <c r="K19" i="4"/>
  <c r="G21" i="6"/>
  <c r="BY83" i="2"/>
  <c r="E21" i="6"/>
  <c r="G42" i="2"/>
  <c r="AT83" i="2"/>
  <c r="E9" i="4"/>
  <c r="AU83" i="2"/>
  <c r="F9" i="4"/>
  <c r="C9" i="4"/>
  <c r="BX83" i="2"/>
  <c r="BX41" i="2"/>
  <c r="B27" i="6"/>
  <c r="BV83" i="2"/>
  <c r="BW83" i="2"/>
  <c r="BW41" i="2"/>
  <c r="BV41" i="2"/>
  <c r="BU83" i="2"/>
  <c r="BK66" i="1"/>
  <c r="BT41" i="2"/>
  <c r="BU41" i="2"/>
  <c r="BT83" i="2"/>
  <c r="H19" i="4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L41" i="2"/>
  <c r="M39" i="3"/>
  <c r="L39" i="3"/>
  <c r="BS83" i="2"/>
  <c r="BR83" i="2"/>
  <c r="BQ83" i="2"/>
  <c r="BP83" i="2"/>
  <c r="BK83" i="2"/>
  <c r="BC83" i="2"/>
  <c r="BB83" i="2"/>
  <c r="AX83" i="2"/>
  <c r="AW83" i="2"/>
  <c r="AK83" i="2"/>
  <c r="Z83" i="2"/>
  <c r="Y83" i="2"/>
  <c r="X83" i="2"/>
  <c r="Q83" i="2"/>
  <c r="P83" i="2"/>
  <c r="O83" i="2"/>
  <c r="N83" i="2"/>
  <c r="M83" i="2"/>
  <c r="BS41" i="2"/>
  <c r="K41" i="2"/>
  <c r="G25" i="3"/>
  <c r="K50" i="3"/>
  <c r="K60" i="3"/>
  <c r="K45" i="3"/>
  <c r="K46" i="3"/>
  <c r="C25" i="5"/>
  <c r="E8" i="4"/>
  <c r="G12" i="4"/>
  <c r="D14" i="4"/>
  <c r="F8" i="4"/>
  <c r="D8" i="4"/>
  <c r="D10" i="4"/>
  <c r="K78" i="3"/>
  <c r="BO83" i="2"/>
  <c r="K81" i="3"/>
  <c r="G5" i="3"/>
  <c r="G6" i="3"/>
  <c r="G7" i="3"/>
  <c r="G8" i="3"/>
  <c r="G9" i="3"/>
  <c r="G11" i="3"/>
  <c r="G12" i="3"/>
  <c r="G13" i="3"/>
  <c r="G14" i="3"/>
  <c r="G15" i="3"/>
  <c r="G16" i="3"/>
  <c r="H16" i="3"/>
  <c r="G17" i="3"/>
  <c r="G18" i="3"/>
  <c r="G19" i="3"/>
  <c r="G20" i="3"/>
  <c r="G21" i="3"/>
  <c r="G22" i="3"/>
  <c r="G23" i="3"/>
  <c r="G24" i="3"/>
  <c r="G26" i="3"/>
  <c r="G27" i="3"/>
  <c r="G28" i="3"/>
  <c r="G29" i="3"/>
  <c r="G30" i="3"/>
  <c r="G31" i="3"/>
  <c r="G32" i="3"/>
  <c r="G34" i="3"/>
  <c r="G35" i="3"/>
  <c r="G36" i="3"/>
  <c r="G37" i="3"/>
  <c r="G38" i="3"/>
  <c r="G4" i="3"/>
  <c r="G3" i="3"/>
  <c r="F5" i="3"/>
  <c r="H5" i="3"/>
  <c r="F6" i="3"/>
  <c r="F7" i="3"/>
  <c r="H7" i="3"/>
  <c r="F8" i="3"/>
  <c r="F9" i="3"/>
  <c r="H9" i="3"/>
  <c r="F10" i="3"/>
  <c r="F11" i="3"/>
  <c r="H11" i="3"/>
  <c r="F12" i="3"/>
  <c r="F13" i="3"/>
  <c r="H13" i="3"/>
  <c r="F14" i="3"/>
  <c r="F15" i="3"/>
  <c r="F17" i="3"/>
  <c r="F18" i="3"/>
  <c r="F19" i="3"/>
  <c r="F20" i="3"/>
  <c r="H20" i="3"/>
  <c r="F21" i="3"/>
  <c r="F22" i="3"/>
  <c r="F23" i="3"/>
  <c r="F24" i="3"/>
  <c r="H24" i="3"/>
  <c r="F25" i="3"/>
  <c r="F26" i="3"/>
  <c r="H26" i="3"/>
  <c r="F27" i="3"/>
  <c r="F28" i="3"/>
  <c r="H28" i="3"/>
  <c r="F29" i="3"/>
  <c r="F30" i="3"/>
  <c r="H30" i="3"/>
  <c r="F31" i="3"/>
  <c r="F32" i="3"/>
  <c r="F33" i="3"/>
  <c r="F34" i="3"/>
  <c r="F35" i="3"/>
  <c r="F36" i="3"/>
  <c r="F37" i="3"/>
  <c r="F38" i="3"/>
  <c r="H38" i="3"/>
  <c r="F4" i="3"/>
  <c r="F3" i="3"/>
  <c r="K39" i="3"/>
  <c r="H31" i="3"/>
  <c r="H27" i="3"/>
  <c r="H14" i="3"/>
  <c r="H10" i="3"/>
  <c r="H6" i="3"/>
  <c r="H8" i="3"/>
  <c r="H15" i="3"/>
  <c r="H3" i="3"/>
  <c r="H37" i="3"/>
  <c r="H33" i="3"/>
  <c r="H29" i="3"/>
  <c r="H25" i="3"/>
  <c r="H21" i="3"/>
  <c r="H4" i="3"/>
  <c r="H35" i="3"/>
  <c r="H23" i="3"/>
  <c r="H19" i="3"/>
  <c r="H36" i="3"/>
  <c r="H32" i="3"/>
  <c r="H12" i="3"/>
  <c r="H17" i="3"/>
  <c r="H34" i="3"/>
  <c r="H22" i="3"/>
  <c r="H18" i="3"/>
  <c r="F39" i="3"/>
  <c r="G39" i="3"/>
  <c r="C11" i="1"/>
  <c r="C13" i="1"/>
  <c r="C15" i="1"/>
  <c r="C17" i="1"/>
  <c r="C18" i="1"/>
  <c r="G8" i="4"/>
  <c r="H39" i="3"/>
  <c r="G9" i="4"/>
  <c r="BN83" i="2"/>
  <c r="BM83" i="2"/>
  <c r="G10" i="4"/>
  <c r="G14" i="4"/>
  <c r="BL83" i="2"/>
  <c r="BJ83" i="2"/>
  <c r="BI83" i="2"/>
  <c r="BH83" i="2"/>
  <c r="BG83" i="2"/>
  <c r="BF83" i="2"/>
  <c r="BD83" i="2"/>
  <c r="BE83" i="2"/>
  <c r="BA83" i="2"/>
  <c r="AY83" i="2"/>
  <c r="AZ83" i="2"/>
  <c r="M41" i="2"/>
  <c r="C19" i="1"/>
  <c r="D72" i="2"/>
  <c r="AV83" i="2"/>
  <c r="AS83" i="2"/>
  <c r="E12" i="4"/>
  <c r="C12" i="1"/>
  <c r="AP83" i="2"/>
  <c r="AR83" i="2"/>
  <c r="AO83" i="2"/>
  <c r="AN83" i="2"/>
  <c r="AM83" i="2"/>
  <c r="AG83" i="2"/>
  <c r="AL83" i="2"/>
  <c r="F14" i="4"/>
  <c r="F10" i="4"/>
  <c r="E14" i="4"/>
  <c r="AQ83" i="2"/>
  <c r="C43" i="1"/>
  <c r="C13" i="4"/>
  <c r="H13" i="4"/>
  <c r="AJ83" i="2"/>
  <c r="D59" i="2"/>
  <c r="AI83" i="2"/>
  <c r="D66" i="2"/>
  <c r="D51" i="2"/>
  <c r="AH83" i="2"/>
  <c r="AC83" i="2"/>
  <c r="AF125" i="2"/>
  <c r="AD83" i="2"/>
  <c r="E10" i="4"/>
  <c r="AE83" i="2"/>
  <c r="AF83" i="2"/>
  <c r="C24" i="1"/>
  <c r="F42" i="2"/>
  <c r="C8" i="4"/>
  <c r="H8" i="4"/>
  <c r="AB83" i="2"/>
  <c r="C33" i="1"/>
  <c r="C39" i="1"/>
  <c r="AA83" i="2"/>
  <c r="C20" i="1"/>
  <c r="C28" i="1"/>
  <c r="C36" i="1"/>
  <c r="C27" i="1"/>
  <c r="C32" i="1"/>
  <c r="C8" i="1"/>
  <c r="C23" i="1"/>
  <c r="C10" i="1"/>
  <c r="C41" i="1"/>
  <c r="K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1" i="2"/>
  <c r="D80" i="2"/>
  <c r="D79" i="2"/>
  <c r="D78" i="2"/>
  <c r="D77" i="2"/>
  <c r="D76" i="2"/>
  <c r="D75" i="2"/>
  <c r="D74" i="2"/>
  <c r="D73" i="2"/>
  <c r="D71" i="2"/>
  <c r="D70" i="2"/>
  <c r="D69" i="2"/>
  <c r="D68" i="2"/>
  <c r="D67" i="2"/>
  <c r="D65" i="2"/>
  <c r="D64" i="2"/>
  <c r="D63" i="2"/>
  <c r="D62" i="2"/>
  <c r="D61" i="2"/>
  <c r="D60" i="2"/>
  <c r="D58" i="2"/>
  <c r="D57" i="2"/>
  <c r="D56" i="2"/>
  <c r="D55" i="2"/>
  <c r="D54" i="2"/>
  <c r="D53" i="2"/>
  <c r="D52" i="2"/>
  <c r="D50" i="2"/>
  <c r="D49" i="2"/>
  <c r="D48" i="2"/>
  <c r="D47" i="2"/>
  <c r="D46" i="2"/>
  <c r="V83" i="2"/>
  <c r="W83" i="2"/>
  <c r="C7" i="1"/>
  <c r="C38" i="1"/>
  <c r="C14" i="1"/>
  <c r="C25" i="1"/>
  <c r="C37" i="1"/>
  <c r="C21" i="1"/>
  <c r="C9" i="1"/>
  <c r="C31" i="1"/>
  <c r="C26" i="1"/>
  <c r="C35" i="1"/>
  <c r="U83" i="2"/>
  <c r="C34" i="1"/>
  <c r="T83" i="2"/>
  <c r="C16" i="1"/>
  <c r="L83" i="2"/>
  <c r="K83" i="2"/>
  <c r="C42" i="1"/>
  <c r="E42" i="2"/>
  <c r="R83" i="2"/>
  <c r="S83" i="2"/>
  <c r="C22" i="1"/>
  <c r="C30" i="1"/>
  <c r="C29" i="1"/>
  <c r="C40" i="1"/>
  <c r="C44" i="1"/>
  <c r="H9" i="4"/>
  <c r="C10" i="4"/>
  <c r="G43" i="2"/>
  <c r="H10" i="4"/>
  <c r="F46" i="1"/>
  <c r="C12" i="4"/>
  <c r="C14" i="4"/>
  <c r="H12" i="4"/>
  <c r="H14" i="4"/>
  <c r="H20" i="4"/>
</calcChain>
</file>

<file path=xl/comments1.xml><?xml version="1.0" encoding="utf-8"?>
<comments xmlns="http://schemas.openxmlformats.org/spreadsheetml/2006/main">
  <authors>
    <author>manas_dash</author>
    <author>Satheesh  Surendran</author>
    <author>Sundaralingam Murugathithan</author>
    <author>Microsoft Office User</author>
    <author>Jitu</author>
    <author>MS95923</author>
    <author>Manendra Singh</author>
    <author>Manendra</author>
  </authors>
  <commentList>
    <comment ref="T5" authorId="0">
      <text>
        <r>
          <rPr>
            <b/>
            <sz val="8"/>
            <color indexed="81"/>
            <rFont val="Tahoma"/>
            <family val="2"/>
          </rPr>
          <t>manas_dash: (Oct-11) Expenses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11700 (Security - 11500+200)
7,500 (House Keeping)
6,400 (Bescom)
14,040 (Tanker Water)
6,050 (Sundar-250,Plants Natraj-3500,Garden Labor-2300)
1,000 (Garbage)
3,600 (Deisel)
807 (Bhonu-55,Sateesh-452,Labour-300)
217 (Pest Control Baygen Spray)
38,507 (Lift AMC)
695 (Electric Repair - Gautam)
6,600 (Tank Clean - JP)
1270 (Raj-Gandhi Jayanti-200,Diwali Gift-500, Gautam Misc-300,Diwali candel-270)
10000 (Iron Grills - Gautam)</t>
        </r>
      </text>
    </comment>
    <comment ref="U5" authorId="0">
      <text>
        <r>
          <rPr>
            <b/>
            <sz val="8"/>
            <color indexed="81"/>
            <rFont val="Tahoma"/>
            <family val="2"/>
          </rPr>
          <t>manas_dash:(Nov-11)-Expenses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11700</t>
        </r>
        <r>
          <rPr>
            <sz val="8"/>
            <color indexed="81"/>
            <rFont val="Tahoma"/>
            <family val="2"/>
          </rPr>
          <t xml:space="preserve">-Security(11000+500+200)
 </t>
        </r>
        <r>
          <rPr>
            <b/>
            <sz val="8"/>
            <color indexed="81"/>
            <rFont val="Tahoma"/>
            <family val="2"/>
          </rPr>
          <t>7500</t>
        </r>
        <r>
          <rPr>
            <sz val="8"/>
            <color indexed="81"/>
            <rFont val="Tahoma"/>
            <family val="2"/>
          </rPr>
          <t xml:space="preserve">-House Keeping Labour(7000+500)
 </t>
        </r>
        <r>
          <rPr>
            <b/>
            <sz val="8"/>
            <color indexed="81"/>
            <rFont val="Tahoma"/>
            <family val="2"/>
          </rPr>
          <t>6700</t>
        </r>
        <r>
          <rPr>
            <sz val="8"/>
            <color indexed="81"/>
            <rFont val="Tahoma"/>
            <family val="2"/>
          </rPr>
          <t xml:space="preserve">-Bescom 
 </t>
        </r>
        <r>
          <rPr>
            <b/>
            <sz val="8"/>
            <color indexed="81"/>
            <rFont val="Tahoma"/>
            <family val="2"/>
          </rPr>
          <t>14820</t>
        </r>
        <r>
          <rPr>
            <sz val="8"/>
            <color indexed="81"/>
            <rFont val="Tahoma"/>
            <family val="2"/>
          </rPr>
          <t xml:space="preserve">-Tanker(76*195) 
 </t>
        </r>
        <r>
          <rPr>
            <b/>
            <sz val="8"/>
            <color indexed="81"/>
            <rFont val="Tahoma"/>
            <family val="2"/>
          </rPr>
          <t>3140</t>
        </r>
        <r>
          <rPr>
            <sz val="8"/>
            <color indexed="81"/>
            <rFont val="Tahoma"/>
            <family val="2"/>
          </rPr>
          <t xml:space="preserve">-(140-House Keeping(Gautam),200-JCB(Manas),300-Sands,2500-Garden labour) 
 </t>
        </r>
        <r>
          <rPr>
            <b/>
            <sz val="8"/>
            <color indexed="81"/>
            <rFont val="Tahoma"/>
            <family val="2"/>
          </rPr>
          <t>1000</t>
        </r>
        <r>
          <rPr>
            <sz val="8"/>
            <color indexed="81"/>
            <rFont val="Tahoma"/>
            <family val="2"/>
          </rPr>
          <t xml:space="preserve">-Garbage Disposal 
 </t>
        </r>
        <r>
          <rPr>
            <b/>
            <sz val="8"/>
            <color indexed="81"/>
            <rFont val="Tahoma"/>
            <family val="2"/>
          </rPr>
          <t>3600</t>
        </r>
        <r>
          <rPr>
            <sz val="8"/>
            <color indexed="81"/>
            <rFont val="Tahoma"/>
            <family val="2"/>
          </rPr>
          <t xml:space="preserve">-Diesel(Bhonu) 
 </t>
        </r>
        <r>
          <rPr>
            <b/>
            <sz val="8"/>
            <color indexed="81"/>
            <rFont val="Tahoma"/>
            <family val="2"/>
          </rPr>
          <t>552</t>
        </r>
        <r>
          <rPr>
            <sz val="8"/>
            <color indexed="81"/>
            <rFont val="Tahoma"/>
            <family val="2"/>
          </rPr>
          <t xml:space="preserve">-House Keeping(Manas) 
 </t>
        </r>
        <r>
          <rPr>
            <b/>
            <sz val="8"/>
            <color indexed="81"/>
            <rFont val="Tahoma"/>
            <family val="2"/>
          </rPr>
          <t>13800</t>
        </r>
        <r>
          <rPr>
            <sz val="8"/>
            <color indexed="81"/>
            <rFont val="Tahoma"/>
            <family val="2"/>
          </rPr>
          <t xml:space="preserve">-(5000-Sanitary Tank Clean(JP),8800-Sanitary Repair (Gautam) 
</t>
        </r>
        <r>
          <rPr>
            <b/>
            <sz val="8"/>
            <color indexed="81"/>
            <rFont val="Tahoma"/>
            <family val="2"/>
          </rPr>
          <t xml:space="preserve"> 2400-</t>
        </r>
        <r>
          <rPr>
            <sz val="8"/>
            <color indexed="81"/>
            <rFont val="Tahoma"/>
            <family val="2"/>
          </rPr>
          <t xml:space="preserve">(2200-Name Plate (Natraj), 200-Bhonu Mobile for Aug-2011, forgot to  mention in Aug Expenses
</t>
        </r>
      </text>
    </comment>
    <comment ref="V5" authorId="0">
      <text>
        <r>
          <rPr>
            <b/>
            <sz val="8"/>
            <color indexed="81"/>
            <rFont val="Tahoma"/>
            <family val="2"/>
          </rPr>
          <t>manas_dash:(Dec-11)-Expenses</t>
        </r>
        <r>
          <rPr>
            <sz val="8"/>
            <color indexed="81"/>
            <rFont val="Tahoma"/>
            <family val="2"/>
          </rPr>
          <t xml:space="preserve">
1,000 - Security Advance - Gautam
10700 - Security
7500-House Keeping
2500-Garden Labour
7,600 - Bescom - Gautam
3,600 - Deisel (1200+1200+1200) -Gautam
727 - House Keeping (643+84) - Sateesh
1,500 - Generator Door Repair - Gautam
11,578 - Water Pipe - Gautam
200 - Electric Repair - Gautam
232 - Visitor Pass - Gautam(132), 100 misc
16380-Tanker 84*195
1000-Garbage</t>
        </r>
      </text>
    </comment>
    <comment ref="W5" authorId="0">
      <text>
        <r>
          <rPr>
            <b/>
            <sz val="8"/>
            <color indexed="81"/>
            <rFont val="Tahoma"/>
            <family val="2"/>
          </rPr>
          <t>manas_dash:(Jan-12)-Expenses</t>
        </r>
        <r>
          <rPr>
            <sz val="8"/>
            <color indexed="81"/>
            <rFont val="Tahoma"/>
            <family val="2"/>
          </rPr>
          <t xml:space="preserve">
1200-Deisel- Gautam
795-Xerox and binding -Vishesh</t>
        </r>
      </text>
    </comment>
    <comment ref="BH6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Phone - 200</t>
        </r>
      </text>
    </comment>
    <comment ref="BI6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Phone - 200</t>
        </r>
      </text>
    </comment>
    <comment ref="BJ6" authorId="2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Phone : 200</t>
        </r>
      </text>
    </comment>
    <comment ref="BK6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Phone 200</t>
        </r>
      </text>
    </comment>
    <comment ref="BL6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Security payment 16000
Mobile - 200</t>
        </r>
      </text>
    </comment>
    <comment ref="BM6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Mobile 200</t>
        </r>
      </text>
    </comment>
    <comment ref="BN6" authorId="3">
      <text>
        <r>
          <rPr>
            <b/>
            <sz val="10"/>
            <color indexed="81"/>
            <rFont val="Calibri"/>
          </rPr>
          <t>Microsoft Office User:Mobile : 200</t>
        </r>
      </text>
    </comment>
    <comment ref="BO6" authorId="3">
      <text>
        <r>
          <rPr>
            <b/>
            <sz val="10"/>
            <color indexed="81"/>
            <rFont val="Calibri"/>
          </rPr>
          <t>Mobile 200</t>
        </r>
      </text>
    </comment>
    <comment ref="BP6" authorId="3">
      <text>
        <r>
          <rPr>
            <b/>
            <sz val="10"/>
            <color indexed="81"/>
            <rFont val="Calibri"/>
          </rPr>
          <t>Paid cash
Manmath 200 - phone</t>
        </r>
      </text>
    </comment>
    <comment ref="BQ6" authorId="3">
      <text>
        <r>
          <rPr>
            <b/>
            <sz val="10"/>
            <color indexed="81"/>
            <rFont val="Calibri"/>
          </rPr>
          <t>Mobile 200</t>
        </r>
      </text>
    </comment>
    <comment ref="BR6" authorId="3">
      <text>
        <r>
          <rPr>
            <b/>
            <sz val="10"/>
            <color indexed="81"/>
            <rFont val="Calibri"/>
          </rPr>
          <t>Mobile 200
100 each to security</t>
        </r>
      </text>
    </comment>
    <comment ref="BS6" authorId="3">
      <text>
        <r>
          <rPr>
            <b/>
            <sz val="10"/>
            <color indexed="81"/>
            <rFont val="Calibri"/>
          </rPr>
          <t>Paid by vishesh directly to all</t>
        </r>
      </text>
    </comment>
    <comment ref="BT6" authorId="3">
      <text>
        <r>
          <rPr>
            <b/>
            <sz val="10"/>
            <color indexed="81"/>
            <rFont val="Calibri"/>
          </rPr>
          <t>phone bill Manmath - 200</t>
        </r>
      </text>
    </comment>
    <comment ref="BU6" authorId="3">
      <text>
        <r>
          <rPr>
            <b/>
            <sz val="10"/>
            <color indexed="81"/>
            <rFont val="Calibri"/>
          </rPr>
          <t>Phone bill manmath - 200</t>
        </r>
      </text>
    </comment>
    <comment ref="BV6" authorId="3">
      <text>
        <r>
          <rPr>
            <b/>
            <sz val="10"/>
            <color indexed="81"/>
            <rFont val="Calibri"/>
          </rPr>
          <t>Vicky mobile - 200</t>
        </r>
      </text>
    </comment>
    <comment ref="BW6" authorId="3">
      <text>
        <r>
          <rPr>
            <b/>
            <sz val="10"/>
            <color indexed="81"/>
            <rFont val="Calibri"/>
          </rPr>
          <t>mobile Vicky - 200</t>
        </r>
      </text>
    </comment>
    <comment ref="BX6" authorId="3">
      <text>
        <r>
          <rPr>
            <b/>
            <sz val="10"/>
            <color indexed="81"/>
            <rFont val="Calibri"/>
          </rPr>
          <t>mobile Vicky - 200</t>
        </r>
      </text>
    </comment>
    <comment ref="BY6" authorId="3">
      <text>
        <r>
          <rPr>
            <b/>
            <sz val="10"/>
            <color indexed="81"/>
            <rFont val="Calibri"/>
          </rPr>
          <t xml:space="preserve">Vicky - 200
</t>
        </r>
      </text>
    </comment>
    <comment ref="BZ6" authorId="3">
      <text>
        <r>
          <rPr>
            <b/>
            <sz val="10"/>
            <color indexed="81"/>
            <rFont val="Calibri"/>
          </rPr>
          <t xml:space="preserve">Mobile bill bablu - 200
</t>
        </r>
      </text>
    </comment>
    <comment ref="AJ7" authorId="4">
      <text>
        <r>
          <rPr>
            <sz val="9"/>
            <color indexed="81"/>
            <rFont val="Tahoma"/>
            <family val="2"/>
          </rPr>
          <t xml:space="preserve">Rs.500/ Increased to one maid.
</t>
        </r>
      </text>
    </comment>
    <comment ref="BI7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Parvathi  -3900
Sibani -4500
OT       -750
</t>
        </r>
      </text>
    </comment>
    <comment ref="BJ7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Advance
Sibani - 2000
Parvathi - 1000
paid
sivani - 2300
parvathi - 4700
</t>
        </r>
      </text>
    </comment>
    <comment ref="BK7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Rs. 5000 each</t>
        </r>
      </text>
    </comment>
    <comment ref="BM7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Parvathi full amount paid, New maid added</t>
        </r>
      </text>
    </comment>
    <comment ref="BN7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Not paid for one day holiday</t>
        </r>
      </text>
    </comment>
    <comment ref="BO7" authorId="3">
      <text>
        <r>
          <rPr>
            <sz val="10"/>
            <color indexed="81"/>
            <rFont val="Calibri"/>
          </rPr>
          <t>Shivani advance 2000 + balance 1833
Lakshmi 5500</t>
        </r>
      </text>
    </comment>
    <comment ref="BP7" authorId="3">
      <text>
        <r>
          <rPr>
            <b/>
            <sz val="10"/>
            <color indexed="81"/>
            <rFont val="Calibri"/>
          </rPr>
          <t>shivani salary increased by 500 as per manas</t>
        </r>
      </text>
    </comment>
    <comment ref="BQ7" authorId="3">
      <text>
        <r>
          <rPr>
            <b/>
            <sz val="10"/>
            <color indexed="81"/>
            <rFont val="Calibri"/>
          </rPr>
          <t>September due 666 
4 days work</t>
        </r>
      </text>
    </comment>
    <comment ref="BS7" authorId="3">
      <text>
        <r>
          <rPr>
            <b/>
            <sz val="10"/>
            <color indexed="81"/>
            <rFont val="Calibri"/>
          </rPr>
          <t>shivani 3726+2000
2000 -&gt; advance not returned
Shardamma - 5484
Paulina - 484</t>
        </r>
      </text>
    </comment>
    <comment ref="BT7" authorId="3">
      <text>
        <r>
          <rPr>
            <b/>
            <sz val="10"/>
            <color indexed="81"/>
            <rFont val="Calibri"/>
          </rPr>
          <t>saradha - 4830
Govinda - 2500
Poulina - 2600
shivani returned 2000</t>
        </r>
      </text>
    </comment>
    <comment ref="BU7" authorId="3">
      <text>
        <r>
          <rPr>
            <b/>
            <sz val="10"/>
            <color indexed="81"/>
            <rFont val="Calibri"/>
          </rPr>
          <t>Saradama - 4355
Govindamma - 5323</t>
        </r>
      </text>
    </comment>
    <comment ref="BV7" authorId="3">
      <text>
        <r>
          <rPr>
            <b/>
            <sz val="10"/>
            <color indexed="81"/>
            <rFont val="Calibri"/>
          </rPr>
          <t>Govindamma - 5500
Saradhamma = 5231</t>
        </r>
      </text>
    </comment>
    <comment ref="BW7" authorId="3">
      <text>
        <r>
          <rPr>
            <b/>
            <sz val="10"/>
            <color indexed="81"/>
            <rFont val="Calibri"/>
          </rPr>
          <t>Govindamma - 4800
Saradhamma - 5500</t>
        </r>
      </text>
    </comment>
    <comment ref="BX7" authorId="3">
      <text>
        <r>
          <rPr>
            <b/>
            <sz val="10"/>
            <color indexed="81"/>
            <rFont val="Calibri"/>
          </rPr>
          <t>Govindamma - 5600
saradamma - 5225</t>
        </r>
      </text>
    </comment>
    <comment ref="BY7" authorId="3">
      <text>
        <r>
          <rPr>
            <b/>
            <sz val="10"/>
            <color indexed="81"/>
            <rFont val="Calibri"/>
          </rPr>
          <t>Sara - 5322
Govinda - 5500</t>
        </r>
      </text>
    </comment>
    <comment ref="BZ7" authorId="3">
      <text>
        <r>
          <rPr>
            <b/>
            <sz val="10"/>
            <color indexed="81"/>
            <rFont val="Calibri"/>
          </rPr>
          <t>Sara - 5600
govi - 5330</t>
        </r>
      </text>
    </comment>
    <comment ref="CA7" authorId="3">
      <text>
        <r>
          <rPr>
            <b/>
            <sz val="10"/>
            <color indexed="81"/>
            <rFont val="Calibri"/>
          </rPr>
          <t>saradamma - 5410
Govindamma - 5408</t>
        </r>
      </text>
    </comment>
    <comment ref="BI8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Bill 1 : 5356 +
Bill 2 : 202</t>
        </r>
      </text>
    </comment>
    <comment ref="BJ8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Bill 1 - 6827
Bill 2 - 228</t>
        </r>
      </text>
    </comment>
    <comment ref="BK8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bill 1 - 6907 (online payment charges 17)
Bill 2 - 207 (+5 Rs.)</t>
        </r>
      </text>
    </comment>
    <comment ref="BL8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7669 + 206 + 17 + 5</t>
        </r>
      </text>
    </comment>
    <comment ref="BM8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by sundar
6674 + 5340 (adv) + 17 (chrg)</t>
        </r>
      </text>
    </comment>
    <comment ref="BN8" authorId="3">
      <text>
        <r>
          <rPr>
            <b/>
            <sz val="10"/>
            <color indexed="81"/>
            <rFont val="Calibri"/>
          </rPr>
          <t>Bill 1 (15 +1)
Bill 2 (12803 +17)
Previous month paid does not reflect on bill 2</t>
        </r>
      </text>
    </comment>
    <comment ref="BO8" authorId="3">
      <text>
        <r>
          <rPr>
            <b/>
            <sz val="10"/>
            <color indexed="81"/>
            <rFont val="Calibri"/>
          </rPr>
          <t>5340 (Advance) + 263
Actual current bill was negative balance</t>
        </r>
      </text>
    </comment>
    <comment ref="BT8" authorId="3">
      <text>
        <r>
          <rPr>
            <b/>
            <sz val="10"/>
            <color indexed="81"/>
            <rFont val="Calibri"/>
          </rPr>
          <t>Paid together on 12-feb</t>
        </r>
      </text>
    </comment>
    <comment ref="BU8" authorId="3">
      <text>
        <r>
          <rPr>
            <b/>
            <sz val="10"/>
            <color indexed="81"/>
            <rFont val="Calibri"/>
          </rPr>
          <t>Bescom 
Mar 7452 + 10
Mar 229 + 3</t>
        </r>
      </text>
    </comment>
    <comment ref="BY8" authorId="3">
      <text>
        <r>
          <rPr>
            <b/>
            <sz val="10"/>
            <color indexed="81"/>
            <rFont val="Calibri"/>
          </rPr>
          <t xml:space="preserve">7672+10
</t>
        </r>
      </text>
    </comment>
    <comment ref="W9" authorId="4">
      <text>
        <r>
          <rPr>
            <sz val="9"/>
            <color indexed="81"/>
            <rFont val="Tahoma"/>
            <family val="2"/>
          </rPr>
          <t xml:space="preserve">Ravi Kumar - Rs. 3400/(Cash) and
Shiv Kumar- Rs.18135/(Cheque)
</t>
        </r>
      </text>
    </comment>
    <comment ref="BM9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28890 given cheque</t>
        </r>
      </text>
    </comment>
    <comment ref="BN9" authorId="3">
      <text>
        <r>
          <rPr>
            <b/>
            <sz val="10"/>
            <color indexed="81"/>
            <rFont val="Calibri"/>
          </rPr>
          <t>Cash - 10080
Cheque - 29680</t>
        </r>
        <r>
          <rPr>
            <sz val="10"/>
            <color indexed="81"/>
            <rFont val="Calibri"/>
          </rPr>
          <t xml:space="preserve">
</t>
        </r>
      </text>
    </comment>
    <comment ref="BO9" authorId="3">
      <text>
        <r>
          <rPr>
            <sz val="10"/>
            <color indexed="81"/>
            <rFont val="Calibri"/>
          </rPr>
          <t xml:space="preserve">10160 + 22400 (Cheque)
</t>
        </r>
      </text>
    </comment>
    <comment ref="BS9" authorId="3">
      <text>
        <r>
          <rPr>
            <b/>
            <sz val="10"/>
            <color indexed="81"/>
            <rFont val="Calibri"/>
          </rPr>
          <t>10540 - paid in cash</t>
        </r>
      </text>
    </comment>
    <comment ref="BU9" authorId="3">
      <text>
        <r>
          <rPr>
            <b/>
            <sz val="10"/>
            <color indexed="81"/>
            <rFont val="Calibri"/>
          </rPr>
          <t>paid by gautham for holy celebration
Daniel - 17680
Umesha - 28560</t>
        </r>
      </text>
    </comment>
    <comment ref="BV9" authorId="3">
      <text>
        <r>
          <rPr>
            <b/>
            <sz val="10"/>
            <color indexed="81"/>
            <rFont val="Calibri"/>
          </rPr>
          <t>Umesha - 25480
Daniel - 13260</t>
        </r>
      </text>
    </comment>
    <comment ref="AN10" authorId="5">
      <text>
        <r>
          <rPr>
            <sz val="8"/>
            <color indexed="81"/>
            <rFont val="Tahoma"/>
            <family val="2"/>
          </rPr>
          <t xml:space="preserve">250 for plant
</t>
        </r>
      </text>
    </comment>
    <comment ref="AO10" authorId="4">
      <text>
        <r>
          <rPr>
            <sz val="9"/>
            <color indexed="81"/>
            <rFont val="Tahoma"/>
            <family val="2"/>
          </rPr>
          <t xml:space="preserve">New Flower near Main gate: 580
</t>
        </r>
      </text>
    </comment>
    <comment ref="AV10" authorId="5">
      <text>
        <r>
          <rPr>
            <sz val="8"/>
            <color indexed="81"/>
            <rFont val="Tahoma"/>
            <family val="2"/>
          </rPr>
          <t xml:space="preserve">900 pipe
</t>
        </r>
      </text>
    </comment>
    <comment ref="BE10" authorId="6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inside + outside of apartment</t>
        </r>
      </text>
    </comment>
    <comment ref="BI10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Abhaya - 350
Manmath - 300
Parvathi - 100
Sibani - 300
Manas - 150</t>
        </r>
      </text>
    </comment>
    <comment ref="BK10" authorId="2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Cleaning charges : 5080
Tools - 100
Abey - 1000</t>
        </r>
      </text>
    </comment>
    <comment ref="BL10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Gardening Abey 1000</t>
        </r>
      </text>
    </comment>
    <comment ref="BM10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to abey</t>
        </r>
      </text>
    </comment>
    <comment ref="BN10" authorId="3">
      <text>
        <r>
          <rPr>
            <b/>
            <sz val="10"/>
            <color indexed="81"/>
            <rFont val="Calibri"/>
          </rPr>
          <t>Manas paid : 3845
Security abey : 1000</t>
        </r>
      </text>
    </comment>
    <comment ref="BO10" authorId="3">
      <text>
        <r>
          <rPr>
            <b/>
            <sz val="10"/>
            <color indexed="81"/>
            <rFont val="Calibri"/>
          </rPr>
          <t>Manas paid : 1280
Tapan : 840</t>
        </r>
      </text>
    </comment>
    <comment ref="BP10" authorId="3">
      <text>
        <r>
          <rPr>
            <b/>
            <sz val="10"/>
            <color indexed="81"/>
            <rFont val="Calibri"/>
          </rPr>
          <t>Paid to tapan</t>
        </r>
      </text>
    </comment>
    <comment ref="BQ10" authorId="3">
      <text>
        <r>
          <rPr>
            <b/>
            <sz val="10"/>
            <color indexed="81"/>
            <rFont val="Calibri"/>
          </rPr>
          <t>5350 paid by manas</t>
        </r>
      </text>
    </comment>
    <comment ref="BS10" authorId="3">
      <text>
        <r>
          <rPr>
            <b/>
            <sz val="10"/>
            <color indexed="81"/>
            <rFont val="Calibri"/>
          </rPr>
          <t>Paid to vicky</t>
        </r>
      </text>
    </comment>
    <comment ref="BU10" authorId="3">
      <text>
        <r>
          <rPr>
            <b/>
            <sz val="10"/>
            <color indexed="81"/>
            <rFont val="Calibri"/>
          </rPr>
          <t>Bunty - 1200</t>
        </r>
      </text>
    </comment>
    <comment ref="BV10" authorId="3">
      <text>
        <r>
          <rPr>
            <b/>
            <sz val="10"/>
            <color indexed="81"/>
            <rFont val="Calibri"/>
          </rPr>
          <t>Paid by manas and credited his account</t>
        </r>
      </text>
    </comment>
    <comment ref="BZ10" authorId="3">
      <text>
        <r>
          <rPr>
            <b/>
            <sz val="10"/>
            <color indexed="81"/>
            <rFont val="Calibri"/>
          </rPr>
          <t>bablu
One time - 3500
Montly - 1170
(23/07 to 30th)</t>
        </r>
      </text>
    </comment>
    <comment ref="CA10" authorId="3">
      <text>
        <r>
          <rPr>
            <b/>
            <sz val="10"/>
            <color indexed="81"/>
            <rFont val="Calibri"/>
          </rPr>
          <t xml:space="preserve">bablu for month of Sep. Paid on oct. Monthly salary
 </t>
        </r>
      </text>
    </comment>
    <comment ref="CB10" authorId="3">
      <text>
        <r>
          <rPr>
            <b/>
            <sz val="10"/>
            <color indexed="81"/>
            <rFont val="Calibri"/>
          </rPr>
          <t>Babblu advance - 500</t>
        </r>
      </text>
    </comment>
    <comment ref="BS11" authorId="3">
      <text>
        <r>
          <rPr>
            <b/>
            <sz val="10"/>
            <color indexed="81"/>
            <rFont val="Calibri"/>
          </rPr>
          <t>Increased the cost by 500</t>
        </r>
      </text>
    </comment>
    <comment ref="X12" authorId="4">
      <text>
        <r>
          <rPr>
            <sz val="9"/>
            <color indexed="81"/>
            <rFont val="Tahoma"/>
            <family val="2"/>
          </rPr>
          <t>On 09 Feb
On 20 Feb</t>
        </r>
      </text>
    </comment>
    <comment ref="Y12" authorId="4">
      <text>
        <r>
          <rPr>
            <sz val="9"/>
            <color indexed="81"/>
            <rFont val="Tahoma"/>
            <family val="2"/>
          </rPr>
          <t xml:space="preserve">2nd  March
8th March
18th March
</t>
        </r>
      </text>
    </comment>
    <comment ref="AT12" authorId="5">
      <text>
        <r>
          <rPr>
            <sz val="8"/>
            <color indexed="81"/>
            <rFont val="Tahoma"/>
            <family val="2"/>
          </rPr>
          <t xml:space="preserve">On 8th,13th,21st,29th
</t>
        </r>
      </text>
    </comment>
    <comment ref="AU12" authorId="5">
      <text>
        <r>
          <rPr>
            <b/>
            <sz val="8"/>
            <color indexed="81"/>
            <rFont val="Tahoma"/>
            <family val="2"/>
          </rPr>
          <t>3k spend by Amar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K12" authorId="2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Disel 3250 +1500 +1500</t>
        </r>
      </text>
    </comment>
    <comment ref="BL12" authorId="2">
      <text>
        <r>
          <rPr>
            <b/>
            <sz val="9"/>
            <color indexed="81"/>
            <rFont val="Calibri"/>
            <family val="2"/>
          </rPr>
          <t>Sundaralingam Murugathithan</t>
        </r>
        <r>
          <rPr>
            <sz val="9"/>
            <color indexed="81"/>
            <rFont val="Calibri"/>
            <family val="2"/>
          </rPr>
          <t xml:space="preserve">
Bill dated 31 May  3800
Mahesh purchased 3000
</t>
        </r>
      </text>
    </comment>
    <comment ref="BM12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Amar bought
3660.8 + 3700.2</t>
        </r>
      </text>
    </comment>
    <comment ref="BN12" authorId="3">
      <text>
        <r>
          <rPr>
            <b/>
            <sz val="10"/>
            <color indexed="81"/>
            <rFont val="Calibri"/>
          </rPr>
          <t>Paid by Vishesh</t>
        </r>
      </text>
    </comment>
    <comment ref="BO12" authorId="3">
      <text>
        <r>
          <rPr>
            <b/>
            <sz val="10"/>
            <color indexed="81"/>
            <rFont val="Calibri"/>
          </rPr>
          <t>Vishesh paid : 2348.5
others: 3574 + 2000
sec paid. 3000</t>
        </r>
      </text>
    </comment>
    <comment ref="BP12" authorId="3">
      <text>
        <r>
          <rPr>
            <b/>
            <sz val="10"/>
            <color indexed="81"/>
            <rFont val="Calibri"/>
          </rPr>
          <t>04/10 - 3000
13/10 - 3000
18/10 - 3000
27/10 - 1500</t>
        </r>
      </text>
    </comment>
    <comment ref="BQ12" authorId="3">
      <text>
        <r>
          <rPr>
            <b/>
            <sz val="10"/>
            <color indexed="81"/>
            <rFont val="Calibri"/>
          </rPr>
          <t>04/11 - 3000
15/11 - 3000
28/11 - 3000</t>
        </r>
      </text>
    </comment>
    <comment ref="BR12" authorId="3">
      <text>
        <r>
          <rPr>
            <b/>
            <sz val="10"/>
            <color indexed="81"/>
            <rFont val="Calibri"/>
          </rPr>
          <t>06/12 - 3000</t>
        </r>
      </text>
    </comment>
    <comment ref="BS12" authorId="3">
      <text>
        <r>
          <rPr>
            <b/>
            <sz val="10"/>
            <color indexed="81"/>
            <rFont val="Calibri"/>
          </rPr>
          <t>06/01 - 3000
21/01 - 3000
31/01 - 2500</t>
        </r>
      </text>
    </comment>
    <comment ref="BT12" authorId="3">
      <text>
        <r>
          <rPr>
            <b/>
            <sz val="10"/>
            <color indexed="81"/>
            <rFont val="Calibri"/>
          </rPr>
          <t>10/02 - vicky - 3000
17/02 - vishesh - 3000
20/02 - 3000
26/02 - 3000</t>
        </r>
      </text>
    </comment>
    <comment ref="BU12" authorId="3">
      <text>
        <r>
          <rPr>
            <b/>
            <sz val="10"/>
            <color indexed="81"/>
            <rFont val="Calibri"/>
          </rPr>
          <t xml:space="preserve">06/03 - Manmath 
13/03 - Manmath 
27/03 - Manmath </t>
        </r>
      </text>
    </comment>
    <comment ref="BV12" authorId="3">
      <text>
        <r>
          <rPr>
            <b/>
            <sz val="10"/>
            <color indexed="81"/>
            <rFont val="Calibri"/>
          </rPr>
          <t>10/04 Manmath - 3000
19/04 Manmath - 3000
28/04 Vicky - 3000</t>
        </r>
      </text>
    </comment>
    <comment ref="BW12" authorId="3">
      <text>
        <r>
          <rPr>
            <b/>
            <sz val="10"/>
            <color indexed="81"/>
            <rFont val="Calibri"/>
          </rPr>
          <t>08/5 - Vicky - 3000
17/5 - Vicky - 3000
22/5 - Vicky - 3000
31/5 - vicky - 3000</t>
        </r>
      </text>
    </comment>
    <comment ref="BX12" authorId="3">
      <text>
        <r>
          <rPr>
            <b/>
            <sz val="10"/>
            <color indexed="81"/>
            <rFont val="Calibri"/>
          </rPr>
          <t>13/6 - vicky - 3000
23/6 - vicky - 3000</t>
        </r>
      </text>
    </comment>
    <comment ref="BY12" authorId="3">
      <text>
        <r>
          <rPr>
            <b/>
            <sz val="10"/>
            <color indexed="81"/>
            <rFont val="Calibri"/>
          </rPr>
          <t xml:space="preserve">12/7 - vicky - 3000
27/7 - Bablu - 3000
</t>
        </r>
      </text>
    </comment>
    <comment ref="BZ12" authorId="3">
      <text>
        <r>
          <rPr>
            <b/>
            <sz val="10"/>
            <color indexed="81"/>
            <rFont val="Calibri"/>
          </rPr>
          <t>02/08 - vicky - 3000
03/08 - Mahesh - 3000
17/08 - vicky - 3000
30/08 - bablu - 3000</t>
        </r>
      </text>
    </comment>
    <comment ref="CA12" authorId="3">
      <text>
        <r>
          <rPr>
            <sz val="10"/>
            <color indexed="81"/>
            <rFont val="Calibri"/>
          </rPr>
          <t xml:space="preserve">24/9 - Bablu - 3000
</t>
        </r>
      </text>
    </comment>
    <comment ref="CB12" authorId="3">
      <text>
        <r>
          <rPr>
            <b/>
            <sz val="10"/>
            <color indexed="81"/>
            <rFont val="Calibri"/>
          </rPr>
          <t>13/10 - Vicky - 3000
21/10 - babblu - 3000</t>
        </r>
      </text>
    </comment>
    <comment ref="Z13" authorId="4">
      <text>
        <r>
          <rPr>
            <sz val="9"/>
            <color indexed="81"/>
            <rFont val="Tahoma"/>
            <family val="2"/>
          </rPr>
          <t xml:space="preserve">Belaching Power Rs. 100, by Raj
</t>
        </r>
      </text>
    </comment>
    <comment ref="AP13" authorId="4">
      <text>
        <r>
          <rPr>
            <sz val="9"/>
            <color indexed="81"/>
            <rFont val="Tahoma"/>
            <family val="2"/>
          </rPr>
          <t xml:space="preserve">garbage drum + phenile + mop
</t>
        </r>
      </text>
    </comment>
    <comment ref="AU13" authorId="5">
      <text>
        <r>
          <rPr>
            <sz val="8"/>
            <color indexed="81"/>
            <rFont val="Tahoma"/>
            <family val="2"/>
          </rPr>
          <t xml:space="preserve">By Satish
</t>
        </r>
      </text>
    </comment>
    <comment ref="AV13" authorId="5">
      <text>
        <r>
          <rPr>
            <b/>
            <sz val="8"/>
            <color indexed="81"/>
            <rFont val="Tahoma"/>
            <family val="2"/>
          </rPr>
          <t>by Satish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F13" authorId="6">
      <text>
        <r>
          <rPr>
            <b/>
            <sz val="9"/>
            <color indexed="81"/>
            <rFont val="Tahoma"/>
            <family val="2"/>
          </rPr>
          <t>lock+book+HK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3" authorId="6">
      <text>
        <r>
          <rPr>
            <b/>
            <sz val="9"/>
            <color indexed="81"/>
            <rFont val="Tahoma"/>
            <family val="2"/>
          </rPr>
          <t>By Mahesh,Manoj n Satish</t>
        </r>
      </text>
    </comment>
    <comment ref="BK13" authorId="2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House keeping purchases</t>
        </r>
      </text>
    </comment>
    <comment ref="BM13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scrub purchase - 50</t>
        </r>
      </text>
    </comment>
    <comment ref="BR13" authorId="3">
      <text>
        <r>
          <rPr>
            <b/>
            <sz val="10"/>
            <color indexed="81"/>
            <rFont val="Calibri"/>
          </rPr>
          <t>paid by raghu as consumables</t>
        </r>
      </text>
    </comment>
    <comment ref="BU13" authorId="3">
      <text>
        <r>
          <rPr>
            <b/>
            <sz val="10"/>
            <color indexed="81"/>
            <rFont val="Calibri"/>
          </rPr>
          <t>Bought bucket - 300
Led mahesh - 917
led Manendra - 2000</t>
        </r>
      </text>
    </comment>
    <comment ref="BV13" authorId="3">
      <text>
        <r>
          <rPr>
            <b/>
            <sz val="10"/>
            <color indexed="81"/>
            <rFont val="Calibri"/>
          </rPr>
          <t>Paid by manas, credited his account</t>
        </r>
      </text>
    </comment>
    <comment ref="BY13" authorId="3">
      <text>
        <r>
          <rPr>
            <b/>
            <sz val="10"/>
            <color indexed="81"/>
            <rFont val="Calibri"/>
          </rPr>
          <t>Manas paid - 435
Big basket - 760
Village super - 250</t>
        </r>
        <r>
          <rPr>
            <sz val="10"/>
            <color indexed="81"/>
            <rFont val="Calibri"/>
          </rPr>
          <t xml:space="preserve">
</t>
        </r>
      </text>
    </comment>
    <comment ref="CB13" authorId="3">
      <text>
        <r>
          <rPr>
            <b/>
            <sz val="10"/>
            <color indexed="81"/>
            <rFont val="Calibri"/>
          </rPr>
          <t xml:space="preserve">Paid by sundar </t>
        </r>
      </text>
    </comment>
    <comment ref="AO17" authorId="4">
      <text>
        <r>
          <rPr>
            <sz val="9"/>
            <color indexed="81"/>
            <rFont val="Tahoma"/>
            <family val="2"/>
          </rPr>
          <t xml:space="preserve">New Moter + Related Equipment
</t>
        </r>
      </text>
    </comment>
    <comment ref="BN17" authorId="3">
      <text>
        <r>
          <rPr>
            <b/>
            <sz val="10"/>
            <color indexed="81"/>
            <rFont val="Calibri"/>
          </rPr>
          <t>Paid by raghu</t>
        </r>
      </text>
    </comment>
    <comment ref="BH19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Conumables (cap,distilled water) by Gautam</t>
        </r>
      </text>
    </comment>
    <comment ref="CA19" authorId="3">
      <text>
        <r>
          <rPr>
            <b/>
            <sz val="10"/>
            <color indexed="81"/>
            <rFont val="Calibri"/>
          </rPr>
          <t>bulps</t>
        </r>
      </text>
    </comment>
    <comment ref="BK20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manu plumber work</t>
        </r>
      </text>
    </comment>
    <comment ref="BL20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Phani krishna exp. 50%</t>
        </r>
      </text>
    </comment>
    <comment ref="BN20" authorId="3">
      <text>
        <r>
          <rPr>
            <b/>
            <sz val="10"/>
            <color indexed="81"/>
            <rFont val="Calibri"/>
          </rPr>
          <t>Paid by raghu</t>
        </r>
      </text>
    </comment>
    <comment ref="BS20" authorId="3">
      <text>
        <r>
          <rPr>
            <b/>
            <sz val="10"/>
            <color indexed="81"/>
            <rFont val="Calibri"/>
          </rPr>
          <t>Ashutosh fixed</t>
        </r>
      </text>
    </comment>
    <comment ref="BY20" authorId="3">
      <text>
        <r>
          <rPr>
            <sz val="10"/>
            <color indexed="81"/>
            <rFont val="Calibri"/>
          </rPr>
          <t xml:space="preserve">Pipe repair
</t>
        </r>
      </text>
    </comment>
    <comment ref="CA20" authorId="3">
      <text>
        <r>
          <rPr>
            <b/>
            <sz val="10"/>
            <color indexed="81"/>
            <rFont val="Calibri"/>
          </rPr>
          <t>Initially paid by Ashu</t>
        </r>
      </text>
    </comment>
    <comment ref="AJ21" authorId="4">
      <text>
        <r>
          <rPr>
            <sz val="9"/>
            <color indexed="81"/>
            <rFont val="Tahoma"/>
            <family val="2"/>
          </rPr>
          <t xml:space="preserve">Electricty Inspector  Inspection + consultation
</t>
        </r>
      </text>
    </comment>
    <comment ref="AK21" authorId="4">
      <text>
        <r>
          <rPr>
            <sz val="9"/>
            <color indexed="81"/>
            <rFont val="Tahoma"/>
            <family val="2"/>
          </rPr>
          <t xml:space="preserve">Bescome electrician + bulb
</t>
        </r>
      </text>
    </comment>
    <comment ref="AP21" authorId="4">
      <text>
        <r>
          <rPr>
            <sz val="9"/>
            <color indexed="81"/>
            <rFont val="Tahoma"/>
            <family val="2"/>
          </rPr>
          <t xml:space="preserve">CFL 
</t>
        </r>
      </text>
    </comment>
    <comment ref="AU21" authorId="5">
      <text>
        <r>
          <rPr>
            <sz val="8"/>
            <color indexed="81"/>
            <rFont val="Tahoma"/>
            <family val="2"/>
          </rPr>
          <t xml:space="preserve">Paid by Manas - 2120 for main gate light repair.
5620 is for light with stand near chid play area and common meter area repair.
</t>
        </r>
      </text>
    </comment>
    <comment ref="BA21" authorId="6">
      <text>
        <r>
          <rPr>
            <sz val="9"/>
            <color indexed="81"/>
            <rFont val="Tahoma"/>
            <family val="2"/>
          </rPr>
          <t>METER BOX+PUMP METER</t>
        </r>
      </text>
    </comment>
    <comment ref="BJ21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BESCOM Electrician</t>
        </r>
      </text>
    </comment>
    <comment ref="BK21" authorId="2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Electrical repair charges + UPS purchase</t>
        </r>
      </text>
    </comment>
    <comment ref="BY21" authorId="3">
      <text>
        <r>
          <rPr>
            <b/>
            <sz val="10"/>
            <color indexed="81"/>
            <rFont val="Calibri"/>
          </rPr>
          <t>Paid by Mahesh. Added in Sept. Received</t>
        </r>
      </text>
    </comment>
    <comment ref="CB21" authorId="3">
      <text>
        <r>
          <rPr>
            <b/>
            <sz val="10"/>
            <color indexed="81"/>
            <rFont val="Calibri"/>
          </rPr>
          <t>Paid by security. Mahesh authorized</t>
        </r>
      </text>
    </comment>
    <comment ref="Z22" authorId="4">
      <text>
        <r>
          <rPr>
            <sz val="9"/>
            <color indexed="81"/>
            <rFont val="Tahoma"/>
            <family val="2"/>
          </rPr>
          <t xml:space="preserve">Water Tank
</t>
        </r>
      </text>
    </comment>
    <comment ref="AA22" authorId="4">
      <text>
        <r>
          <rPr>
            <sz val="9"/>
            <color indexed="81"/>
            <rFont val="Tahoma"/>
            <family val="2"/>
          </rPr>
          <t xml:space="preserve">Septic Tank
</t>
        </r>
      </text>
    </comment>
    <comment ref="AH22" authorId="4">
      <text>
        <r>
          <rPr>
            <sz val="9"/>
            <color indexed="81"/>
            <rFont val="Tahoma"/>
            <family val="2"/>
          </rPr>
          <t>Septic Tank
CLEANING</t>
        </r>
      </text>
    </comment>
    <comment ref="AI22" authorId="4">
      <text>
        <r>
          <rPr>
            <sz val="9"/>
            <color indexed="81"/>
            <rFont val="Tahoma"/>
            <family val="2"/>
          </rPr>
          <t xml:space="preserve">SEPTIC TANK CLEANING: </t>
        </r>
        <r>
          <rPr>
            <b/>
            <sz val="9"/>
            <color indexed="81"/>
            <rFont val="Tahoma"/>
            <family val="2"/>
          </rPr>
          <t xml:space="preserve">32,700
New Soak Pit : 56,000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2" authorId="4">
      <text>
        <r>
          <rPr>
            <sz val="9"/>
            <color indexed="81"/>
            <rFont val="Tahoma"/>
            <family val="2"/>
          </rPr>
          <t xml:space="preserve">New Soak Pit 
</t>
        </r>
      </text>
    </comment>
    <comment ref="AL22" authorId="4">
      <text>
        <r>
          <rPr>
            <sz val="9"/>
            <color indexed="81"/>
            <rFont val="Tahoma"/>
            <family val="2"/>
          </rPr>
          <t>Cleaning of both tank in Basment +
Septic tank</t>
        </r>
      </text>
    </comment>
    <comment ref="AN22" authorId="4">
      <text>
        <r>
          <rPr>
            <sz val="9"/>
            <color indexed="81"/>
            <rFont val="Tahoma"/>
            <family val="2"/>
          </rPr>
          <t>1) 28600 for cleaning the septic tank,
2) 12 K for cleaning the drainage form apartment to septic Tank
3)  45 K for cleaning the septic tank and reparing
on 25 June</t>
        </r>
      </text>
    </comment>
    <comment ref="AO22" authorId="4">
      <text>
        <r>
          <rPr>
            <sz val="9"/>
            <color indexed="81"/>
            <rFont val="Tahoma"/>
            <family val="2"/>
          </rPr>
          <t xml:space="preserve">1.Septick Tank n Pipe cleaning.
2.Both Water Tank cleaning (Basment+Top=3700)
</t>
        </r>
      </text>
    </comment>
    <comment ref="AP22" authorId="4">
      <text>
        <r>
          <rPr>
            <sz val="9"/>
            <color indexed="81"/>
            <rFont val="Tahoma"/>
            <family val="2"/>
          </rPr>
          <t xml:space="preserve">To remove the soil garbage over  sewage pipe cover + 
</t>
        </r>
      </text>
    </comment>
    <comment ref="AT22" authorId="5">
      <text>
        <r>
          <rPr>
            <sz val="8"/>
            <color indexed="81"/>
            <rFont val="Tahoma"/>
            <family val="2"/>
          </rPr>
          <t xml:space="preserve">on 15 Dec
</t>
        </r>
      </text>
    </comment>
    <comment ref="BK22" authorId="2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basetank and top tanks</t>
        </r>
      </text>
    </comment>
    <comment ref="BV22" authorId="3">
      <text>
        <r>
          <rPr>
            <sz val="10"/>
            <color indexed="81"/>
            <rFont val="Calibri"/>
          </rPr>
          <t xml:space="preserve">Paid by Divang
</t>
        </r>
      </text>
    </comment>
    <comment ref="BZ23" authorId="3">
      <text>
        <r>
          <rPr>
            <b/>
            <sz val="10"/>
            <color indexed="81"/>
            <rFont val="Calibri"/>
          </rPr>
          <t>Generator AMC</t>
        </r>
      </text>
    </comment>
    <comment ref="X24" authorId="4">
      <text>
        <r>
          <rPr>
            <sz val="9"/>
            <color indexed="81"/>
            <rFont val="Tahoma"/>
            <family val="2"/>
          </rPr>
          <t xml:space="preserve">Cheque book issue.
</t>
        </r>
      </text>
    </comment>
    <comment ref="AD24" authorId="4">
      <text>
        <r>
          <rPr>
            <sz val="9"/>
            <color indexed="81"/>
            <rFont val="Tahoma"/>
            <family val="2"/>
          </rPr>
          <t>Tiles barrier in front of lift
As water was going inside lift + some cimented work in Apartment</t>
        </r>
      </text>
    </comment>
    <comment ref="AG24" authorId="4">
      <text>
        <r>
          <rPr>
            <sz val="9"/>
            <color indexed="81"/>
            <rFont val="Tahoma"/>
            <family val="2"/>
          </rPr>
          <t xml:space="preserve">Dewali Expance
</t>
        </r>
      </text>
    </comment>
    <comment ref="AP24" authorId="4">
      <text>
        <r>
          <rPr>
            <sz val="9"/>
            <color indexed="81"/>
            <rFont val="Tahoma"/>
            <family val="2"/>
          </rPr>
          <t xml:space="preserve">I Day
</t>
        </r>
      </text>
    </comment>
    <comment ref="AQ24" authorId="4">
      <text>
        <r>
          <rPr>
            <sz val="9"/>
            <color indexed="81"/>
            <rFont val="Tahoma"/>
            <family val="2"/>
          </rPr>
          <t xml:space="preserve">Letter Box
</t>
        </r>
      </text>
    </comment>
    <comment ref="AR24" authorId="4">
      <text>
        <r>
          <rPr>
            <sz val="9"/>
            <color indexed="81"/>
            <rFont val="Tahoma"/>
            <family val="2"/>
          </rPr>
          <t xml:space="preserve">Name Plate
</t>
        </r>
      </text>
    </comment>
    <comment ref="AS24" authorId="4">
      <text>
        <r>
          <rPr>
            <sz val="9"/>
            <color indexed="81"/>
            <rFont val="Tahoma"/>
            <family val="2"/>
          </rPr>
          <t xml:space="preserve">Paint + CFL+ book voucher
</t>
        </r>
      </text>
    </comment>
    <comment ref="AU24" authorId="5">
      <text>
        <r>
          <rPr>
            <sz val="8"/>
            <color indexed="81"/>
            <rFont val="Tahoma"/>
            <family val="2"/>
          </rPr>
          <t>300 Paid by Manas for cleaning near gate
100 lock</t>
        </r>
      </text>
    </comment>
    <comment ref="AV24" authorId="5">
      <text>
        <r>
          <rPr>
            <sz val="8"/>
            <color indexed="81"/>
            <rFont val="Tahoma"/>
            <family val="2"/>
          </rPr>
          <t xml:space="preserve">By Raj- Republic Day
</t>
        </r>
      </text>
    </comment>
    <comment ref="AW24" authorId="6">
      <text>
        <r>
          <rPr>
            <sz val="9"/>
            <color indexed="81"/>
            <rFont val="Tahoma"/>
            <family val="2"/>
          </rPr>
          <t>Cleaning (outsid+ inside) expenditure done by Satish(2 K) + 630 for Chair by JP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24" authorId="6">
      <text>
        <r>
          <rPr>
            <sz val="9"/>
            <color indexed="81"/>
            <rFont val="Tahoma"/>
            <family val="2"/>
          </rPr>
          <t xml:space="preserve">ELECTRIC REPAIR IN COMMON AREA
</t>
        </r>
      </text>
    </comment>
    <comment ref="BC24" authorId="6">
      <text>
        <r>
          <rPr>
            <b/>
            <sz val="9"/>
            <color indexed="81"/>
            <rFont val="Tahoma"/>
            <family val="2"/>
          </rPr>
          <t>I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4" authorId="6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Dewali Light + sweets + Lock, Tree-Planting activity</t>
        </r>
      </text>
    </comment>
    <comment ref="BE24" authorId="6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Granite Slab, handle fitting charge</t>
        </r>
      </text>
    </comment>
    <comment ref="BG24" authorId="6">
      <text>
        <r>
          <rPr>
            <b/>
            <sz val="9"/>
            <color indexed="81"/>
            <rFont val="Tahoma"/>
            <family val="2"/>
          </rPr>
          <t>Bench + I 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4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Security Extra night duty expense - 250 (by Manas)
House Keeping Arrear - 150 (by Manendra)</t>
        </r>
      </text>
    </comment>
    <comment ref="BJ24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Purchase of 35 ltr Diesel can </t>
        </r>
      </text>
    </comment>
    <comment ref="BK24" authorId="2">
      <text>
        <r>
          <rPr>
            <b/>
            <sz val="9"/>
            <color indexed="81"/>
            <rFont val="Tahoma"/>
            <family val="2"/>
          </rPr>
          <t>Sundaralingam:</t>
        </r>
        <r>
          <rPr>
            <sz val="9"/>
            <color indexed="81"/>
            <rFont val="Tahoma"/>
            <family val="2"/>
          </rPr>
          <t xml:space="preserve">
Bank charges  - 57
stationary - 816
Ledger - 78, 
manas 185  clean charges</t>
        </r>
      </text>
    </comment>
    <comment ref="BL24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Parking slab work</t>
        </r>
      </text>
    </comment>
    <comment ref="BM24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Bank charges</t>
        </r>
      </text>
    </comment>
    <comment ref="BN24" authorId="3">
      <text>
        <r>
          <rPr>
            <sz val="10"/>
            <color indexed="81"/>
            <rFont val="Calibri"/>
          </rPr>
          <t>Ind Cel : 2885
Raghu purc : 1830</t>
        </r>
      </text>
    </comment>
    <comment ref="BQ24" authorId="3">
      <text>
        <r>
          <rPr>
            <b/>
            <sz val="10"/>
            <color indexed="81"/>
            <rFont val="Calibri"/>
          </rPr>
          <t>Diwali Bonus
Manmath - 500
shivani - 500
powlin - 250
vickey - 250</t>
        </r>
      </text>
    </comment>
    <comment ref="BS24" authorId="3">
      <text>
        <r>
          <rPr>
            <b/>
            <sz val="10"/>
            <color indexed="81"/>
            <rFont val="Calibri"/>
          </rPr>
          <t>Independence Celebration.
Selvi - 880
Sathish - 600</t>
        </r>
      </text>
    </comment>
    <comment ref="BT24" authorId="3">
      <text>
        <r>
          <rPr>
            <b/>
            <sz val="10"/>
            <color indexed="81"/>
            <rFont val="Calibri"/>
          </rPr>
          <t>Notebook and pen bought for security</t>
        </r>
      </text>
    </comment>
    <comment ref="BY24" authorId="3">
      <text>
        <r>
          <rPr>
            <b/>
            <sz val="10"/>
            <color indexed="81"/>
            <rFont val="Calibri"/>
          </rPr>
          <t>Gum</t>
        </r>
      </text>
    </comment>
    <comment ref="BZ24" authorId="3">
      <text>
        <r>
          <rPr>
            <b/>
            <sz val="10"/>
            <color indexed="81"/>
            <rFont val="Calibri"/>
          </rPr>
          <t>Bablu - battery - 35</t>
        </r>
      </text>
    </comment>
    <comment ref="CA24" authorId="3">
      <text>
        <r>
          <rPr>
            <b/>
            <sz val="10"/>
            <color indexed="81"/>
            <rFont val="Calibri"/>
          </rPr>
          <t>August 15th celebration. Initially paaid by Ashu and returned the money in sept.</t>
        </r>
      </text>
    </comment>
    <comment ref="AR28" authorId="4">
      <text>
        <r>
          <rPr>
            <sz val="9"/>
            <color indexed="81"/>
            <rFont val="Tahoma"/>
            <family val="2"/>
          </rPr>
          <t xml:space="preserve">Boundary near main gate to prevent saind flow in rainy seasion
</t>
        </r>
      </text>
    </comment>
    <comment ref="BG28" authorId="6">
      <text>
        <r>
          <rPr>
            <b/>
            <sz val="9"/>
            <color indexed="81"/>
            <rFont val="Tahoma"/>
            <family val="2"/>
          </rPr>
          <t>Sticker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28" authorId="6">
      <text>
        <r>
          <rPr>
            <b/>
            <sz val="9"/>
            <color indexed="81"/>
            <rFont val="Tahoma"/>
            <family val="2"/>
          </rPr>
          <t>sticker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9" authorId="4">
      <text>
        <r>
          <rPr>
            <sz val="9"/>
            <color indexed="81"/>
            <rFont val="Tahoma"/>
            <family val="2"/>
          </rPr>
          <t xml:space="preserve">Club House Flooring + Electricty Fitting
</t>
        </r>
      </text>
    </comment>
    <comment ref="AM29" authorId="4">
      <text>
        <r>
          <rPr>
            <sz val="9"/>
            <color indexed="81"/>
            <rFont val="Tahoma"/>
            <family val="2"/>
          </rPr>
          <t>Club House Stair boundary + Electricty Fitting
+ Kids play area boundery</t>
        </r>
      </text>
    </comment>
    <comment ref="AN29" authorId="4">
      <text>
        <r>
          <rPr>
            <sz val="9"/>
            <color indexed="81"/>
            <rFont val="Tahoma"/>
            <family val="2"/>
          </rPr>
          <t>6.4K stair and boundery
63k for painting
27k for door and window in club house</t>
        </r>
      </text>
    </comment>
    <comment ref="AP29" authorId="4">
      <text>
        <r>
          <rPr>
            <sz val="9"/>
            <color indexed="81"/>
            <rFont val="Tahoma"/>
            <family val="2"/>
          </rPr>
          <t xml:space="preserve">Electricity work Advance
</t>
        </r>
      </text>
    </comment>
    <comment ref="AQ29" authorId="4">
      <text>
        <r>
          <rPr>
            <sz val="9"/>
            <color indexed="81"/>
            <rFont val="Tahoma"/>
            <family val="2"/>
          </rPr>
          <t xml:space="preserve">Electric work 23k + floor mat + pop, autofair,labour 
</t>
        </r>
      </text>
    </comment>
    <comment ref="AR29" authorId="4">
      <text>
        <r>
          <rPr>
            <sz val="9"/>
            <color indexed="81"/>
            <rFont val="Tahoma"/>
            <family val="2"/>
          </rPr>
          <t xml:space="preserve">Window slider of 3rd floor
</t>
        </r>
      </text>
    </comment>
    <comment ref="BH29" authorId="1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Plumbing work - 3600
Hose purchase - 900
by Manas</t>
        </r>
      </text>
    </comment>
    <comment ref="AN30" authorId="4">
      <text>
        <r>
          <rPr>
            <sz val="9"/>
            <color indexed="81"/>
            <rFont val="Tahoma"/>
            <family val="2"/>
          </rPr>
          <t>6500-Iron Gril boundry near enterance
5H for installation of kids equipment
3H labour for cleaning + 50 for lubricants  +
82908 Equipment</t>
        </r>
      </text>
    </comment>
    <comment ref="AO30" authorId="4">
      <text>
        <r>
          <rPr>
            <sz val="9"/>
            <color indexed="81"/>
            <rFont val="Tahoma"/>
            <family val="2"/>
          </rPr>
          <t xml:space="preserve">Stone Cutting
</t>
        </r>
      </text>
    </comment>
    <comment ref="BK31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Cash 5000
Cheque 30000</t>
        </r>
      </text>
    </comment>
    <comment ref="BO31" authorId="3">
      <text>
        <r>
          <rPr>
            <b/>
            <sz val="10"/>
            <color indexed="81"/>
            <rFont val="Calibri"/>
          </rPr>
          <t>Paid by Karthik earlier, accounted now. Got confirmed by Gautham</t>
        </r>
      </text>
    </comment>
    <comment ref="BR31" authorId="7">
      <text>
        <r>
          <rPr>
            <sz val="9"/>
            <color indexed="81"/>
            <rFont val="Tahoma"/>
            <family val="2"/>
          </rPr>
          <t>Septic Tank Cleaning</t>
        </r>
      </text>
    </comment>
    <comment ref="BS31" authorId="7">
      <text>
        <r>
          <rPr>
            <sz val="9"/>
            <color indexed="81"/>
            <rFont val="Tahoma"/>
            <family val="2"/>
          </rPr>
          <t>Septic pipe block Cleaning work</t>
        </r>
      </text>
    </comment>
    <comment ref="BT31" authorId="3">
      <text>
        <r>
          <rPr>
            <b/>
            <sz val="10"/>
            <color indexed="81"/>
            <rFont val="Calibri"/>
          </rPr>
          <t>2800 received from layout members</t>
        </r>
      </text>
    </comment>
    <comment ref="BV31" authorId="3">
      <text>
        <r>
          <rPr>
            <b/>
            <sz val="10"/>
            <color indexed="81"/>
            <rFont val="Calibri"/>
          </rPr>
          <t>Cash 5000</t>
        </r>
      </text>
    </comment>
    <comment ref="BZ31" authorId="3">
      <text>
        <r>
          <rPr>
            <b/>
            <sz val="10"/>
            <color indexed="81"/>
            <rFont val="Calibri"/>
          </rPr>
          <t>Ashutosh paid initially and we paid to ashu</t>
        </r>
      </text>
    </comment>
    <comment ref="AL32" authorId="4">
      <text>
        <r>
          <rPr>
            <sz val="9"/>
            <color indexed="81"/>
            <rFont val="Tahoma"/>
            <family val="2"/>
          </rPr>
          <t xml:space="preserve">Club House Flooring + Electricty Fitting
</t>
        </r>
      </text>
    </comment>
    <comment ref="AM32" authorId="4">
      <text>
        <r>
          <rPr>
            <sz val="9"/>
            <color indexed="81"/>
            <rFont val="Tahoma"/>
            <family val="2"/>
          </rPr>
          <t>Club House Stair boundary + Electricty Fitting
+ Kids play area boundery</t>
        </r>
      </text>
    </comment>
    <comment ref="AN32" authorId="4">
      <text>
        <r>
          <rPr>
            <sz val="9"/>
            <color indexed="81"/>
            <rFont val="Tahoma"/>
            <family val="2"/>
          </rPr>
          <t>6.4K stair and boundery
63k for painting
27k for door and window in club house</t>
        </r>
      </text>
    </comment>
    <comment ref="AP32" authorId="4">
      <text>
        <r>
          <rPr>
            <sz val="9"/>
            <color indexed="81"/>
            <rFont val="Tahoma"/>
            <family val="2"/>
          </rPr>
          <t xml:space="preserve">Electricity work Advance
</t>
        </r>
      </text>
    </comment>
    <comment ref="AQ32" authorId="4">
      <text>
        <r>
          <rPr>
            <sz val="9"/>
            <color indexed="81"/>
            <rFont val="Tahoma"/>
            <family val="2"/>
          </rPr>
          <t xml:space="preserve">Electric work 23k + floor mat + pop, autofair,labour 
</t>
        </r>
      </text>
    </comment>
    <comment ref="AR32" authorId="4">
      <text>
        <r>
          <rPr>
            <sz val="9"/>
            <color indexed="81"/>
            <rFont val="Tahoma"/>
            <family val="2"/>
          </rPr>
          <t xml:space="preserve">Window slider of 3rd floor
</t>
        </r>
      </text>
    </comment>
    <comment ref="BL32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40,000 (Advance for the works)</t>
        </r>
      </text>
    </comment>
    <comment ref="BM32" authorId="2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total cost: 59885
Adv paid 45000
</t>
        </r>
      </text>
    </comment>
    <comment ref="CA32" authorId="3">
      <text>
        <r>
          <rPr>
            <b/>
            <sz val="10"/>
            <color indexed="81"/>
            <rFont val="Calibri"/>
          </rPr>
          <t>Club house painting &amp; other repair charges. Initially paid by Mahesh</t>
        </r>
      </text>
    </comment>
  </commentList>
</comments>
</file>

<file path=xl/comments2.xml><?xml version="1.0" encoding="utf-8"?>
<comments xmlns="http://schemas.openxmlformats.org/spreadsheetml/2006/main">
  <authors>
    <author>Jitu</author>
    <author>Microsoft Office User</author>
    <author>Gautam Kumar</author>
    <author>MS95923</author>
    <author>Manendra Singh</author>
    <author>Sundaralingam Murugathithan</author>
    <author>manas_dash</author>
    <author>Manendra</author>
    <author>Satheesh  Surendran</author>
  </authors>
  <commentList>
    <comment ref="M7" authorId="0">
      <text>
        <r>
          <rPr>
            <sz val="9"/>
            <color indexed="81"/>
            <rFont val="Tahoma"/>
            <family val="2"/>
          </rPr>
          <t xml:space="preserve">Waivoff 6398
</t>
        </r>
      </text>
    </comment>
    <comment ref="Q29" authorId="0">
      <text>
        <r>
          <rPr>
            <sz val="9"/>
            <color indexed="81"/>
            <rFont val="Tahoma"/>
            <family val="2"/>
          </rPr>
          <t xml:space="preserve">waive off to adjust finall setllement.
</t>
        </r>
      </text>
    </comment>
    <comment ref="R29" authorId="0">
      <text>
        <r>
          <rPr>
            <sz val="9"/>
            <color indexed="81"/>
            <rFont val="Tahoma"/>
            <family val="2"/>
          </rPr>
          <t xml:space="preserve">waive off to adjust finall setllement.
</t>
        </r>
      </text>
    </comment>
    <comment ref="CK29" authorId="1">
      <text>
        <r>
          <rPr>
            <b/>
            <sz val="10"/>
            <color indexed="81"/>
            <rFont val="Calibri"/>
          </rPr>
          <t xml:space="preserve">Payment received from Builder 50,000 in that 10k allocated for katha and only 40k for rent due. </t>
        </r>
      </text>
    </comment>
    <comment ref="Y38" authorId="2">
      <text>
        <r>
          <rPr>
            <b/>
            <sz val="8"/>
            <color indexed="81"/>
            <rFont val="Tahoma"/>
            <family val="2"/>
          </rPr>
          <t>Gautam Kumar:</t>
        </r>
        <r>
          <rPr>
            <sz val="8"/>
            <color indexed="81"/>
            <rFont val="Tahoma"/>
            <family val="2"/>
          </rPr>
          <t xml:space="preserve">
Instrument not taken and he has self purchased</t>
        </r>
      </text>
    </comment>
    <comment ref="AN39" authorId="0">
      <text>
        <r>
          <rPr>
            <sz val="9"/>
            <color indexed="81"/>
            <rFont val="Tahoma"/>
            <family val="2"/>
          </rPr>
          <t>vacated the room
Party Hall + Electricty Bill</t>
        </r>
      </text>
    </comment>
    <comment ref="AS39" authorId="0">
      <text>
        <r>
          <rPr>
            <sz val="9"/>
            <color indexed="81"/>
            <rFont val="Tahoma"/>
            <family val="2"/>
          </rPr>
          <t xml:space="preserve">Contribution Form Gautam Regarding Use of Party Hall for Birthday Party
</t>
        </r>
      </text>
    </comment>
    <comment ref="BD39" authorId="3">
      <text>
        <r>
          <rPr>
            <b/>
            <sz val="8"/>
            <color indexed="81"/>
            <rFont val="Tahoma"/>
            <family val="2"/>
          </rPr>
          <t>New year Party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N39" authorId="4">
      <text>
        <r>
          <rPr>
            <b/>
            <sz val="9"/>
            <color indexed="81"/>
            <rFont val="Tahoma"/>
            <family val="2"/>
          </rPr>
          <t>Manendra Singh:
rent for 15 month (Using as Store room)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39" authorId="1">
      <text>
        <r>
          <rPr>
            <b/>
            <sz val="10"/>
            <color indexed="81"/>
            <rFont val="Calibri"/>
          </rPr>
          <t>Satheesh club house amount 250</t>
        </r>
      </text>
    </comment>
    <comment ref="CE39" authorId="1">
      <text>
        <r>
          <rPr>
            <b/>
            <sz val="10"/>
            <color indexed="81"/>
            <rFont val="Calibri"/>
          </rPr>
          <t>Paid by gautham - 500</t>
        </r>
      </text>
    </comment>
    <comment ref="BW4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Interest sheet has the details</t>
        </r>
      </text>
    </comment>
    <comment ref="BX4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Check interest sheet.</t>
        </r>
      </text>
    </comment>
    <comment ref="AA45" authorId="6">
      <text>
        <r>
          <rPr>
            <b/>
            <sz val="8"/>
            <color indexed="81"/>
            <rFont val="Tahoma"/>
            <family val="2"/>
          </rPr>
          <t>manas_dash:</t>
        </r>
        <r>
          <rPr>
            <sz val="8"/>
            <color indexed="81"/>
            <rFont val="Tahoma"/>
            <family val="2"/>
          </rPr>
          <t xml:space="preserve">
Payment 1000.00 adjusted for Pipe Repair</t>
        </r>
      </text>
    </comment>
    <comment ref="BV46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Neft 2500
Paid house Keeping: 1185</t>
        </r>
      </text>
    </comment>
    <comment ref="BW46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Cash paid</t>
        </r>
      </text>
    </comment>
    <comment ref="BX46" authorId="1">
      <text>
        <r>
          <rPr>
            <b/>
            <sz val="10"/>
            <color indexed="81"/>
            <rFont val="Calibri"/>
          </rPr>
          <t>B credit - 5000
exp paid : 6730</t>
        </r>
      </text>
    </comment>
    <comment ref="BY46" authorId="1">
      <text>
        <r>
          <rPr>
            <b/>
            <sz val="10"/>
            <color indexed="81"/>
            <rFont val="Calibri"/>
          </rPr>
          <t>G exp paid: 1280
B cr : 5000</t>
        </r>
      </text>
    </comment>
    <comment ref="CC46" authorId="1">
      <text>
        <r>
          <rPr>
            <b/>
            <sz val="10"/>
            <color indexed="81"/>
            <rFont val="Calibri"/>
          </rPr>
          <t>5350 paid my manas as garden expenses</t>
        </r>
      </text>
    </comment>
    <comment ref="CG46" authorId="1">
      <text>
        <r>
          <rPr>
            <b/>
            <sz val="10"/>
            <color indexed="81"/>
            <rFont val="Calibri"/>
          </rPr>
          <t xml:space="preserve"> Garden maintenance expenses - 1270
house keeping - 751</t>
        </r>
      </text>
    </comment>
    <comment ref="CI46" authorId="1">
      <text>
        <r>
          <rPr>
            <b/>
            <sz val="10"/>
            <color indexed="81"/>
            <rFont val="Calibri"/>
          </rPr>
          <t>435.00 for phenyl as per email</t>
        </r>
      </text>
    </comment>
    <comment ref="AF47" authorId="0">
      <text>
        <r>
          <rPr>
            <sz val="9"/>
            <color indexed="81"/>
            <rFont val="Tahoma"/>
            <family val="2"/>
          </rPr>
          <t xml:space="preserve">According to your mail you will pay for 201 as well so divided equally
</t>
        </r>
      </text>
    </comment>
    <comment ref="AU47" authorId="3">
      <text>
        <r>
          <rPr>
            <sz val="8"/>
            <color indexed="81"/>
            <rFont val="Tahoma"/>
            <family val="2"/>
          </rPr>
          <t xml:space="preserve">10K 21 June
</t>
        </r>
      </text>
    </comment>
    <comment ref="BZ47" authorId="1">
      <text>
        <r>
          <rPr>
            <sz val="10"/>
            <color indexed="81"/>
            <rFont val="Calibri"/>
          </rPr>
          <t>2 credit : 1000 + 3510</t>
        </r>
      </text>
    </comment>
    <comment ref="AF48" authorId="0">
      <text>
        <r>
          <rPr>
            <sz val="9"/>
            <color indexed="81"/>
            <rFont val="Tahoma"/>
            <family val="2"/>
          </rPr>
          <t>NEFT CITIN12180541137 MANOJ K 
Rs. 2600.</t>
        </r>
      </text>
    </comment>
    <comment ref="BV5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in CASH</t>
        </r>
      </text>
    </comment>
    <comment ref="BY50" authorId="1">
      <text>
        <r>
          <rPr>
            <b/>
            <sz val="10"/>
            <color indexed="81"/>
            <rFont val="Calibri"/>
          </rPr>
          <t>Paid for drainage some time back</t>
        </r>
      </text>
    </comment>
    <comment ref="AE51" authorId="0">
      <text>
        <r>
          <rPr>
            <sz val="9"/>
            <color indexed="81"/>
            <rFont val="Tahoma"/>
            <family val="2"/>
          </rPr>
          <t xml:space="preserve">Transferred from Account
Anupama Deevi
</t>
        </r>
      </text>
    </comment>
    <comment ref="AJ51" authorId="0">
      <text>
        <r>
          <rPr>
            <sz val="9"/>
            <color indexed="81"/>
            <rFont val="Tahoma"/>
            <family val="2"/>
          </rPr>
          <t xml:space="preserve">Transferred from Account
Anupama Deevi
</t>
        </r>
      </text>
    </comment>
    <comment ref="AU51" authorId="3">
      <text>
        <r>
          <rPr>
            <b/>
            <sz val="8"/>
            <color indexed="81"/>
            <rFont val="Tahoma"/>
            <family val="2"/>
          </rPr>
          <t>5 K + 10 K on 17 May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+ 10 K on 14 June +
5K on 20th July</t>
        </r>
      </text>
    </comment>
    <comment ref="BV51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Adjusted 50% plumber expenses.</t>
        </r>
      </text>
    </comment>
    <comment ref="CB51" authorId="7">
      <text>
        <r>
          <rPr>
            <sz val="9"/>
            <color indexed="81"/>
            <rFont val="Tahoma"/>
            <family val="2"/>
          </rPr>
          <t xml:space="preserve">250 moved towards Club house
</t>
        </r>
      </text>
    </comment>
    <comment ref="AB53" authorId="0">
      <text>
        <r>
          <rPr>
            <sz val="9"/>
            <color indexed="81"/>
            <rFont val="Tahoma"/>
            <family val="2"/>
          </rPr>
          <t xml:space="preserve">rs 272 is towards HK Item
</t>
        </r>
      </text>
    </comment>
    <comment ref="AH53" authorId="0">
      <text>
        <r>
          <rPr>
            <sz val="9"/>
            <color indexed="81"/>
            <rFont val="Tahoma"/>
            <family val="2"/>
          </rPr>
          <t>Bill yet to Receive.</t>
        </r>
      </text>
    </comment>
    <comment ref="AI53" authorId="0">
      <text>
        <r>
          <rPr>
            <sz val="9"/>
            <color indexed="81"/>
            <rFont val="Tahoma"/>
            <family val="2"/>
          </rPr>
          <t xml:space="preserve">Bill yet to Receive.
</t>
        </r>
      </text>
    </comment>
    <comment ref="AJ53" authorId="0">
      <text>
        <r>
          <rPr>
            <sz val="9"/>
            <color indexed="81"/>
            <rFont val="Tahoma"/>
            <family val="2"/>
          </rPr>
          <t>Bill not yet received</t>
        </r>
      </text>
    </comment>
    <comment ref="AU53" authorId="3">
      <text>
        <r>
          <rPr>
            <sz val="8"/>
            <color indexed="81"/>
            <rFont val="Tahoma"/>
            <family val="2"/>
          </rPr>
          <t xml:space="preserve">5 K 13 May + 5K 20 June
</t>
        </r>
      </text>
    </comment>
    <comment ref="BX53" authorId="1">
      <text>
        <r>
          <rPr>
            <sz val="10"/>
            <color indexed="81"/>
            <rFont val="Calibri"/>
          </rPr>
          <t xml:space="preserve">03 - 3200
10 - 3200
</t>
        </r>
      </text>
    </comment>
    <comment ref="BZ53" authorId="1">
      <text>
        <r>
          <rPr>
            <b/>
            <sz val="10"/>
            <color indexed="81"/>
            <rFont val="Calibri"/>
          </rPr>
          <t>Credit : 3150
adjusted 250 to club house as per email</t>
        </r>
      </text>
    </comment>
    <comment ref="CD53" authorId="1">
      <text>
        <r>
          <rPr>
            <b/>
            <sz val="10"/>
            <color indexed="81"/>
            <rFont val="Calibri"/>
          </rPr>
          <t>2550 - cash
600 - independence celeb cost</t>
        </r>
      </text>
    </comment>
    <comment ref="AU55" authorId="4">
      <text>
        <r>
          <rPr>
            <b/>
            <sz val="9"/>
            <color indexed="81"/>
            <rFont val="Tahoma"/>
            <family val="2"/>
          </rPr>
          <t>Manendra Singh:
Given on 26June14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55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in cash</t>
        </r>
      </text>
    </comment>
    <comment ref="AC56" authorId="0">
      <text>
        <r>
          <rPr>
            <sz val="9"/>
            <color indexed="81"/>
            <rFont val="Tahoma"/>
            <family val="2"/>
          </rPr>
          <t xml:space="preserve">Added by mistake Rs.3000/ now Adjusting
on 24March2012
</t>
        </r>
      </text>
    </comment>
    <comment ref="AF56" authorId="0">
      <text>
        <r>
          <rPr>
            <sz val="9"/>
            <color indexed="81"/>
            <rFont val="Tahoma"/>
            <family val="2"/>
          </rPr>
          <t xml:space="preserve">Deducted Cheque bounce charge by bank
</t>
        </r>
      </text>
    </comment>
    <comment ref="AV56" authorId="3">
      <text>
        <r>
          <rPr>
            <sz val="8"/>
            <color indexed="81"/>
            <rFont val="Tahoma"/>
            <family val="2"/>
          </rPr>
          <t xml:space="preserve">10K accommodate in Sanitary Work.
</t>
        </r>
      </text>
    </comment>
    <comment ref="CK56" authorId="1">
      <text>
        <r>
          <rPr>
            <b/>
            <sz val="10"/>
            <color indexed="81"/>
            <rFont val="Calibri"/>
          </rPr>
          <t>Paid by Chandan</t>
        </r>
      </text>
    </comment>
    <comment ref="AE58" authorId="0">
      <text>
        <r>
          <rPr>
            <sz val="9"/>
            <color indexed="81"/>
            <rFont val="Tahoma"/>
            <family val="2"/>
          </rPr>
          <t xml:space="preserve">NEFT 310004209 S KRISHNA MOORTHI 
</t>
        </r>
      </text>
    </comment>
    <comment ref="AF58" authorId="0">
      <text>
        <r>
          <rPr>
            <sz val="9"/>
            <color indexed="81"/>
            <rFont val="Tahoma"/>
            <family val="2"/>
          </rPr>
          <t xml:space="preserve">NEFT 315815673 S KRISHNA MOORTHI 
</t>
        </r>
      </text>
    </comment>
    <comment ref="AP58" authorId="0">
      <text>
        <r>
          <rPr>
            <sz val="9"/>
            <color indexed="81"/>
            <rFont val="Tahoma"/>
            <family val="2"/>
          </rPr>
          <t>5K +  3K on 23 July
2K on 26th Aug</t>
        </r>
      </text>
    </comment>
    <comment ref="AT58" authorId="0">
      <text>
        <r>
          <rPr>
            <sz val="9"/>
            <color indexed="81"/>
            <rFont val="Tahoma"/>
            <family val="2"/>
          </rPr>
          <t>1. Rs. 2420-5th Sep
2. Rs. 4000-16th Nov
3. Rs. 3580 - 17th Dec
 REMAINING 15200 - 3580 = 11620 WILL MOVING CHILD PLAY AREA AND OC.</t>
        </r>
      </text>
    </comment>
    <comment ref="AU58" authorId="3">
      <text>
        <r>
          <rPr>
            <sz val="8"/>
            <color indexed="81"/>
            <rFont val="Tahoma"/>
            <family val="2"/>
          </rPr>
          <t>1. RECEIVED on 17 dec Rs. 15200. 
Rs. 3580 adjusted to club house and remaining 11620 for oc and children play area.
+ 7 K in March
= Total = 18620</t>
        </r>
      </text>
    </comment>
    <comment ref="AZ58" authorId="0">
      <text>
        <r>
          <rPr>
            <sz val="9"/>
            <color indexed="81"/>
            <rFont val="Tahoma"/>
            <family val="2"/>
          </rPr>
          <t xml:space="preserve">from 5500-2790(sept Mainteance)-290(Aug balance Maintance)
</t>
        </r>
      </text>
    </comment>
    <comment ref="BF58" authorId="3">
      <text>
        <r>
          <rPr>
            <sz val="8"/>
            <color indexed="81"/>
            <rFont val="Tahoma"/>
            <family val="2"/>
          </rPr>
          <t>Remaining 7 K moved to OC</t>
        </r>
      </text>
    </comment>
    <comment ref="BU58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May 5 - 3800
May 28 - 2790</t>
        </r>
      </text>
    </comment>
    <comment ref="AB59" authorId="0">
      <text>
        <r>
          <rPr>
            <sz val="9"/>
            <color indexed="81"/>
            <rFont val="Tahoma"/>
            <family val="2"/>
          </rPr>
          <t>30/01/12
Adjusted 1780 with sundar
1000 on 30jan</t>
        </r>
      </text>
    </comment>
    <comment ref="AD59" authorId="0">
      <text>
        <r>
          <rPr>
            <sz val="9"/>
            <color indexed="81"/>
            <rFont val="Tahoma"/>
            <family val="2"/>
          </rPr>
          <t>One on 26 march
Adjusted 1780 to Dhiman Account</t>
        </r>
      </text>
    </comment>
    <comment ref="AJ59" authorId="0">
      <text>
        <r>
          <rPr>
            <sz val="9"/>
            <color indexed="81"/>
            <rFont val="Tahoma"/>
            <family val="2"/>
          </rPr>
          <t xml:space="preserve">BIJU KUMAR
</t>
        </r>
      </text>
    </comment>
    <comment ref="AU59" authorId="0">
      <text>
        <r>
          <rPr>
            <sz val="9"/>
            <color indexed="81"/>
            <rFont val="Tahoma"/>
            <family val="2"/>
          </rPr>
          <t>1st 5th june</t>
        </r>
      </text>
    </comment>
    <comment ref="BW59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two transc
3000 + 400</t>
        </r>
      </text>
    </comment>
    <comment ref="BX59" authorId="1">
      <text>
        <r>
          <rPr>
            <b/>
            <sz val="10"/>
            <color indexed="81"/>
            <rFont val="Calibri"/>
          </rPr>
          <t>13 - 5000
3 - 3200</t>
        </r>
      </text>
    </comment>
    <comment ref="BZ59" authorId="1">
      <text>
        <r>
          <rPr>
            <b/>
            <sz val="10"/>
            <color indexed="81"/>
            <rFont val="Calibri"/>
          </rPr>
          <t>2 credit :
5000 + 3200</t>
        </r>
        <r>
          <rPr>
            <sz val="10"/>
            <color indexed="81"/>
            <rFont val="Calibri"/>
          </rPr>
          <t xml:space="preserve">
</t>
        </r>
      </text>
    </comment>
    <comment ref="AJ60" authorId="0">
      <text>
        <r>
          <rPr>
            <sz val="9"/>
            <color indexed="81"/>
            <rFont val="Tahoma"/>
            <family val="2"/>
          </rPr>
          <t xml:space="preserve">Rs. 2500 moved to flat no:304 as per your mail
</t>
        </r>
      </text>
    </comment>
    <comment ref="BV6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Elec bill paid from personal account
</t>
        </r>
      </text>
    </comment>
    <comment ref="BW6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Electricity paid from personal account</t>
        </r>
      </text>
    </comment>
    <comment ref="BX6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Cash</t>
        </r>
      </text>
    </comment>
    <comment ref="BY60" authorId="1">
      <text>
        <r>
          <rPr>
            <b/>
            <sz val="10"/>
            <color indexed="81"/>
            <rFont val="Calibri"/>
          </rPr>
          <t>Paid by cash</t>
        </r>
      </text>
    </comment>
    <comment ref="CI60" authorId="1">
      <text>
        <r>
          <rPr>
            <b/>
            <sz val="10"/>
            <color indexed="81"/>
            <rFont val="Calibri"/>
          </rPr>
          <t>Adjusting from the amount due to me from association</t>
        </r>
      </text>
    </comment>
    <comment ref="AM62" authorId="0">
      <text>
        <r>
          <rPr>
            <sz val="9"/>
            <color indexed="81"/>
            <rFont val="Tahoma"/>
            <family val="2"/>
          </rPr>
          <t xml:space="preserve">Rs.312/ housekepping Items
</t>
        </r>
      </text>
    </comment>
    <comment ref="AG63" authorId="0">
      <text>
        <r>
          <rPr>
            <sz val="9"/>
            <color indexed="81"/>
            <rFont val="Tahoma"/>
            <family val="2"/>
          </rPr>
          <t>Aug,sept
Oct</t>
        </r>
      </text>
    </comment>
    <comment ref="BT63" authorId="8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Deducted 250 for club house usage</t>
        </r>
      </text>
    </comment>
    <comment ref="CC63" authorId="7">
      <text>
        <r>
          <rPr>
            <sz val="9"/>
            <color indexed="81"/>
            <rFont val="Tahoma"/>
            <family val="2"/>
          </rPr>
          <t xml:space="preserve">paid 100 for cleaning items
</t>
        </r>
      </text>
    </comment>
    <comment ref="CE63" authorId="1">
      <text>
        <r>
          <rPr>
            <b/>
            <sz val="10"/>
            <color indexed="81"/>
            <rFont val="Calibri"/>
          </rPr>
          <t>20 led bought for 2000, paid by manendra</t>
        </r>
      </text>
    </comment>
    <comment ref="AF64" authorId="0">
      <text>
        <r>
          <rPr>
            <sz val="9"/>
            <color indexed="81"/>
            <rFont val="Tahoma"/>
            <family val="2"/>
          </rPr>
          <t xml:space="preserve">devided 10 K into 5K + 5K(5K moved into deposit account)
</t>
        </r>
      </text>
    </comment>
    <comment ref="BQ64" authorId="4">
      <text>
        <r>
          <rPr>
            <b/>
            <sz val="9"/>
            <color indexed="81"/>
            <rFont val="Tahoma"/>
            <family val="2"/>
          </rPr>
          <t>5K moved to one time Gym membership fee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5" authorId="6">
      <text>
        <r>
          <rPr>
            <b/>
            <sz val="8"/>
            <color indexed="81"/>
            <rFont val="Tahoma"/>
            <family val="2"/>
          </rPr>
          <t>manas_dash:</t>
        </r>
        <r>
          <rPr>
            <sz val="8"/>
            <color indexed="81"/>
            <rFont val="Tahoma"/>
            <family val="2"/>
          </rPr>
          <t xml:space="preserve">
200-adjusted for deisel</t>
        </r>
      </text>
    </comment>
    <comment ref="AF66" authorId="0">
      <text>
        <r>
          <rPr>
            <sz val="9"/>
            <color indexed="81"/>
            <rFont val="Tahoma"/>
            <family val="2"/>
          </rPr>
          <t xml:space="preserve">SATEESH DESAI
</t>
        </r>
      </text>
    </comment>
    <comment ref="AH66" authorId="0">
      <text>
        <r>
          <rPr>
            <sz val="9"/>
            <color indexed="81"/>
            <rFont val="Tahoma"/>
            <family val="2"/>
          </rPr>
          <t xml:space="preserve">SATEESH DESAI 
</t>
        </r>
      </text>
    </comment>
    <comment ref="AI66" authorId="0">
      <text>
        <r>
          <rPr>
            <sz val="9"/>
            <color indexed="81"/>
            <rFont val="Tahoma"/>
            <family val="2"/>
          </rPr>
          <t xml:space="preserve">SATEESH DESAI 
</t>
        </r>
      </text>
    </comment>
    <comment ref="AJ66" authorId="0">
      <text>
        <r>
          <rPr>
            <sz val="9"/>
            <color indexed="81"/>
            <rFont val="Tahoma"/>
            <family val="2"/>
          </rPr>
          <t xml:space="preserve">SATEESH DESAI 
</t>
        </r>
      </text>
    </comment>
    <comment ref="AK66" authorId="0">
      <text>
        <r>
          <rPr>
            <sz val="9"/>
            <color indexed="81"/>
            <rFont val="Tahoma"/>
            <family val="2"/>
          </rPr>
          <t xml:space="preserve">SATEESH DESAI 
</t>
        </r>
      </text>
    </comment>
    <comment ref="AL66" authorId="0">
      <text>
        <r>
          <rPr>
            <sz val="9"/>
            <color indexed="81"/>
            <rFont val="Tahoma"/>
            <family val="2"/>
          </rPr>
          <t xml:space="preserve">SATEESH DESAI 
</t>
        </r>
      </text>
    </comment>
    <comment ref="BF66" authorId="4">
      <text>
        <r>
          <rPr>
            <sz val="9"/>
            <color indexed="81"/>
            <rFont val="Tahoma"/>
            <family val="2"/>
          </rPr>
          <t xml:space="preserve">Received on 02 April
</t>
        </r>
      </text>
    </comment>
    <comment ref="BG66" authorId="4">
      <text>
        <r>
          <rPr>
            <b/>
            <sz val="9"/>
            <color indexed="81"/>
            <rFont val="Tahoma"/>
            <family val="2"/>
          </rPr>
          <t>Manendra Singh
Received on 08/05/14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66" authorId="4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Received on 1 July</t>
        </r>
      </text>
    </comment>
    <comment ref="BI66" authorId="4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Received on 22/09/2014</t>
        </r>
      </text>
    </comment>
    <comment ref="BJ66" authorId="4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Received on 22/09/2014</t>
        </r>
      </text>
    </comment>
    <comment ref="BK66" authorId="4">
      <text>
        <r>
          <rPr>
            <sz val="9"/>
            <color indexed="81"/>
            <rFont val="Tahoma"/>
            <family val="2"/>
          </rPr>
          <t xml:space="preserve">Received On 08 Oct
</t>
        </r>
      </text>
    </comment>
    <comment ref="BL66" authorId="4">
      <text>
        <r>
          <rPr>
            <b/>
            <sz val="9"/>
            <color indexed="81"/>
            <rFont val="Tahoma"/>
            <family val="2"/>
          </rPr>
          <t>Manendra Singh:</t>
        </r>
        <r>
          <rPr>
            <sz val="9"/>
            <color indexed="81"/>
            <rFont val="Tahoma"/>
            <family val="2"/>
          </rPr>
          <t xml:space="preserve">
Received in 5 Nov</t>
        </r>
      </text>
    </comment>
    <comment ref="BM66" authorId="4">
      <text>
        <r>
          <rPr>
            <b/>
            <sz val="9"/>
            <color indexed="81"/>
            <rFont val="Tahoma"/>
            <family val="2"/>
          </rPr>
          <t>Received on Dec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66" authorId="4">
      <text>
        <r>
          <rPr>
            <b/>
            <sz val="9"/>
            <color indexed="81"/>
            <rFont val="Tahoma"/>
            <family val="2"/>
          </rPr>
          <t>received in jan</t>
        </r>
      </text>
    </comment>
    <comment ref="BO66" authorId="4">
      <text>
        <r>
          <rPr>
            <b/>
            <sz val="9"/>
            <color indexed="81"/>
            <rFont val="Tahoma"/>
            <family val="2"/>
          </rPr>
          <t>Received in Feb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6" authorId="8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Received in Mar15</t>
        </r>
      </text>
    </comment>
    <comment ref="BQ66" authorId="8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Received in Apr15</t>
        </r>
      </text>
    </comment>
    <comment ref="BU66" authorId="5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Received in May15</t>
        </r>
      </text>
    </comment>
    <comment ref="AU67" authorId="0">
      <text>
        <r>
          <rPr>
            <sz val="9"/>
            <color indexed="81"/>
            <rFont val="Tahoma"/>
            <family val="2"/>
          </rPr>
          <t>1st 5th june(5K)
2nd 11th July(10K)
3rd 12th Aug (15K)</t>
        </r>
      </text>
    </comment>
    <comment ref="AU68" authorId="3">
      <text>
        <r>
          <rPr>
            <sz val="8"/>
            <color indexed="81"/>
            <rFont val="Tahoma"/>
            <family val="2"/>
          </rPr>
          <t>9 May 10K + 5 feb 25 K
remaining 5 K moved to feb maintainance</t>
        </r>
      </text>
    </comment>
    <comment ref="CK68" authorId="1">
      <text>
        <r>
          <rPr>
            <b/>
            <sz val="10"/>
            <color indexed="81"/>
            <rFont val="Calibri"/>
          </rPr>
          <t>Paid by Mahesh for Main gate lights repair</t>
        </r>
      </text>
    </comment>
    <comment ref="AG69" authorId="0">
      <text>
        <r>
          <rPr>
            <sz val="9"/>
            <color indexed="81"/>
            <rFont val="Tahoma"/>
            <family val="2"/>
          </rPr>
          <t>Sept
+ Oct</t>
        </r>
      </text>
    </comment>
    <comment ref="AU69" authorId="3">
      <text>
        <r>
          <rPr>
            <sz val="8"/>
            <color indexed="81"/>
            <rFont val="Tahoma"/>
            <family val="2"/>
          </rPr>
          <t>5 K 4 July
3 K 6 Oct</t>
        </r>
      </text>
    </comment>
    <comment ref="BU69" authorId="5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Two transfers 
3170 + 2970</t>
        </r>
      </text>
    </comment>
    <comment ref="BV69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Abhinav paid for 108</t>
        </r>
      </text>
    </comment>
    <comment ref="BY69" authorId="1">
      <text>
        <r>
          <rPr>
            <b/>
            <sz val="10"/>
            <color indexed="81"/>
            <rFont val="Calibri"/>
          </rPr>
          <t>3000 + 3370 - 2 cr</t>
        </r>
      </text>
    </comment>
    <comment ref="CG69" authorId="1">
      <text>
        <r>
          <rPr>
            <b/>
            <sz val="10"/>
            <color indexed="81"/>
            <rFont val="Calibri"/>
          </rPr>
          <t xml:space="preserve">
MB-999976821552
less 1032 to adjust raj, as per email </t>
        </r>
      </text>
    </comment>
    <comment ref="AK70" authorId="0">
      <text>
        <r>
          <rPr>
            <sz val="9"/>
            <color indexed="81"/>
            <rFont val="Tahoma"/>
            <family val="2"/>
          </rPr>
          <t xml:space="preserve">10K divided into two parts Deposit 5K + Main 5K
</t>
        </r>
      </text>
    </comment>
    <comment ref="AT70" authorId="4">
      <text>
        <r>
          <rPr>
            <b/>
            <sz val="9"/>
            <color indexed="81"/>
            <rFont val="Tahoma"/>
            <family val="2"/>
          </rPr>
          <t xml:space="preserve">Manendra Singh
</t>
        </r>
        <r>
          <rPr>
            <sz val="9"/>
            <color indexed="81"/>
            <rFont val="Tahoma"/>
            <family val="2"/>
          </rPr>
          <t>Given in Oct-2014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70" authorId="4">
      <text>
        <r>
          <rPr>
            <b/>
            <sz val="9"/>
            <color indexed="81"/>
            <rFont val="Tahoma"/>
            <family val="2"/>
          </rPr>
          <t>received in jan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70" authorId="8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Received in Mar15</t>
        </r>
      </text>
    </comment>
    <comment ref="BX70" authorId="1">
      <text>
        <r>
          <rPr>
            <b/>
            <sz val="10"/>
            <color indexed="81"/>
            <rFont val="Calibri"/>
          </rPr>
          <t>21 - vivek - 3000</t>
        </r>
      </text>
    </comment>
    <comment ref="BY70" authorId="1">
      <text>
        <r>
          <rPr>
            <b/>
            <sz val="10"/>
            <color indexed="81"/>
            <rFont val="Calibri"/>
          </rPr>
          <t>Gautham trnf : 10000
Vivek - 3600</t>
        </r>
      </text>
    </comment>
    <comment ref="CD70" authorId="1">
      <text>
        <r>
          <rPr>
            <b/>
            <sz val="10"/>
            <color indexed="81"/>
            <rFont val="Calibri"/>
          </rPr>
          <t>Transferred by gautham</t>
        </r>
      </text>
    </comment>
    <comment ref="CE70" authorId="1">
      <text>
        <r>
          <rPr>
            <b/>
            <sz val="10"/>
            <color indexed="81"/>
            <rFont val="Calibri"/>
          </rPr>
          <t>Transferred by gautham</t>
        </r>
      </text>
    </comment>
    <comment ref="AU71" authorId="0">
      <text>
        <r>
          <rPr>
            <sz val="9"/>
            <color indexed="81"/>
            <rFont val="Tahoma"/>
            <family val="2"/>
          </rPr>
          <t xml:space="preserve">1st on 19th July
</t>
        </r>
      </text>
    </comment>
    <comment ref="BX71" authorId="1">
      <text>
        <r>
          <rPr>
            <b/>
            <sz val="10"/>
            <color indexed="81"/>
            <rFont val="Calibri"/>
          </rPr>
          <t>3 - 3440
25 - 25400</t>
        </r>
      </text>
    </comment>
    <comment ref="AB72" authorId="6">
      <text>
        <r>
          <rPr>
            <b/>
            <sz val="8"/>
            <color indexed="81"/>
            <rFont val="Tahoma"/>
            <family val="2"/>
          </rPr>
          <t>manas_dash:</t>
        </r>
        <r>
          <rPr>
            <sz val="8"/>
            <color indexed="81"/>
            <rFont val="Tahoma"/>
            <family val="2"/>
          </rPr>
          <t xml:space="preserve">
1000 adjusted for pipe work.(4000-1000=3000)</t>
        </r>
      </text>
    </comment>
    <comment ref="BZ72" authorId="1">
      <text>
        <r>
          <rPr>
            <b/>
            <sz val="10"/>
            <color indexed="81"/>
            <rFont val="Calibri"/>
          </rPr>
          <t>Builder paid against their dues as a final settlement</t>
        </r>
      </text>
    </comment>
    <comment ref="CD72" authorId="1">
      <text>
        <r>
          <rPr>
            <b/>
            <sz val="10"/>
            <color indexed="81"/>
            <rFont val="Calibri"/>
          </rPr>
          <t>Transferred by vishesh</t>
        </r>
      </text>
    </comment>
    <comment ref="CE72" authorId="1">
      <text>
        <r>
          <rPr>
            <b/>
            <sz val="10"/>
            <color indexed="81"/>
            <rFont val="Calibri"/>
          </rPr>
          <t>Paid to Mahesh
and adjusted
3700 - food bill 26
383 - trans
917 - led</t>
        </r>
      </text>
    </comment>
    <comment ref="AD74" authorId="0">
      <text>
        <r>
          <rPr>
            <sz val="9"/>
            <color indexed="81"/>
            <rFont val="Tahoma"/>
            <family val="2"/>
          </rPr>
          <t xml:space="preserve">Rs. 2000/ given by Raj
</t>
        </r>
      </text>
    </comment>
    <comment ref="BU74" authorId="5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Paid in cash</t>
        </r>
      </text>
    </comment>
    <comment ref="BV74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by cash</t>
        </r>
      </text>
    </comment>
    <comment ref="BW74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cash</t>
        </r>
      </text>
    </comment>
    <comment ref="BX74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cash</t>
        </r>
      </text>
    </comment>
    <comment ref="BY74" authorId="1">
      <text>
        <r>
          <rPr>
            <sz val="10"/>
            <color indexed="81"/>
            <rFont val="Calibri"/>
          </rPr>
          <t xml:space="preserve">paid cash
</t>
        </r>
      </text>
    </comment>
    <comment ref="CH74" authorId="1">
      <text>
        <r>
          <rPr>
            <b/>
            <sz val="10"/>
            <color indexed="81"/>
            <rFont val="Calibri"/>
          </rPr>
          <t>Cash - 14/6</t>
        </r>
      </text>
    </comment>
    <comment ref="CI74" authorId="1">
      <text>
        <r>
          <rPr>
            <b/>
            <sz val="10"/>
            <color indexed="81"/>
            <rFont val="Calibri"/>
          </rPr>
          <t>Cash - 5/7</t>
        </r>
      </text>
    </comment>
    <comment ref="CJ74" authorId="1">
      <text>
        <r>
          <rPr>
            <b/>
            <sz val="10"/>
            <color indexed="81"/>
            <rFont val="Calibri"/>
          </rPr>
          <t xml:space="preserve">Paid in cash
</t>
        </r>
      </text>
    </comment>
    <comment ref="CK74" authorId="1">
      <text>
        <r>
          <rPr>
            <b/>
            <sz val="10"/>
            <color indexed="81"/>
            <rFont val="Calibri"/>
          </rPr>
          <t>Paid by cash</t>
        </r>
      </text>
    </comment>
    <comment ref="CL74" authorId="1">
      <text>
        <r>
          <rPr>
            <b/>
            <sz val="10"/>
            <color indexed="81"/>
            <rFont val="Calibri"/>
          </rPr>
          <t>Paid in cash</t>
        </r>
      </text>
    </comment>
    <comment ref="AU75" authorId="0">
      <text>
        <r>
          <rPr>
            <sz val="9"/>
            <color indexed="81"/>
            <rFont val="Tahoma"/>
            <family val="2"/>
          </rPr>
          <t>1st 10 K</t>
        </r>
      </text>
    </comment>
    <comment ref="AV75" authorId="0">
      <text>
        <r>
          <rPr>
            <sz val="9"/>
            <color indexed="81"/>
            <rFont val="Tahoma"/>
            <family val="2"/>
          </rPr>
          <t xml:space="preserve">Added 600+300/ 
</t>
        </r>
      </text>
    </comment>
    <comment ref="BX75" authorId="1">
      <text>
        <r>
          <rPr>
            <b/>
            <sz val="10"/>
            <color indexed="81"/>
            <rFont val="Calibri"/>
          </rPr>
          <t>Abhinav - 3170
Rajkumar - 21200</t>
        </r>
      </text>
    </comment>
    <comment ref="CH75" authorId="1">
      <text>
        <r>
          <rPr>
            <b/>
            <sz val="10"/>
            <color indexed="81"/>
            <rFont val="Calibri"/>
          </rPr>
          <t>reduced 1032 and credited full amount, as per mail</t>
        </r>
      </text>
    </comment>
    <comment ref="AG76" authorId="0">
      <text>
        <r>
          <rPr>
            <sz val="9"/>
            <color indexed="81"/>
            <rFont val="Tahoma"/>
            <family val="2"/>
          </rPr>
          <t>Aug
sep
oct</t>
        </r>
      </text>
    </comment>
    <comment ref="AU76" authorId="3">
      <text>
        <r>
          <rPr>
            <sz val="8"/>
            <color indexed="81"/>
            <rFont val="Tahoma"/>
            <family val="2"/>
          </rPr>
          <t xml:space="preserve">5K 2 July
</t>
        </r>
      </text>
    </comment>
    <comment ref="BX76" authorId="1">
      <text>
        <r>
          <rPr>
            <b/>
            <sz val="10"/>
            <color indexed="81"/>
            <rFont val="Calibri"/>
          </rPr>
          <t xml:space="preserve">5 - 3000,10 - 15000
Disel June -&gt; 900
D -&gt; 250 club house
Gym 5000
</t>
        </r>
      </text>
    </comment>
    <comment ref="BY76" authorId="1">
      <text>
        <r>
          <rPr>
            <b/>
            <sz val="10"/>
            <color indexed="81"/>
            <rFont val="Calibri"/>
          </rPr>
          <t>c - &gt; 3000
Disel bill : 2348.5</t>
        </r>
      </text>
    </comment>
    <comment ref="CD76" authorId="1">
      <text>
        <r>
          <rPr>
            <b/>
            <sz val="10"/>
            <color indexed="81"/>
            <rFont val="Calibri"/>
          </rPr>
          <t>Jan 26th food advance - 500</t>
        </r>
      </text>
    </comment>
    <comment ref="BB77" authorId="3">
      <text>
        <r>
          <rPr>
            <sz val="8"/>
            <color indexed="81"/>
            <rFont val="Tahoma"/>
            <family val="2"/>
          </rPr>
          <t xml:space="preserve">Security room paint expence
</t>
        </r>
      </text>
    </comment>
    <comment ref="BX77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Credited 10000
250 deducted for club house</t>
        </r>
      </text>
    </comment>
    <comment ref="AB78" authorId="6">
      <text>
        <r>
          <rPr>
            <b/>
            <sz val="8"/>
            <color indexed="81"/>
            <rFont val="Tahoma"/>
            <family val="2"/>
          </rPr>
          <t>manas_dash:</t>
        </r>
        <r>
          <rPr>
            <sz val="8"/>
            <color indexed="81"/>
            <rFont val="Tahoma"/>
            <family val="2"/>
          </rPr>
          <t xml:space="preserve">
Check Bounce charge 100 deducted for Jan 2012 collection</t>
        </r>
      </text>
    </comment>
    <comment ref="BX78" authorId="1">
      <text>
        <r>
          <rPr>
            <b/>
            <sz val="10"/>
            <color indexed="81"/>
            <rFont val="Calibri"/>
          </rPr>
          <t>c- 24 - 3470
exp. Paid : 6k motor, 300 plumber, purchases 1830
c - 27 - 200</t>
        </r>
      </text>
    </comment>
    <comment ref="CB78" authorId="1">
      <text>
        <r>
          <rPr>
            <b/>
            <sz val="10"/>
            <color indexed="81"/>
            <rFont val="Calibri"/>
          </rPr>
          <t>Consumables 1169 paid</t>
        </r>
      </text>
    </comment>
    <comment ref="BV79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via cheque
7000 + 4000</t>
        </r>
      </text>
    </comment>
    <comment ref="BX79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cheque 3500 to be deposited
nother cheque 10000</t>
        </r>
      </text>
    </comment>
    <comment ref="CC79" authorId="1">
      <text>
        <r>
          <rPr>
            <b/>
            <sz val="10"/>
            <color indexed="81"/>
            <rFont val="Calibri"/>
          </rPr>
          <t>paid cash 10000
added as 5000 + 5000</t>
        </r>
      </text>
    </comment>
    <comment ref="CH79" authorId="1">
      <text>
        <r>
          <rPr>
            <b/>
            <sz val="10"/>
            <color indexed="81"/>
            <rFont val="Calibri"/>
          </rPr>
          <t>Paid cash 07/06</t>
        </r>
      </text>
    </comment>
    <comment ref="CI79" authorId="1">
      <text>
        <r>
          <rPr>
            <b/>
            <sz val="10"/>
            <color indexed="81"/>
            <rFont val="Calibri"/>
          </rPr>
          <t>cash - 03/7</t>
        </r>
      </text>
    </comment>
    <comment ref="AW80" authorId="0">
      <text>
        <r>
          <rPr>
            <sz val="9"/>
            <color indexed="81"/>
            <rFont val="Tahoma"/>
            <family val="2"/>
          </rPr>
          <t xml:space="preserve">Received in July
</t>
        </r>
      </text>
    </comment>
    <comment ref="AY80" authorId="0">
      <text>
        <r>
          <rPr>
            <sz val="9"/>
            <color indexed="81"/>
            <rFont val="Tahoma"/>
            <family val="2"/>
          </rPr>
          <t xml:space="preserve">received in Sep
</t>
        </r>
      </text>
    </comment>
    <comment ref="BX80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Paid Cash
8 - 5000
13 - 15000</t>
        </r>
      </text>
    </comment>
    <comment ref="BY80" authorId="1">
      <text>
        <r>
          <rPr>
            <b/>
            <sz val="10"/>
            <color indexed="81"/>
            <rFont val="Calibri"/>
          </rPr>
          <t>Paid cash</t>
        </r>
      </text>
    </comment>
    <comment ref="AB81" authorId="6">
      <text>
        <r>
          <rPr>
            <b/>
            <sz val="8"/>
            <color indexed="81"/>
            <rFont val="Tahoma"/>
            <family val="2"/>
          </rPr>
          <t>manas_dash:</t>
        </r>
        <r>
          <rPr>
            <sz val="8"/>
            <color indexed="81"/>
            <rFont val="Tahoma"/>
            <family val="2"/>
          </rPr>
          <t xml:space="preserve">
1000 adjusted for pipe work.(4000-1000=3000)</t>
        </r>
      </text>
    </comment>
    <comment ref="AV81" authorId="0">
      <text>
        <r>
          <rPr>
            <sz val="9"/>
            <color indexed="81"/>
            <rFont val="Tahoma"/>
            <family val="2"/>
          </rPr>
          <t xml:space="preserve">Received in July
</t>
        </r>
      </text>
    </comment>
    <comment ref="AW81" authorId="0">
      <text>
        <r>
          <rPr>
            <sz val="9"/>
            <color indexed="81"/>
            <rFont val="Tahoma"/>
            <family val="2"/>
          </rPr>
          <t xml:space="preserve">Received in Oct
</t>
        </r>
      </text>
    </comment>
    <comment ref="AX81" authorId="3">
      <text>
        <r>
          <rPr>
            <sz val="8"/>
            <color indexed="81"/>
            <rFont val="Tahoma"/>
            <family val="2"/>
          </rPr>
          <t>Received in Dec</t>
        </r>
      </text>
    </comment>
    <comment ref="BY81" authorId="1">
      <text>
        <r>
          <rPr>
            <sz val="10"/>
            <color indexed="81"/>
            <rFont val="Calibri"/>
          </rPr>
          <t xml:space="preserve">01/09 - 3750
30/09 - 3750
</t>
        </r>
      </text>
    </comment>
    <comment ref="CG81" authorId="1">
      <text>
        <r>
          <rPr>
            <b/>
            <sz val="10"/>
            <color indexed="81"/>
            <rFont val="Calibri"/>
          </rPr>
          <t>Tank cleaning charges paid</t>
        </r>
      </text>
    </comment>
    <comment ref="AL82" authorId="0">
      <text>
        <r>
          <rPr>
            <sz val="9"/>
            <color indexed="81"/>
            <rFont val="Tahoma"/>
            <family val="2"/>
          </rPr>
          <t>Yet to receive Rs.50/</t>
        </r>
      </text>
    </comment>
    <comment ref="AM82" authorId="0">
      <text>
        <r>
          <rPr>
            <sz val="9"/>
            <color indexed="81"/>
            <rFont val="Tahoma"/>
            <family val="2"/>
          </rPr>
          <t xml:space="preserve">Yet to receive Rs.300/
</t>
        </r>
      </text>
    </comment>
    <comment ref="AN82" authorId="0">
      <text>
        <r>
          <rPr>
            <sz val="9"/>
            <color indexed="81"/>
            <rFont val="Tahoma"/>
            <family val="2"/>
          </rPr>
          <t xml:space="preserve">Collected Rs. 400 for 31st party which was held in club-house.
+ Rs 200/ for electricty bill which was used by Manendra
</t>
        </r>
      </text>
    </comment>
    <comment ref="AR82" authorId="0">
      <text>
        <r>
          <rPr>
            <sz val="9"/>
            <color indexed="81"/>
            <rFont val="Tahoma"/>
            <family val="2"/>
          </rPr>
          <t xml:space="preserve">Contribution Regarding Use of Party Hall + Water
Rs.500- Holi Celebration
Rs. 500 - Manendra Party
</t>
        </r>
      </text>
    </comment>
    <comment ref="AS82" authorId="0">
      <text>
        <r>
          <rPr>
            <b/>
            <sz val="9"/>
            <color indexed="81"/>
            <rFont val="Tahoma"/>
            <family val="2"/>
          </rPr>
          <t>Contribution Form Gautam Regarding Use of Party Hall for Birthday Party</t>
        </r>
      </text>
    </comment>
    <comment ref="BF82" authorId="4">
      <text>
        <r>
          <rPr>
            <sz val="9"/>
            <color indexed="81"/>
            <rFont val="Tahoma"/>
            <family val="2"/>
          </rPr>
          <t xml:space="preserve">Club House uses + Water + club house uses
</t>
        </r>
      </text>
    </comment>
    <comment ref="BT82" authorId="8">
      <text>
        <r>
          <rPr>
            <b/>
            <sz val="9"/>
            <color indexed="81"/>
            <rFont val="Tahoma"/>
            <family val="2"/>
          </rPr>
          <t>Satheesh  Surendran:</t>
        </r>
        <r>
          <rPr>
            <sz val="9"/>
            <color indexed="81"/>
            <rFont val="Tahoma"/>
            <family val="2"/>
          </rPr>
          <t xml:space="preserve">
1. Holi celebration - 1000 (from Gautam)
2. Club house usage - 250 (from Manendra)</t>
        </r>
      </text>
    </comment>
    <comment ref="BU82" authorId="5">
      <text>
        <r>
          <rPr>
            <b/>
            <sz val="9"/>
            <color indexed="81"/>
            <rFont val="Tahoma"/>
            <family val="2"/>
          </rPr>
          <t>Sundaralingam Murugathithan:</t>
        </r>
        <r>
          <rPr>
            <sz val="9"/>
            <color indexed="81"/>
            <rFont val="Tahoma"/>
            <family val="2"/>
          </rPr>
          <t xml:space="preserve">
Shashi krishna - transferred to bank</t>
        </r>
      </text>
    </comment>
    <comment ref="BV82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BH party contibution.
Paid cash by Sundar</t>
        </r>
      </text>
    </comment>
    <comment ref="BX82" authorId="5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Ashu birthday cleb
vishesh</t>
        </r>
      </text>
    </comment>
    <comment ref="BY82" authorId="1">
      <text/>
    </comment>
    <comment ref="CB82" authorId="7">
      <text>
        <r>
          <rPr>
            <b/>
            <sz val="9"/>
            <color indexed="81"/>
            <rFont val="Tahoma"/>
            <family val="2"/>
          </rPr>
          <t xml:space="preserve"> PHANI
KRISHNA NARAYANAM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82" authorId="1">
      <text>
        <r>
          <rPr>
            <b/>
            <sz val="10"/>
            <color indexed="81"/>
            <rFont val="Calibri"/>
          </rPr>
          <t>received SBM cheque for 8240
Need to find the actual owner
BY CLG INST 998685:SBM AT BANGALORE</t>
        </r>
      </text>
    </comment>
    <comment ref="CD82" authorId="1">
      <text>
        <r>
          <rPr>
            <b/>
            <sz val="10"/>
            <color indexed="81"/>
            <rFont val="Calibri"/>
          </rPr>
          <t>Party hall used by gautham</t>
        </r>
      </text>
    </comment>
    <comment ref="CG82" authorId="1">
      <text>
        <r>
          <rPr>
            <b/>
            <sz val="10"/>
            <color indexed="81"/>
            <rFont val="Calibri"/>
          </rPr>
          <t>Need to find the credit owner
NEFTINW-0040941267</t>
        </r>
      </text>
    </comment>
    <comment ref="CH82" authorId="1">
      <text>
        <r>
          <rPr>
            <b/>
            <sz val="10"/>
            <color indexed="81"/>
            <rFont val="Calibri"/>
          </rPr>
          <t>Need to find the credit owner
NEFTINW-0043499158</t>
        </r>
      </text>
    </comment>
    <comment ref="CK82" authorId="1">
      <text>
        <r>
          <rPr>
            <b/>
            <sz val="10"/>
            <color indexed="81"/>
            <rFont val="Calibri"/>
          </rPr>
          <t>Store room rent received. Check email from Gautham</t>
        </r>
      </text>
    </comment>
    <comment ref="AE90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E91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N93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D113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E113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F113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H113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  <comment ref="AM113" authorId="0">
      <text/>
    </comment>
    <comment ref="AN113" authorId="0">
      <text>
        <r>
          <rPr>
            <sz val="9"/>
            <color indexed="81"/>
            <rFont val="Tahoma"/>
            <family val="2"/>
          </rPr>
          <t xml:space="preserve">Informed
</t>
        </r>
      </text>
    </comment>
  </commentList>
</comments>
</file>

<file path=xl/comments3.xml><?xml version="1.0" encoding="utf-8"?>
<comments xmlns="http://schemas.openxmlformats.org/spreadsheetml/2006/main">
  <authors>
    <author>Sundaralingam Murugathithan</author>
  </authors>
  <commentList>
    <comment ref="E13" authorId="0">
      <text>
        <r>
          <rPr>
            <b/>
            <sz val="9"/>
            <color indexed="81"/>
            <rFont val="Calibri"/>
            <family val="2"/>
          </rPr>
          <t>Sundaralingam Murugathithan:</t>
        </r>
        <r>
          <rPr>
            <sz val="9"/>
            <color indexed="81"/>
            <rFont val="Calibri"/>
            <family val="2"/>
          </rPr>
          <t xml:space="preserve">
Cr. 8353 but dr 10000</t>
        </r>
      </text>
    </comment>
  </commentList>
</comments>
</file>

<file path=xl/sharedStrings.xml><?xml version="1.0" encoding="utf-8"?>
<sst xmlns="http://schemas.openxmlformats.org/spreadsheetml/2006/main" count="791" uniqueCount="211">
  <si>
    <t>Receipts &amp; Exepnditure Statement</t>
  </si>
  <si>
    <t>Monthly Breakup of Expenses</t>
  </si>
  <si>
    <t>Receipts</t>
  </si>
  <si>
    <t>Expenses</t>
  </si>
  <si>
    <t>Flat #</t>
  </si>
  <si>
    <t>Owners Name</t>
  </si>
  <si>
    <t>Security Guards</t>
  </si>
  <si>
    <t>001</t>
  </si>
  <si>
    <t>Manas Dash</t>
  </si>
  <si>
    <t>House Keeping Labour</t>
  </si>
  <si>
    <t>101</t>
  </si>
  <si>
    <t>Manoj Nair</t>
  </si>
  <si>
    <t>Common Electricity - BESCOM</t>
  </si>
  <si>
    <t>Jay Krishan</t>
  </si>
  <si>
    <t xml:space="preserve">Water Tankers </t>
  </si>
  <si>
    <t>Vinoy</t>
  </si>
  <si>
    <t>Gardening</t>
  </si>
  <si>
    <t>002</t>
  </si>
  <si>
    <t>Waste Disposal</t>
  </si>
  <si>
    <t>102</t>
  </si>
  <si>
    <t>Phani Krishna</t>
  </si>
  <si>
    <t>Deisel for Generator</t>
  </si>
  <si>
    <t>202</t>
  </si>
  <si>
    <t>Subhash Chandra Gupta</t>
  </si>
  <si>
    <t>House Keeping consumables</t>
  </si>
  <si>
    <t>302</t>
  </si>
  <si>
    <t>Satheesh S</t>
  </si>
  <si>
    <t>Pest Control</t>
  </si>
  <si>
    <t>003</t>
  </si>
  <si>
    <t>Builder (Kempanna)</t>
  </si>
  <si>
    <t>Generator AMC</t>
  </si>
  <si>
    <t>103</t>
  </si>
  <si>
    <t>Shashi Prakash Krishna</t>
  </si>
  <si>
    <t>Generator Repair/Servicing</t>
  </si>
  <si>
    <t>203</t>
  </si>
  <si>
    <t>Philip George (Rahul)</t>
  </si>
  <si>
    <t>Motor Purchase/Repair</t>
  </si>
  <si>
    <t>303</t>
  </si>
  <si>
    <t>Sanjib Singh</t>
  </si>
  <si>
    <t>Lift AMC</t>
  </si>
  <si>
    <t>004</t>
  </si>
  <si>
    <t>Krishna Murthy</t>
  </si>
  <si>
    <t>Lift Repair</t>
  </si>
  <si>
    <t>104</t>
  </si>
  <si>
    <t>Niteen Kole</t>
  </si>
  <si>
    <t>Plumbing</t>
  </si>
  <si>
    <t>204</t>
  </si>
  <si>
    <t>M. Sundaralingam</t>
  </si>
  <si>
    <t>Electrical Repair</t>
  </si>
  <si>
    <t>304</t>
  </si>
  <si>
    <t>Dhiman</t>
  </si>
  <si>
    <t>005</t>
  </si>
  <si>
    <t>Lawyer</t>
  </si>
  <si>
    <t>105</t>
  </si>
  <si>
    <t>Manendra Prasad  Singh</t>
  </si>
  <si>
    <t>Miscellaneous</t>
  </si>
  <si>
    <t>205</t>
  </si>
  <si>
    <t>Balaji Ganapathi</t>
  </si>
  <si>
    <t>Intercom AMC</t>
  </si>
  <si>
    <t>305</t>
  </si>
  <si>
    <t>Gautam Kumar</t>
  </si>
  <si>
    <t>Intercom Purchase/Repair</t>
  </si>
  <si>
    <t>006</t>
  </si>
  <si>
    <t>106</t>
  </si>
  <si>
    <t>Ivin Sebastian</t>
  </si>
  <si>
    <t>206</t>
  </si>
  <si>
    <t>Maheshwar Mohanty</t>
  </si>
  <si>
    <t>306</t>
  </si>
  <si>
    <t>Abhinav Nigam</t>
  </si>
  <si>
    <t>007</t>
  </si>
  <si>
    <t>Ramesh Gangan</t>
  </si>
  <si>
    <t>107</t>
  </si>
  <si>
    <t>A Vinod Kumar</t>
  </si>
  <si>
    <t>207</t>
  </si>
  <si>
    <t>307</t>
  </si>
  <si>
    <t>Amarjeet Kumar</t>
  </si>
  <si>
    <t>008</t>
  </si>
  <si>
    <t>Praveen Pattanshetti</t>
  </si>
  <si>
    <t>108</t>
  </si>
  <si>
    <t>Raj kumar Mandal</t>
  </si>
  <si>
    <t>208</t>
  </si>
  <si>
    <t>Vishesh Nigam</t>
  </si>
  <si>
    <t>308</t>
  </si>
  <si>
    <t>Asutosh</t>
  </si>
  <si>
    <t>009</t>
  </si>
  <si>
    <t>Raghunandan</t>
  </si>
  <si>
    <t>109</t>
  </si>
  <si>
    <t>Jaya Prakash</t>
  </si>
  <si>
    <t>209</t>
  </si>
  <si>
    <t>Mahesh Suragimath</t>
  </si>
  <si>
    <t>309</t>
  </si>
  <si>
    <t>Sham Jois, Natraj</t>
  </si>
  <si>
    <t>Grand Total</t>
  </si>
  <si>
    <t>Amount Receivable</t>
  </si>
  <si>
    <t>SN</t>
  </si>
  <si>
    <t xml:space="preserve">Block </t>
  </si>
  <si>
    <t>Owner Name</t>
  </si>
  <si>
    <t>Sq Ft</t>
  </si>
  <si>
    <t>Receivable</t>
  </si>
  <si>
    <t>Received</t>
  </si>
  <si>
    <t>Balance</t>
  </si>
  <si>
    <t>Deposit</t>
  </si>
  <si>
    <t>Intercom</t>
  </si>
  <si>
    <t>A</t>
  </si>
  <si>
    <t>B</t>
  </si>
  <si>
    <t>Total</t>
  </si>
  <si>
    <t>Amount Received</t>
  </si>
  <si>
    <t>Begur Heights Owners' Welfare Association (BHOWA)</t>
  </si>
  <si>
    <t>Karthik (Raja)</t>
  </si>
  <si>
    <t>Tank Cleaning/Repairing</t>
  </si>
  <si>
    <t>Fire Extinguisher</t>
  </si>
  <si>
    <t>Security  Related (Gril,Mat etc.)</t>
  </si>
  <si>
    <t>Penalty Receivable</t>
  </si>
  <si>
    <t>Pipe Repair</t>
  </si>
  <si>
    <t>Penalty Receivabled</t>
  </si>
  <si>
    <t>Gopa Kumar</t>
  </si>
  <si>
    <t>Krishnan</t>
  </si>
  <si>
    <t>April-12</t>
  </si>
  <si>
    <t>Apartment Infra Structure Repair</t>
  </si>
  <si>
    <t>Store Room +  Party Hall</t>
  </si>
  <si>
    <t>Store Room/Club House</t>
  </si>
  <si>
    <t>Sanitary Work</t>
  </si>
  <si>
    <t>OC, Children Park and L Box</t>
  </si>
  <si>
    <t>Club-House Dev</t>
  </si>
  <si>
    <t>OC, Children Play Area and L Box</t>
  </si>
  <si>
    <t>Children Park</t>
  </si>
  <si>
    <t>For the Period from November 2010 to Till Date</t>
  </si>
  <si>
    <t>Till Date</t>
  </si>
  <si>
    <t>M Srinivasa</t>
  </si>
  <si>
    <t>Septick Tank n Pipe cleaning maintenance</t>
  </si>
  <si>
    <t>Sidda Raju</t>
  </si>
  <si>
    <t>Member</t>
  </si>
  <si>
    <t>Yes</t>
  </si>
  <si>
    <t>Yet To Confirm</t>
  </si>
  <si>
    <t>Will Decide Later</t>
  </si>
  <si>
    <t xml:space="preserve">Membership </t>
  </si>
  <si>
    <t>Gym</t>
  </si>
  <si>
    <t xml:space="preserve">Septick Tank Cleaning </t>
  </si>
  <si>
    <t xml:space="preserve">Monthly Maintenace </t>
  </si>
  <si>
    <t>Club house + Children Play area</t>
  </si>
  <si>
    <t>Khata</t>
  </si>
  <si>
    <t>Corpus</t>
  </si>
  <si>
    <t>Active Flat Owners</t>
  </si>
  <si>
    <t>Total Flat Count</t>
  </si>
  <si>
    <t>Per Flat Collection</t>
  </si>
  <si>
    <t>NA</t>
  </si>
  <si>
    <t>Monthly</t>
  </si>
  <si>
    <t>1.5 per SQFT +  1000</t>
  </si>
  <si>
    <t xml:space="preserve">Receivable </t>
  </si>
  <si>
    <t>Reeived</t>
  </si>
  <si>
    <t>Money Yet to collect</t>
  </si>
  <si>
    <t>Spending</t>
  </si>
  <si>
    <t>200 p m</t>
  </si>
  <si>
    <t>Balance Left</t>
  </si>
  <si>
    <t>in Bank</t>
  </si>
  <si>
    <t>in Cash</t>
  </si>
  <si>
    <t>Item</t>
  </si>
  <si>
    <t xml:space="preserve">Club House </t>
  </si>
  <si>
    <t>Particular</t>
  </si>
  <si>
    <t>No#</t>
  </si>
  <si>
    <t>Price</t>
  </si>
  <si>
    <t>Bodyfit Pro Weight Lifting Home Gym 30 Kg + 4 Rods (1 Curl)+ Gloves+ Rope+W. Band</t>
  </si>
  <si>
    <t>Kamachi Straight Sit Up Bench</t>
  </si>
  <si>
    <t>Vibro Sports Preacher Bench</t>
  </si>
  <si>
    <t>Roller Slide Abdominal Exerciser</t>
  </si>
  <si>
    <t>Cosco CEB-Trim 400 R Recumbent Bike Magnetic 6 Kg Flywheel</t>
  </si>
  <si>
    <t>Lifeline Ab care 111 Abdominal Ab King Pro
Fit-Next Taiwan AS-1000 AB Slimmer- Quantity - 2</t>
  </si>
  <si>
    <t xml:space="preserve">Weight Lifting Gym </t>
  </si>
  <si>
    <t>Cosco CTM-510 Multi-Functional Treadmill (Manual 4 In 1 )</t>
  </si>
  <si>
    <t>Isosolid Demanded Wall Mount Chinups Bar</t>
  </si>
  <si>
    <t>Cosco Multi Gym</t>
  </si>
  <si>
    <t xml:space="preserve">Yoga Mat-Quantity - 2 </t>
  </si>
  <si>
    <t>Cosco CET-Trim 500 E Elliptical Trainer With 8 Kg Fly Wheel</t>
  </si>
  <si>
    <t>Flat Bench</t>
  </si>
  <si>
    <t>Installation</t>
  </si>
  <si>
    <t>Ecowellness Push Up Bars</t>
  </si>
  <si>
    <t>Kamachi Weight Lifting Belt- Quantity - 2</t>
  </si>
  <si>
    <t>weighing machine</t>
  </si>
  <si>
    <t>FY 14-15</t>
  </si>
  <si>
    <t>FY 15-16</t>
  </si>
  <si>
    <t>in FD</t>
  </si>
  <si>
    <t>Interest Income</t>
  </si>
  <si>
    <t>Store Room+Interest</t>
  </si>
  <si>
    <t>Diff</t>
  </si>
  <si>
    <t>Other Income( rent)</t>
  </si>
  <si>
    <t>Alamari purchase</t>
  </si>
  <si>
    <t>Date</t>
  </si>
  <si>
    <t>Amount</t>
  </si>
  <si>
    <t>Jul 09 statement</t>
  </si>
  <si>
    <t>Ashutosh</t>
  </si>
  <si>
    <t>Aug 09 statement</t>
  </si>
  <si>
    <t>Biju Kumar</t>
  </si>
  <si>
    <t>Sunil Kumar</t>
  </si>
  <si>
    <t>Oct 01 statement</t>
  </si>
  <si>
    <t>Nov 03 statement</t>
  </si>
  <si>
    <t>Anshuman</t>
  </si>
  <si>
    <t>Divang Sharma</t>
  </si>
  <si>
    <t>Jan 10 statement</t>
  </si>
  <si>
    <t>Inerest on deposit</t>
  </si>
  <si>
    <t>Current Balance</t>
  </si>
  <si>
    <t>Fixed Deposits</t>
  </si>
  <si>
    <t>Last Balance</t>
  </si>
  <si>
    <t>Interest</t>
  </si>
  <si>
    <t>Feb 26 statement</t>
  </si>
  <si>
    <t>Mar 30 statement</t>
  </si>
  <si>
    <t>May 21 statement</t>
  </si>
  <si>
    <t>Sumit Varghese</t>
  </si>
  <si>
    <t>July 16 statement</t>
  </si>
  <si>
    <t>Sep 05 statement</t>
  </si>
  <si>
    <t>Oct 18 statement</t>
  </si>
  <si>
    <t>Vivek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</si>
</sst>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61616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</font>
    <font>
      <b/>
      <sz val="10"/>
      <color indexed="81"/>
      <name val="Calibri"/>
    </font>
    <font>
      <sz val="11"/>
      <color rgb="FF000000"/>
      <name val="Calibri"/>
      <family val="2"/>
      <scheme val="minor"/>
    </font>
    <font>
      <sz val="10"/>
      <color theme="1"/>
      <name val="Helvetica"/>
    </font>
    <font>
      <b/>
      <sz val="11"/>
      <color rgb="FFFF0000"/>
      <name val="Calibri"/>
      <scheme val="minor"/>
    </font>
    <font>
      <sz val="13"/>
      <color rgb="FF222222"/>
      <name val="Arial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4">
    <xf numFmtId="0" fontId="0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06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0" xfId="1" applyNumberFormat="1" applyFont="1"/>
    <xf numFmtId="0" fontId="5" fillId="4" borderId="10" xfId="0" applyFont="1" applyFill="1" applyBorder="1"/>
    <xf numFmtId="0" fontId="4" fillId="4" borderId="12" xfId="0" applyFont="1" applyFill="1" applyBorder="1"/>
    <xf numFmtId="49" fontId="4" fillId="3" borderId="11" xfId="0" applyNumberFormat="1" applyFont="1" applyFill="1" applyBorder="1" applyAlignment="1">
      <alignment horizontal="center"/>
    </xf>
    <xf numFmtId="0" fontId="4" fillId="3" borderId="12" xfId="0" applyFont="1" applyFill="1" applyBorder="1"/>
    <xf numFmtId="0" fontId="5" fillId="3" borderId="12" xfId="0" applyFont="1" applyFill="1" applyBorder="1"/>
    <xf numFmtId="0" fontId="5" fillId="4" borderId="12" xfId="0" applyFont="1" applyFill="1" applyBorder="1"/>
    <xf numFmtId="0" fontId="5" fillId="5" borderId="12" xfId="0" applyFont="1" applyFill="1" applyBorder="1"/>
    <xf numFmtId="164" fontId="5" fillId="5" borderId="13" xfId="1" applyNumberFormat="1" applyFont="1" applyFill="1" applyBorder="1"/>
    <xf numFmtId="164" fontId="5" fillId="0" borderId="0" xfId="1" applyNumberFormat="1" applyFont="1" applyBorder="1"/>
    <xf numFmtId="49" fontId="5" fillId="3" borderId="11" xfId="0" applyNumberFormat="1" applyFont="1" applyFill="1" applyBorder="1" applyAlignment="1">
      <alignment horizontal="center"/>
    </xf>
    <xf numFmtId="164" fontId="5" fillId="3" borderId="12" xfId="0" applyNumberFormat="1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4" borderId="15" xfId="0" applyFont="1" applyFill="1" applyBorder="1"/>
    <xf numFmtId="0" fontId="5" fillId="5" borderId="15" xfId="0" applyFont="1" applyFill="1" applyBorder="1"/>
    <xf numFmtId="0" fontId="5" fillId="3" borderId="16" xfId="0" applyFont="1" applyFill="1" applyBorder="1"/>
    <xf numFmtId="0" fontId="4" fillId="3" borderId="17" xfId="0" applyFont="1" applyFill="1" applyBorder="1" applyAlignment="1">
      <alignment horizontal="right"/>
    </xf>
    <xf numFmtId="164" fontId="4" fillId="3" borderId="17" xfId="0" applyNumberFormat="1" applyFont="1" applyFill="1" applyBorder="1"/>
    <xf numFmtId="0" fontId="5" fillId="4" borderId="17" xfId="0" applyFont="1" applyFill="1" applyBorder="1"/>
    <xf numFmtId="0" fontId="4" fillId="5" borderId="15" xfId="0" applyFont="1" applyFill="1" applyBorder="1" applyAlignment="1">
      <alignment horizontal="right"/>
    </xf>
    <xf numFmtId="0" fontId="5" fillId="4" borderId="0" xfId="0" applyFont="1" applyFill="1"/>
    <xf numFmtId="164" fontId="5" fillId="0" borderId="0" xfId="0" applyNumberFormat="1" applyFont="1"/>
    <xf numFmtId="0" fontId="4" fillId="6" borderId="12" xfId="0" applyFont="1" applyFill="1" applyBorder="1"/>
    <xf numFmtId="164" fontId="6" fillId="6" borderId="12" xfId="1" applyNumberFormat="1" applyFont="1" applyFill="1" applyBorder="1" applyAlignment="1">
      <alignment horizontal="right"/>
    </xf>
    <xf numFmtId="0" fontId="8" fillId="0" borderId="0" xfId="0" applyFont="1"/>
    <xf numFmtId="0" fontId="8" fillId="6" borderId="0" xfId="0" applyFont="1" applyFill="1"/>
    <xf numFmtId="0" fontId="8" fillId="7" borderId="0" xfId="0" applyFont="1" applyFill="1"/>
    <xf numFmtId="164" fontId="8" fillId="2" borderId="12" xfId="1" applyNumberFormat="1" applyFont="1" applyFill="1" applyBorder="1"/>
    <xf numFmtId="164" fontId="8" fillId="11" borderId="12" xfId="1" applyNumberFormat="1" applyFont="1" applyFill="1" applyBorder="1" applyAlignment="1">
      <alignment horizontal="center"/>
    </xf>
    <xf numFmtId="17" fontId="8" fillId="7" borderId="12" xfId="0" applyNumberFormat="1" applyFont="1" applyFill="1" applyBorder="1"/>
    <xf numFmtId="0" fontId="8" fillId="7" borderId="12" xfId="0" applyFont="1" applyFill="1" applyBorder="1"/>
    <xf numFmtId="0" fontId="10" fillId="0" borderId="12" xfId="0" applyFont="1" applyBorder="1"/>
    <xf numFmtId="49" fontId="10" fillId="0" borderId="12" xfId="0" applyNumberFormat="1" applyFont="1" applyBorder="1" applyAlignment="1">
      <alignment horizontal="center"/>
    </xf>
    <xf numFmtId="164" fontId="10" fillId="0" borderId="12" xfId="1" applyNumberFormat="1" applyFont="1" applyBorder="1"/>
    <xf numFmtId="0" fontId="10" fillId="0" borderId="0" xfId="0" applyFont="1"/>
    <xf numFmtId="0" fontId="10" fillId="7" borderId="12" xfId="0" applyFont="1" applyFill="1" applyBorder="1"/>
    <xf numFmtId="164" fontId="10" fillId="0" borderId="12" xfId="1" applyNumberFormat="1" applyFont="1" applyFill="1" applyBorder="1"/>
    <xf numFmtId="164" fontId="10" fillId="8" borderId="12" xfId="1" applyNumberFormat="1" applyFont="1" applyFill="1" applyBorder="1"/>
    <xf numFmtId="0" fontId="10" fillId="0" borderId="12" xfId="0" applyFont="1" applyFill="1" applyBorder="1"/>
    <xf numFmtId="49" fontId="10" fillId="0" borderId="12" xfId="0" applyNumberFormat="1" applyFont="1" applyFill="1" applyBorder="1" applyAlignment="1">
      <alignment horizontal="center"/>
    </xf>
    <xf numFmtId="0" fontId="10" fillId="12" borderId="0" xfId="0" applyFont="1" applyFill="1"/>
    <xf numFmtId="164" fontId="10" fillId="12" borderId="0" xfId="1" applyNumberFormat="1" applyFont="1" applyFill="1"/>
    <xf numFmtId="0" fontId="8" fillId="12" borderId="12" xfId="0" applyFont="1" applyFill="1" applyBorder="1"/>
    <xf numFmtId="0" fontId="8" fillId="12" borderId="0" xfId="0" applyFont="1" applyFill="1"/>
    <xf numFmtId="164" fontId="8" fillId="12" borderId="0" xfId="1" applyNumberFormat="1" applyFont="1" applyFill="1"/>
    <xf numFmtId="164" fontId="11" fillId="12" borderId="0" xfId="1" applyNumberFormat="1" applyFont="1" applyFill="1"/>
    <xf numFmtId="164" fontId="10" fillId="0" borderId="0" xfId="1" applyNumberFormat="1" applyFont="1"/>
    <xf numFmtId="0" fontId="10" fillId="6" borderId="0" xfId="0" applyFont="1" applyFill="1"/>
    <xf numFmtId="0" fontId="10" fillId="10" borderId="0" xfId="0" applyFont="1" applyFill="1"/>
    <xf numFmtId="17" fontId="8" fillId="10" borderId="12" xfId="0" applyNumberFormat="1" applyFont="1" applyFill="1" applyBorder="1"/>
    <xf numFmtId="0" fontId="8" fillId="10" borderId="12" xfId="0" applyFont="1" applyFill="1" applyBorder="1"/>
    <xf numFmtId="164" fontId="10" fillId="10" borderId="12" xfId="1" applyNumberFormat="1" applyFont="1" applyFill="1" applyBorder="1"/>
    <xf numFmtId="0" fontId="10" fillId="0" borderId="0" xfId="0" applyFont="1" applyFill="1"/>
    <xf numFmtId="164" fontId="10" fillId="0" borderId="0" xfId="1" applyNumberFormat="1" applyFont="1" applyFill="1"/>
    <xf numFmtId="164" fontId="8" fillId="12" borderId="12" xfId="1" applyNumberFormat="1" applyFont="1" applyFill="1" applyBorder="1"/>
    <xf numFmtId="0" fontId="12" fillId="6" borderId="0" xfId="0" applyFont="1" applyFill="1"/>
    <xf numFmtId="164" fontId="13" fillId="3" borderId="12" xfId="1" applyNumberFormat="1" applyFont="1" applyFill="1" applyBorder="1"/>
    <xf numFmtId="17" fontId="8" fillId="3" borderId="12" xfId="0" applyNumberFormat="1" applyFont="1" applyFill="1" applyBorder="1"/>
    <xf numFmtId="0" fontId="8" fillId="3" borderId="12" xfId="0" applyFont="1" applyFill="1" applyBorder="1"/>
    <xf numFmtId="164" fontId="10" fillId="3" borderId="12" xfId="1" applyNumberFormat="1" applyFont="1" applyFill="1" applyBorder="1"/>
    <xf numFmtId="17" fontId="4" fillId="3" borderId="12" xfId="0" applyNumberFormat="1" applyFont="1" applyFill="1" applyBorder="1"/>
    <xf numFmtId="164" fontId="5" fillId="3" borderId="12" xfId="1" applyNumberFormat="1" applyFont="1" applyFill="1" applyBorder="1"/>
    <xf numFmtId="164" fontId="5" fillId="3" borderId="12" xfId="1" applyNumberFormat="1" applyFont="1" applyFill="1" applyBorder="1" applyAlignment="1">
      <alignment horizontal="right"/>
    </xf>
    <xf numFmtId="0" fontId="5" fillId="3" borderId="12" xfId="0" applyFont="1" applyFill="1" applyBorder="1" applyAlignment="1">
      <alignment horizontal="right"/>
    </xf>
    <xf numFmtId="164" fontId="4" fillId="3" borderId="12" xfId="0" applyNumberFormat="1" applyFont="1" applyFill="1" applyBorder="1"/>
    <xf numFmtId="1" fontId="8" fillId="7" borderId="0" xfId="0" applyNumberFormat="1" applyFont="1" applyFill="1"/>
    <xf numFmtId="1" fontId="10" fillId="7" borderId="12" xfId="0" applyNumberFormat="1" applyFont="1" applyFill="1" applyBorder="1"/>
    <xf numFmtId="1" fontId="8" fillId="0" borderId="0" xfId="0" applyNumberFormat="1" applyFont="1"/>
    <xf numFmtId="1" fontId="10" fillId="0" borderId="0" xfId="0" applyNumberFormat="1" applyFont="1"/>
    <xf numFmtId="1" fontId="10" fillId="10" borderId="0" xfId="0" applyNumberFormat="1" applyFont="1" applyFill="1"/>
    <xf numFmtId="1" fontId="10" fillId="3" borderId="12" xfId="1" applyNumberFormat="1" applyFont="1" applyFill="1" applyBorder="1"/>
    <xf numFmtId="49" fontId="8" fillId="7" borderId="12" xfId="0" applyNumberFormat="1" applyFont="1" applyFill="1" applyBorder="1"/>
    <xf numFmtId="3" fontId="10" fillId="10" borderId="12" xfId="1" applyNumberFormat="1" applyFont="1" applyFill="1" applyBorder="1"/>
    <xf numFmtId="165" fontId="5" fillId="0" borderId="0" xfId="0" applyNumberFormat="1" applyFont="1"/>
    <xf numFmtId="165" fontId="5" fillId="3" borderId="12" xfId="0" applyNumberFormat="1" applyFont="1" applyFill="1" applyBorder="1"/>
    <xf numFmtId="2" fontId="5" fillId="3" borderId="12" xfId="0" applyNumberFormat="1" applyFont="1" applyFill="1" applyBorder="1"/>
    <xf numFmtId="3" fontId="5" fillId="3" borderId="12" xfId="0" applyNumberFormat="1" applyFont="1" applyFill="1" applyBorder="1"/>
    <xf numFmtId="0" fontId="14" fillId="13" borderId="12" xfId="0" applyFont="1" applyFill="1" applyBorder="1"/>
    <xf numFmtId="164" fontId="14" fillId="13" borderId="12" xfId="1" applyNumberFormat="1" applyFont="1" applyFill="1" applyBorder="1"/>
    <xf numFmtId="164" fontId="14" fillId="13" borderId="0" xfId="1" applyNumberFormat="1" applyFont="1" applyFill="1"/>
    <xf numFmtId="0" fontId="14" fillId="13" borderId="0" xfId="0" applyFont="1" applyFill="1"/>
    <xf numFmtId="3" fontId="14" fillId="13" borderId="12" xfId="1" applyNumberFormat="1" applyFont="1" applyFill="1" applyBorder="1"/>
    <xf numFmtId="164" fontId="14" fillId="9" borderId="12" xfId="1" applyNumberFormat="1" applyFont="1" applyFill="1" applyBorder="1"/>
    <xf numFmtId="49" fontId="14" fillId="9" borderId="12" xfId="0" applyNumberFormat="1" applyFont="1" applyFill="1" applyBorder="1" applyAlignment="1">
      <alignment horizontal="center"/>
    </xf>
    <xf numFmtId="164" fontId="8" fillId="3" borderId="12" xfId="1" applyNumberFormat="1" applyFont="1" applyFill="1" applyBorder="1"/>
    <xf numFmtId="17" fontId="8" fillId="7" borderId="12" xfId="0" applyNumberFormat="1" applyFont="1" applyFill="1" applyBorder="1" applyAlignment="1"/>
    <xf numFmtId="49" fontId="8" fillId="7" borderId="12" xfId="0" applyNumberFormat="1" applyFont="1" applyFill="1" applyBorder="1" applyAlignment="1"/>
    <xf numFmtId="3" fontId="10" fillId="7" borderId="12" xfId="0" applyNumberFormat="1" applyFont="1" applyFill="1" applyBorder="1"/>
    <xf numFmtId="164" fontId="0" fillId="8" borderId="0" xfId="1" applyNumberFormat="1" applyFont="1" applyFill="1"/>
    <xf numFmtId="0" fontId="0" fillId="0" borderId="12" xfId="0" applyBorder="1"/>
    <xf numFmtId="0" fontId="0" fillId="0" borderId="12" xfId="0" applyBorder="1" applyAlignment="1">
      <alignment horizontal="left"/>
    </xf>
    <xf numFmtId="0" fontId="17" fillId="8" borderId="12" xfId="0" applyFont="1" applyFill="1" applyBorder="1"/>
    <xf numFmtId="0" fontId="18" fillId="8" borderId="12" xfId="0" applyFont="1" applyFill="1" applyBorder="1"/>
    <xf numFmtId="164" fontId="17" fillId="8" borderId="12" xfId="1" applyNumberFormat="1" applyFont="1" applyFill="1" applyBorder="1"/>
    <xf numFmtId="0" fontId="0" fillId="14" borderId="12" xfId="0" applyFill="1" applyBorder="1"/>
    <xf numFmtId="0" fontId="0" fillId="6" borderId="12" xfId="0" applyFill="1" applyBorder="1"/>
    <xf numFmtId="0" fontId="0" fillId="2" borderId="12" xfId="0" applyFill="1" applyBorder="1"/>
    <xf numFmtId="0" fontId="0" fillId="15" borderId="12" xfId="0" applyFill="1" applyBorder="1"/>
    <xf numFmtId="3" fontId="0" fillId="7" borderId="12" xfId="0" applyNumberFormat="1" applyFill="1" applyBorder="1"/>
    <xf numFmtId="3" fontId="0" fillId="14" borderId="12" xfId="0" applyNumberFormat="1" applyFill="1" applyBorder="1"/>
    <xf numFmtId="3" fontId="0" fillId="6" borderId="12" xfId="0" applyNumberFormat="1" applyFill="1" applyBorder="1"/>
    <xf numFmtId="3" fontId="18" fillId="8" borderId="12" xfId="0" applyNumberFormat="1" applyFont="1" applyFill="1" applyBorder="1"/>
    <xf numFmtId="3" fontId="0" fillId="15" borderId="12" xfId="0" applyNumberFormat="1" applyFill="1" applyBorder="1"/>
    <xf numFmtId="3" fontId="0" fillId="0" borderId="12" xfId="0" applyNumberFormat="1" applyBorder="1"/>
    <xf numFmtId="3" fontId="16" fillId="0" borderId="12" xfId="0" applyNumberFormat="1" applyFont="1" applyBorder="1"/>
    <xf numFmtId="0" fontId="0" fillId="16" borderId="0" xfId="0" applyFill="1"/>
    <xf numFmtId="0" fontId="16" fillId="16" borderId="12" xfId="0" applyFont="1" applyFill="1" applyBorder="1"/>
    <xf numFmtId="3" fontId="16" fillId="16" borderId="12" xfId="0" applyNumberFormat="1" applyFont="1" applyFill="1" applyBorder="1"/>
    <xf numFmtId="0" fontId="0" fillId="17" borderId="12" xfId="0" applyFill="1" applyBorder="1"/>
    <xf numFmtId="3" fontId="0" fillId="17" borderId="12" xfId="0" applyNumberFormat="1" applyFill="1" applyBorder="1"/>
    <xf numFmtId="3" fontId="0" fillId="17" borderId="28" xfId="0" applyNumberFormat="1" applyFill="1" applyBorder="1"/>
    <xf numFmtId="0" fontId="0" fillId="17" borderId="28" xfId="0" applyFill="1" applyBorder="1"/>
    <xf numFmtId="0" fontId="16" fillId="0" borderId="12" xfId="0" applyFont="1" applyBorder="1"/>
    <xf numFmtId="3" fontId="18" fillId="8" borderId="28" xfId="0" applyNumberFormat="1" applyFont="1" applyFill="1" applyBorder="1"/>
    <xf numFmtId="3" fontId="0" fillId="7" borderId="28" xfId="0" applyNumberFormat="1" applyFill="1" applyBorder="1"/>
    <xf numFmtId="3" fontId="0" fillId="16" borderId="12" xfId="0" applyNumberFormat="1" applyFill="1" applyBorder="1"/>
    <xf numFmtId="164" fontId="8" fillId="10" borderId="12" xfId="1" applyNumberFormat="1" applyFont="1" applyFill="1" applyBorder="1"/>
    <xf numFmtId="0" fontId="8" fillId="7" borderId="12" xfId="0" applyNumberFormat="1" applyFont="1" applyFill="1" applyBorder="1" applyAlignment="1"/>
    <xf numFmtId="0" fontId="10" fillId="8" borderId="12" xfId="0" applyFont="1" applyFill="1" applyBorder="1"/>
    <xf numFmtId="49" fontId="10" fillId="8" borderId="12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19" fillId="14" borderId="12" xfId="0" applyFont="1" applyFill="1" applyBorder="1"/>
    <xf numFmtId="0" fontId="19" fillId="14" borderId="12" xfId="0" applyFont="1" applyFill="1" applyBorder="1" applyAlignment="1"/>
    <xf numFmtId="0" fontId="19" fillId="14" borderId="12" xfId="0" applyFont="1" applyFill="1" applyBorder="1" applyAlignment="1">
      <alignment wrapText="1"/>
    </xf>
    <xf numFmtId="164" fontId="0" fillId="0" borderId="12" xfId="1" applyNumberFormat="1" applyFont="1" applyBorder="1"/>
    <xf numFmtId="164" fontId="0" fillId="6" borderId="12" xfId="1" applyNumberFormat="1" applyFont="1" applyFill="1" applyBorder="1"/>
    <xf numFmtId="0" fontId="16" fillId="0" borderId="0" xfId="0" applyFont="1"/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/>
    <xf numFmtId="164" fontId="8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7" fontId="0" fillId="2" borderId="12" xfId="0" applyNumberFormat="1" applyFill="1" applyBorder="1"/>
    <xf numFmtId="164" fontId="16" fillId="0" borderId="0" xfId="1" applyNumberFormat="1" applyFont="1"/>
    <xf numFmtId="0" fontId="10" fillId="0" borderId="0" xfId="0" applyFont="1" applyBorder="1"/>
    <xf numFmtId="49" fontId="10" fillId="0" borderId="0" xfId="0" applyNumberFormat="1" applyFont="1" applyBorder="1" applyAlignment="1">
      <alignment horizontal="center"/>
    </xf>
    <xf numFmtId="164" fontId="10" fillId="0" borderId="0" xfId="1" applyNumberFormat="1" applyFont="1" applyBorder="1"/>
    <xf numFmtId="164" fontId="10" fillId="0" borderId="0" xfId="1" applyNumberFormat="1" applyFont="1" applyFill="1" applyBorder="1"/>
    <xf numFmtId="3" fontId="10" fillId="7" borderId="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/>
    <xf numFmtId="0" fontId="16" fillId="0" borderId="0" xfId="0" applyFont="1" applyFill="1"/>
    <xf numFmtId="164" fontId="0" fillId="0" borderId="0" xfId="0" applyNumberFormat="1"/>
    <xf numFmtId="164" fontId="23" fillId="0" borderId="0" xfId="0" applyNumberFormat="1" applyFont="1"/>
    <xf numFmtId="0" fontId="0" fillId="0" borderId="12" xfId="0" applyFill="1" applyBorder="1"/>
    <xf numFmtId="164" fontId="0" fillId="0" borderId="12" xfId="0" applyNumberFormat="1" applyFill="1" applyBorder="1"/>
    <xf numFmtId="164" fontId="24" fillId="0" borderId="0" xfId="0" applyNumberFormat="1" applyFont="1" applyFill="1"/>
    <xf numFmtId="17" fontId="8" fillId="7" borderId="24" xfId="0" applyNumberFormat="1" applyFont="1" applyFill="1" applyBorder="1"/>
    <xf numFmtId="3" fontId="10" fillId="7" borderId="24" xfId="0" applyNumberFormat="1" applyFont="1" applyFill="1" applyBorder="1"/>
    <xf numFmtId="0" fontId="8" fillId="12" borderId="24" xfId="0" applyFont="1" applyFill="1" applyBorder="1"/>
    <xf numFmtId="3" fontId="10" fillId="7" borderId="19" xfId="0" applyNumberFormat="1" applyFont="1" applyFill="1" applyBorder="1"/>
    <xf numFmtId="164" fontId="0" fillId="8" borderId="12" xfId="1" applyNumberFormat="1" applyFont="1" applyFill="1" applyBorder="1"/>
    <xf numFmtId="3" fontId="8" fillId="12" borderId="12" xfId="0" applyNumberFormat="1" applyFont="1" applyFill="1" applyBorder="1"/>
    <xf numFmtId="0" fontId="25" fillId="13" borderId="0" xfId="0" applyFont="1" applyFill="1"/>
    <xf numFmtId="3" fontId="8" fillId="12" borderId="24" xfId="0" applyNumberFormat="1" applyFont="1" applyFill="1" applyBorder="1"/>
    <xf numFmtId="0" fontId="26" fillId="0" borderId="12" xfId="0" applyFont="1" applyFill="1" applyBorder="1"/>
    <xf numFmtId="3" fontId="4" fillId="3" borderId="12" xfId="0" applyNumberFormat="1" applyFont="1" applyFill="1" applyBorder="1"/>
    <xf numFmtId="16" fontId="0" fillId="0" borderId="0" xfId="0" applyNumberFormat="1"/>
    <xf numFmtId="49" fontId="33" fillId="0" borderId="0" xfId="0" applyNumberFormat="1" applyFont="1" applyAlignment="1">
      <alignment horizontal="center"/>
    </xf>
    <xf numFmtId="0" fontId="33" fillId="0" borderId="0" xfId="0" applyFont="1"/>
    <xf numFmtId="164" fontId="33" fillId="0" borderId="12" xfId="0" applyNumberFormat="1" applyFont="1" applyBorder="1"/>
    <xf numFmtId="3" fontId="8" fillId="12" borderId="10" xfId="0" applyNumberFormat="1" applyFont="1" applyFill="1" applyBorder="1"/>
    <xf numFmtId="16" fontId="34" fillId="0" borderId="0" xfId="0" applyNumberFormat="1" applyFont="1"/>
    <xf numFmtId="16" fontId="35" fillId="6" borderId="0" xfId="0" applyNumberFormat="1" applyFont="1" applyFill="1"/>
    <xf numFmtId="0" fontId="35" fillId="6" borderId="0" xfId="0" applyFont="1" applyFill="1"/>
    <xf numFmtId="3" fontId="13" fillId="6" borderId="12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" fontId="5" fillId="6" borderId="7" xfId="0" applyNumberFormat="1" applyFont="1" applyFill="1" applyBorder="1" applyAlignment="1">
      <alignment horizontal="center"/>
    </xf>
    <xf numFmtId="17" fontId="5" fillId="6" borderId="8" xfId="0" applyNumberFormat="1" applyFont="1" applyFill="1" applyBorder="1" applyAlignment="1">
      <alignment horizontal="center"/>
    </xf>
    <xf numFmtId="17" fontId="5" fillId="6" borderId="9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164" fontId="9" fillId="6" borderId="24" xfId="1" applyNumberFormat="1" applyFont="1" applyFill="1" applyBorder="1" applyAlignment="1">
      <alignment horizontal="center"/>
    </xf>
    <xf numFmtId="164" fontId="9" fillId="6" borderId="18" xfId="1" applyNumberFormat="1" applyFont="1" applyFill="1" applyBorder="1" applyAlignment="1">
      <alignment horizontal="center"/>
    </xf>
    <xf numFmtId="164" fontId="9" fillId="6" borderId="19" xfId="1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49" fontId="8" fillId="2" borderId="28" xfId="0" applyNumberFormat="1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/>
    </xf>
    <xf numFmtId="164" fontId="8" fillId="2" borderId="28" xfId="1" applyNumberFormat="1" applyFont="1" applyFill="1" applyBorder="1" applyAlignment="1">
      <alignment horizontal="center"/>
    </xf>
    <xf numFmtId="164" fontId="8" fillId="2" borderId="10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0" fontId="36" fillId="0" borderId="0" xfId="0" applyFont="1"/>
  </cellXfs>
  <cellStyles count="20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114300</xdr:rowOff>
    </xdr:from>
    <xdr:to>
      <xdr:col>7</xdr:col>
      <xdr:colOff>590550</xdr:colOff>
      <xdr:row>5</xdr:row>
      <xdr:rowOff>115888</xdr:rowOff>
    </xdr:to>
    <xdr:cxnSp macro="">
      <xdr:nvCxnSpPr>
        <xdr:cNvPr id="3" name="Straight Arrow Connector 2"/>
        <xdr:cNvCxnSpPr/>
      </xdr:nvCxnSpPr>
      <xdr:spPr>
        <a:xfrm>
          <a:off x="5219700" y="1257300"/>
          <a:ext cx="1171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123825</xdr:rowOff>
    </xdr:from>
    <xdr:to>
      <xdr:col>7</xdr:col>
      <xdr:colOff>590550</xdr:colOff>
      <xdr:row>6</xdr:row>
      <xdr:rowOff>125413</xdr:rowOff>
    </xdr:to>
    <xdr:cxnSp macro="">
      <xdr:nvCxnSpPr>
        <xdr:cNvPr id="4" name="Straight Arrow Connector 3"/>
        <xdr:cNvCxnSpPr/>
      </xdr:nvCxnSpPr>
      <xdr:spPr>
        <a:xfrm>
          <a:off x="5191125" y="1457325"/>
          <a:ext cx="1200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7</xdr:row>
      <xdr:rowOff>104775</xdr:rowOff>
    </xdr:from>
    <xdr:to>
      <xdr:col>8</xdr:col>
      <xdr:colOff>0</xdr:colOff>
      <xdr:row>7</xdr:row>
      <xdr:rowOff>106363</xdr:rowOff>
    </xdr:to>
    <xdr:cxnSp macro="">
      <xdr:nvCxnSpPr>
        <xdr:cNvPr id="5" name="Straight Arrow Connector 4"/>
        <xdr:cNvCxnSpPr/>
      </xdr:nvCxnSpPr>
      <xdr:spPr>
        <a:xfrm>
          <a:off x="5219700" y="16287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8</xdr:row>
      <xdr:rowOff>95250</xdr:rowOff>
    </xdr:from>
    <xdr:to>
      <xdr:col>7</xdr:col>
      <xdr:colOff>590550</xdr:colOff>
      <xdr:row>8</xdr:row>
      <xdr:rowOff>96838</xdr:rowOff>
    </xdr:to>
    <xdr:cxnSp macro="">
      <xdr:nvCxnSpPr>
        <xdr:cNvPr id="11" name="Straight Arrow Connector 10"/>
        <xdr:cNvCxnSpPr/>
      </xdr:nvCxnSpPr>
      <xdr:spPr>
        <a:xfrm>
          <a:off x="5200650" y="180975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9</xdr:row>
      <xdr:rowOff>104775</xdr:rowOff>
    </xdr:from>
    <xdr:to>
      <xdr:col>7</xdr:col>
      <xdr:colOff>590550</xdr:colOff>
      <xdr:row>9</xdr:row>
      <xdr:rowOff>106363</xdr:rowOff>
    </xdr:to>
    <xdr:cxnSp macro="">
      <xdr:nvCxnSpPr>
        <xdr:cNvPr id="12" name="Straight Arrow Connector 11"/>
        <xdr:cNvCxnSpPr/>
      </xdr:nvCxnSpPr>
      <xdr:spPr>
        <a:xfrm>
          <a:off x="5200650" y="20097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862853</xdr:colOff>
      <xdr:row>10</xdr:row>
      <xdr:rowOff>100853</xdr:rowOff>
    </xdr:from>
    <xdr:to>
      <xdr:col>8</xdr:col>
      <xdr:colOff>22412</xdr:colOff>
      <xdr:row>10</xdr:row>
      <xdr:rowOff>112058</xdr:rowOff>
    </xdr:to>
    <xdr:cxnSp macro="">
      <xdr:nvCxnSpPr>
        <xdr:cNvPr id="13" name="Straight Arrow Connector 12"/>
        <xdr:cNvCxnSpPr/>
      </xdr:nvCxnSpPr>
      <xdr:spPr>
        <a:xfrm>
          <a:off x="5345206" y="1759324"/>
          <a:ext cx="840441" cy="11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11</xdr:row>
      <xdr:rowOff>95250</xdr:rowOff>
    </xdr:from>
    <xdr:to>
      <xdr:col>7</xdr:col>
      <xdr:colOff>600075</xdr:colOff>
      <xdr:row>11</xdr:row>
      <xdr:rowOff>96838</xdr:rowOff>
    </xdr:to>
    <xdr:cxnSp macro="">
      <xdr:nvCxnSpPr>
        <xdr:cNvPr id="14" name="Straight Arrow Connector 13"/>
        <xdr:cNvCxnSpPr/>
      </xdr:nvCxnSpPr>
      <xdr:spPr>
        <a:xfrm>
          <a:off x="5210175" y="238125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12</xdr:row>
      <xdr:rowOff>104775</xdr:rowOff>
    </xdr:from>
    <xdr:to>
      <xdr:col>7</xdr:col>
      <xdr:colOff>600075</xdr:colOff>
      <xdr:row>12</xdr:row>
      <xdr:rowOff>106363</xdr:rowOff>
    </xdr:to>
    <xdr:cxnSp macro="">
      <xdr:nvCxnSpPr>
        <xdr:cNvPr id="15" name="Straight Arrow Connector 14"/>
        <xdr:cNvCxnSpPr/>
      </xdr:nvCxnSpPr>
      <xdr:spPr>
        <a:xfrm>
          <a:off x="5210175" y="25812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13</xdr:row>
      <xdr:rowOff>104775</xdr:rowOff>
    </xdr:from>
    <xdr:to>
      <xdr:col>7</xdr:col>
      <xdr:colOff>590550</xdr:colOff>
      <xdr:row>13</xdr:row>
      <xdr:rowOff>106363</xdr:rowOff>
    </xdr:to>
    <xdr:cxnSp macro="">
      <xdr:nvCxnSpPr>
        <xdr:cNvPr id="16" name="Straight Arrow Connector 15"/>
        <xdr:cNvCxnSpPr/>
      </xdr:nvCxnSpPr>
      <xdr:spPr>
        <a:xfrm>
          <a:off x="5200650" y="27717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114300</xdr:rowOff>
    </xdr:from>
    <xdr:to>
      <xdr:col>7</xdr:col>
      <xdr:colOff>590550</xdr:colOff>
      <xdr:row>14</xdr:row>
      <xdr:rowOff>115888</xdr:rowOff>
    </xdr:to>
    <xdr:cxnSp macro="">
      <xdr:nvCxnSpPr>
        <xdr:cNvPr id="17" name="Straight Arrow Connector 16"/>
        <xdr:cNvCxnSpPr/>
      </xdr:nvCxnSpPr>
      <xdr:spPr>
        <a:xfrm>
          <a:off x="5200650" y="29718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15</xdr:row>
      <xdr:rowOff>114300</xdr:rowOff>
    </xdr:from>
    <xdr:to>
      <xdr:col>7</xdr:col>
      <xdr:colOff>590550</xdr:colOff>
      <xdr:row>15</xdr:row>
      <xdr:rowOff>115888</xdr:rowOff>
    </xdr:to>
    <xdr:cxnSp macro="">
      <xdr:nvCxnSpPr>
        <xdr:cNvPr id="18" name="Straight Arrow Connector 17"/>
        <xdr:cNvCxnSpPr/>
      </xdr:nvCxnSpPr>
      <xdr:spPr>
        <a:xfrm>
          <a:off x="5200650" y="31623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16</xdr:row>
      <xdr:rowOff>114300</xdr:rowOff>
    </xdr:from>
    <xdr:to>
      <xdr:col>7</xdr:col>
      <xdr:colOff>590550</xdr:colOff>
      <xdr:row>16</xdr:row>
      <xdr:rowOff>115888</xdr:rowOff>
    </xdr:to>
    <xdr:cxnSp macro="">
      <xdr:nvCxnSpPr>
        <xdr:cNvPr id="19" name="Straight Arrow Connector 18"/>
        <xdr:cNvCxnSpPr/>
      </xdr:nvCxnSpPr>
      <xdr:spPr>
        <a:xfrm>
          <a:off x="5200650" y="33528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17</xdr:row>
      <xdr:rowOff>104775</xdr:rowOff>
    </xdr:from>
    <xdr:to>
      <xdr:col>7</xdr:col>
      <xdr:colOff>590550</xdr:colOff>
      <xdr:row>17</xdr:row>
      <xdr:rowOff>106363</xdr:rowOff>
    </xdr:to>
    <xdr:cxnSp macro="">
      <xdr:nvCxnSpPr>
        <xdr:cNvPr id="20" name="Straight Arrow Connector 19"/>
        <xdr:cNvCxnSpPr/>
      </xdr:nvCxnSpPr>
      <xdr:spPr>
        <a:xfrm>
          <a:off x="5200650" y="35337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104775</xdr:rowOff>
    </xdr:from>
    <xdr:to>
      <xdr:col>7</xdr:col>
      <xdr:colOff>590550</xdr:colOff>
      <xdr:row>18</xdr:row>
      <xdr:rowOff>106363</xdr:rowOff>
    </xdr:to>
    <xdr:cxnSp macro="">
      <xdr:nvCxnSpPr>
        <xdr:cNvPr id="21" name="Straight Arrow Connector 20"/>
        <xdr:cNvCxnSpPr/>
      </xdr:nvCxnSpPr>
      <xdr:spPr>
        <a:xfrm>
          <a:off x="5200650" y="37242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19</xdr:row>
      <xdr:rowOff>123825</xdr:rowOff>
    </xdr:from>
    <xdr:to>
      <xdr:col>8</xdr:col>
      <xdr:colOff>0</xdr:colOff>
      <xdr:row>19</xdr:row>
      <xdr:rowOff>125413</xdr:rowOff>
    </xdr:to>
    <xdr:cxnSp macro="">
      <xdr:nvCxnSpPr>
        <xdr:cNvPr id="22" name="Straight Arrow Connector 21"/>
        <xdr:cNvCxnSpPr/>
      </xdr:nvCxnSpPr>
      <xdr:spPr>
        <a:xfrm>
          <a:off x="5219700" y="393382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20</xdr:row>
      <xdr:rowOff>104775</xdr:rowOff>
    </xdr:from>
    <xdr:to>
      <xdr:col>8</xdr:col>
      <xdr:colOff>9525</xdr:colOff>
      <xdr:row>20</xdr:row>
      <xdr:rowOff>106363</xdr:rowOff>
    </xdr:to>
    <xdr:cxnSp macro="">
      <xdr:nvCxnSpPr>
        <xdr:cNvPr id="23" name="Straight Arrow Connector 22"/>
        <xdr:cNvCxnSpPr/>
      </xdr:nvCxnSpPr>
      <xdr:spPr>
        <a:xfrm>
          <a:off x="5229225" y="4105275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21</xdr:row>
      <xdr:rowOff>114300</xdr:rowOff>
    </xdr:from>
    <xdr:to>
      <xdr:col>7</xdr:col>
      <xdr:colOff>600075</xdr:colOff>
      <xdr:row>21</xdr:row>
      <xdr:rowOff>115888</xdr:rowOff>
    </xdr:to>
    <xdr:cxnSp macro="">
      <xdr:nvCxnSpPr>
        <xdr:cNvPr id="24" name="Straight Arrow Connector 23"/>
        <xdr:cNvCxnSpPr/>
      </xdr:nvCxnSpPr>
      <xdr:spPr>
        <a:xfrm>
          <a:off x="5210175" y="43053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22</xdr:row>
      <xdr:rowOff>114300</xdr:rowOff>
    </xdr:from>
    <xdr:to>
      <xdr:col>7</xdr:col>
      <xdr:colOff>590550</xdr:colOff>
      <xdr:row>22</xdr:row>
      <xdr:rowOff>115888</xdr:rowOff>
    </xdr:to>
    <xdr:cxnSp macro="">
      <xdr:nvCxnSpPr>
        <xdr:cNvPr id="25" name="Straight Arrow Connector 24"/>
        <xdr:cNvCxnSpPr/>
      </xdr:nvCxnSpPr>
      <xdr:spPr>
        <a:xfrm>
          <a:off x="5200650" y="44958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23</xdr:row>
      <xdr:rowOff>95250</xdr:rowOff>
    </xdr:from>
    <xdr:to>
      <xdr:col>7</xdr:col>
      <xdr:colOff>590550</xdr:colOff>
      <xdr:row>23</xdr:row>
      <xdr:rowOff>96838</xdr:rowOff>
    </xdr:to>
    <xdr:cxnSp macro="">
      <xdr:nvCxnSpPr>
        <xdr:cNvPr id="26" name="Straight Arrow Connector 25"/>
        <xdr:cNvCxnSpPr/>
      </xdr:nvCxnSpPr>
      <xdr:spPr>
        <a:xfrm>
          <a:off x="5200650" y="466725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24</xdr:row>
      <xdr:rowOff>114300</xdr:rowOff>
    </xdr:from>
    <xdr:to>
      <xdr:col>7</xdr:col>
      <xdr:colOff>590550</xdr:colOff>
      <xdr:row>24</xdr:row>
      <xdr:rowOff>115888</xdr:rowOff>
    </xdr:to>
    <xdr:cxnSp macro="">
      <xdr:nvCxnSpPr>
        <xdr:cNvPr id="27" name="Straight Arrow Connector 26"/>
        <xdr:cNvCxnSpPr/>
      </xdr:nvCxnSpPr>
      <xdr:spPr>
        <a:xfrm>
          <a:off x="5200650" y="48768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25</xdr:row>
      <xdr:rowOff>114300</xdr:rowOff>
    </xdr:from>
    <xdr:to>
      <xdr:col>7</xdr:col>
      <xdr:colOff>590550</xdr:colOff>
      <xdr:row>25</xdr:row>
      <xdr:rowOff>115888</xdr:rowOff>
    </xdr:to>
    <xdr:cxnSp macro="">
      <xdr:nvCxnSpPr>
        <xdr:cNvPr id="28" name="Straight Arrow Connector 27"/>
        <xdr:cNvCxnSpPr/>
      </xdr:nvCxnSpPr>
      <xdr:spPr>
        <a:xfrm>
          <a:off x="5200650" y="5067300"/>
          <a:ext cx="1190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26</xdr:row>
      <xdr:rowOff>114300</xdr:rowOff>
    </xdr:from>
    <xdr:to>
      <xdr:col>7</xdr:col>
      <xdr:colOff>590550</xdr:colOff>
      <xdr:row>26</xdr:row>
      <xdr:rowOff>115888</xdr:rowOff>
    </xdr:to>
    <xdr:cxnSp macro="">
      <xdr:nvCxnSpPr>
        <xdr:cNvPr id="29" name="Straight Arrow Connector 28"/>
        <xdr:cNvCxnSpPr/>
      </xdr:nvCxnSpPr>
      <xdr:spPr>
        <a:xfrm>
          <a:off x="4962525" y="4238625"/>
          <a:ext cx="790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27</xdr:row>
      <xdr:rowOff>114300</xdr:rowOff>
    </xdr:from>
    <xdr:to>
      <xdr:col>7</xdr:col>
      <xdr:colOff>590550</xdr:colOff>
      <xdr:row>27</xdr:row>
      <xdr:rowOff>115888</xdr:rowOff>
    </xdr:to>
    <xdr:cxnSp macro="">
      <xdr:nvCxnSpPr>
        <xdr:cNvPr id="30" name="Straight Arrow Connector 29"/>
        <xdr:cNvCxnSpPr/>
      </xdr:nvCxnSpPr>
      <xdr:spPr>
        <a:xfrm>
          <a:off x="4973731" y="4282888"/>
          <a:ext cx="792256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2" max="2" width="27.6640625" bestFit="1" customWidth="1"/>
    <col min="3" max="8" width="20.83203125" customWidth="1"/>
    <col min="9" max="9" width="13.1640625" customWidth="1"/>
    <col min="10" max="10" width="14.33203125" customWidth="1"/>
    <col min="11" max="11" width="9.6640625" bestFit="1" customWidth="1"/>
  </cols>
  <sheetData>
    <row r="1" spans="2:10" ht="30" x14ac:dyDescent="0.2">
      <c r="B1" s="125" t="s">
        <v>158</v>
      </c>
      <c r="C1" s="126" t="s">
        <v>138</v>
      </c>
      <c r="D1" s="125" t="s">
        <v>141</v>
      </c>
      <c r="E1" s="127" t="s">
        <v>139</v>
      </c>
      <c r="F1" s="127" t="s">
        <v>140</v>
      </c>
      <c r="G1" s="126" t="s">
        <v>136</v>
      </c>
      <c r="H1" s="126" t="s">
        <v>105</v>
      </c>
    </row>
    <row r="2" spans="2:10" x14ac:dyDescent="0.2">
      <c r="B2" s="93"/>
      <c r="C2" s="93"/>
      <c r="D2" s="93"/>
      <c r="E2" s="93"/>
      <c r="F2" s="93"/>
      <c r="G2" s="93"/>
      <c r="H2" s="93"/>
    </row>
    <row r="3" spans="2:10" x14ac:dyDescent="0.2">
      <c r="B3" s="93" t="s">
        <v>143</v>
      </c>
      <c r="C3" s="128">
        <v>36</v>
      </c>
      <c r="D3" s="128">
        <v>36</v>
      </c>
      <c r="E3" s="128">
        <v>36</v>
      </c>
      <c r="F3" s="128">
        <v>36</v>
      </c>
      <c r="G3" s="128">
        <v>36</v>
      </c>
      <c r="H3" s="128">
        <v>36</v>
      </c>
    </row>
    <row r="4" spans="2:10" x14ac:dyDescent="0.2">
      <c r="B4" s="93" t="s">
        <v>142</v>
      </c>
      <c r="C4" s="128">
        <v>32</v>
      </c>
      <c r="D4" s="128">
        <v>32</v>
      </c>
      <c r="E4" s="128">
        <v>32</v>
      </c>
      <c r="F4" s="128">
        <v>32</v>
      </c>
      <c r="G4" s="128">
        <v>21</v>
      </c>
      <c r="H4" s="128">
        <v>32</v>
      </c>
    </row>
    <row r="5" spans="2:10" x14ac:dyDescent="0.2">
      <c r="B5" s="93" t="s">
        <v>144</v>
      </c>
      <c r="C5" s="128" t="s">
        <v>145</v>
      </c>
      <c r="D5" s="128">
        <v>10000</v>
      </c>
      <c r="E5" s="128">
        <v>15000</v>
      </c>
      <c r="F5" s="128">
        <v>25000</v>
      </c>
      <c r="G5" s="128">
        <v>5000</v>
      </c>
      <c r="H5" s="128" t="s">
        <v>145</v>
      </c>
    </row>
    <row r="6" spans="2:10" x14ac:dyDescent="0.2">
      <c r="B6" s="93" t="s">
        <v>146</v>
      </c>
      <c r="C6" s="128" t="s">
        <v>147</v>
      </c>
      <c r="D6" s="128"/>
      <c r="E6" s="128"/>
      <c r="F6" s="128"/>
      <c r="G6" s="128" t="s">
        <v>152</v>
      </c>
      <c r="H6" s="128" t="s">
        <v>145</v>
      </c>
    </row>
    <row r="7" spans="2:10" x14ac:dyDescent="0.2">
      <c r="B7" s="93"/>
      <c r="C7" s="128"/>
      <c r="D7" s="128"/>
      <c r="E7" s="128"/>
      <c r="F7" s="128"/>
      <c r="G7" s="128"/>
      <c r="H7" s="128"/>
    </row>
    <row r="8" spans="2:10" x14ac:dyDescent="0.2">
      <c r="B8" s="93" t="s">
        <v>148</v>
      </c>
      <c r="C8" s="128">
        <f>SUM('Individual wise Details  '!F3:F39)-D8-E8-F8</f>
        <v>7323059</v>
      </c>
      <c r="D8" s="128">
        <f>D4*D5</f>
        <v>320000</v>
      </c>
      <c r="E8" s="128">
        <f>E4*E5</f>
        <v>480000</v>
      </c>
      <c r="F8" s="128">
        <f>F4*F5</f>
        <v>800000</v>
      </c>
      <c r="G8" s="128">
        <f>'Gym Members and collection'!F39</f>
        <v>108200</v>
      </c>
      <c r="H8" s="128">
        <f>SUM(C8:G8)</f>
        <v>9031259</v>
      </c>
    </row>
    <row r="9" spans="2:10" x14ac:dyDescent="0.2">
      <c r="B9" s="93" t="s">
        <v>149</v>
      </c>
      <c r="C9" s="128">
        <f>'Individual wise Details  '!G42-'Individual wise Details  '!G39-D9-E9-F9</f>
        <v>7593249.5</v>
      </c>
      <c r="D9" s="128">
        <v>320000</v>
      </c>
      <c r="E9" s="128">
        <f>'Individual wise Details  '!AT83+32*5000</f>
        <v>480000</v>
      </c>
      <c r="F9" s="128">
        <f>'Individual wise Details  '!AU83-5000*32</f>
        <v>408620</v>
      </c>
      <c r="G9" s="128">
        <f>'Gym Members and collection'!G39</f>
        <v>87500</v>
      </c>
      <c r="H9" s="128">
        <f>SUM(C9:G9)</f>
        <v>8889369.5</v>
      </c>
    </row>
    <row r="10" spans="2:10" x14ac:dyDescent="0.2">
      <c r="B10" s="99" t="s">
        <v>150</v>
      </c>
      <c r="C10" s="129">
        <f t="shared" ref="C10:F10" si="0">C8-C9</f>
        <v>-270190.5</v>
      </c>
      <c r="D10" s="129">
        <f t="shared" si="0"/>
        <v>0</v>
      </c>
      <c r="E10" s="129">
        <f t="shared" si="0"/>
        <v>0</v>
      </c>
      <c r="F10" s="129">
        <f t="shared" si="0"/>
        <v>391380</v>
      </c>
      <c r="G10" s="129">
        <f>G8-G9</f>
        <v>20700</v>
      </c>
      <c r="H10" s="129">
        <f>H8-H9</f>
        <v>141889.5</v>
      </c>
    </row>
    <row r="11" spans="2:10" x14ac:dyDescent="0.2">
      <c r="B11" s="93"/>
      <c r="C11" s="128"/>
      <c r="D11" s="128"/>
      <c r="E11" s="128"/>
      <c r="F11" s="128"/>
      <c r="G11" s="128"/>
      <c r="H11" s="128"/>
    </row>
    <row r="12" spans="2:10" x14ac:dyDescent="0.2">
      <c r="B12" s="93" t="s">
        <v>151</v>
      </c>
      <c r="C12" s="128">
        <f>'Income Expense Summary'!F44-E12</f>
        <v>6636974.5</v>
      </c>
      <c r="D12" s="128">
        <v>0</v>
      </c>
      <c r="E12" s="128">
        <f>'Income Expense Summary'!F32+'Income Expense Summary'!F30</f>
        <v>480141</v>
      </c>
      <c r="F12" s="128">
        <v>0</v>
      </c>
      <c r="G12" s="128">
        <f>'Gym Spending'!C25</f>
        <v>110065</v>
      </c>
      <c r="H12" s="128">
        <f>SUM(C12:G12)</f>
        <v>7227180.5</v>
      </c>
      <c r="J12" s="147"/>
    </row>
    <row r="13" spans="2:10" x14ac:dyDescent="0.2">
      <c r="B13" s="93" t="s">
        <v>184</v>
      </c>
      <c r="C13" s="128">
        <f>'Individual wise Details  '!G39</f>
        <v>63840</v>
      </c>
      <c r="D13" s="128">
        <v>0</v>
      </c>
      <c r="E13" s="128">
        <v>0</v>
      </c>
      <c r="F13" s="128">
        <v>0</v>
      </c>
      <c r="G13" s="128">
        <v>0</v>
      </c>
      <c r="H13" s="128">
        <f>SUM(C13:G13)</f>
        <v>63840</v>
      </c>
      <c r="J13" s="147"/>
    </row>
    <row r="14" spans="2:10" x14ac:dyDescent="0.2">
      <c r="B14" s="99" t="s">
        <v>153</v>
      </c>
      <c r="C14" s="129">
        <f>C9-C12+C13</f>
        <v>1020115</v>
      </c>
      <c r="D14" s="129">
        <f t="shared" ref="D14:H14" si="1">D9-D12+D13</f>
        <v>320000</v>
      </c>
      <c r="E14" s="129">
        <f t="shared" si="1"/>
        <v>-141</v>
      </c>
      <c r="F14" s="129">
        <f t="shared" si="1"/>
        <v>408620</v>
      </c>
      <c r="G14" s="129">
        <f t="shared" si="1"/>
        <v>-22565</v>
      </c>
      <c r="H14" s="129">
        <f t="shared" si="1"/>
        <v>1726029</v>
      </c>
      <c r="J14" s="150"/>
    </row>
    <row r="15" spans="2:10" x14ac:dyDescent="0.2">
      <c r="C15" s="124"/>
      <c r="D15" s="124"/>
      <c r="E15" s="124"/>
      <c r="F15" s="124"/>
      <c r="G15" s="124"/>
      <c r="H15" s="124"/>
    </row>
    <row r="16" spans="2:10" x14ac:dyDescent="0.2">
      <c r="B16" s="93" t="s">
        <v>154</v>
      </c>
      <c r="C16" s="93"/>
      <c r="D16" s="93"/>
      <c r="E16" s="93"/>
      <c r="F16" s="93"/>
      <c r="G16" s="152"/>
      <c r="H16" s="153">
        <v>1597895</v>
      </c>
      <c r="I16" s="147"/>
      <c r="J16" s="146"/>
    </row>
    <row r="17" spans="1:11" x14ac:dyDescent="0.2">
      <c r="B17" s="93" t="s">
        <v>180</v>
      </c>
      <c r="C17" s="93"/>
      <c r="D17" s="93"/>
      <c r="E17" s="93"/>
      <c r="F17" s="93"/>
      <c r="G17" s="152"/>
      <c r="H17" s="153">
        <v>135715</v>
      </c>
      <c r="I17" s="147"/>
      <c r="J17" s="147"/>
    </row>
    <row r="18" spans="1:11" x14ac:dyDescent="0.2">
      <c r="B18" s="93" t="s">
        <v>155</v>
      </c>
      <c r="C18" s="93"/>
      <c r="D18" s="93"/>
      <c r="E18" s="93"/>
      <c r="F18" s="93"/>
      <c r="G18" s="152"/>
      <c r="H18" s="163"/>
      <c r="I18" s="148"/>
      <c r="J18" s="146"/>
      <c r="K18">
        <v>1733610</v>
      </c>
    </row>
    <row r="19" spans="1:11" x14ac:dyDescent="0.2">
      <c r="H19" s="154">
        <f>SUM(H16:H18)</f>
        <v>1733610</v>
      </c>
      <c r="I19" s="146"/>
      <c r="J19" s="146"/>
      <c r="K19" s="150">
        <f>K18-H17</f>
        <v>1597895</v>
      </c>
    </row>
    <row r="20" spans="1:11" x14ac:dyDescent="0.2">
      <c r="G20" s="149" t="s">
        <v>183</v>
      </c>
      <c r="H20" s="151">
        <f>H14-H19</f>
        <v>-7581</v>
      </c>
    </row>
    <row r="21" spans="1:11" x14ac:dyDescent="0.2">
      <c r="A21" s="124"/>
      <c r="B21" s="124"/>
      <c r="C21" s="124"/>
      <c r="E21" s="150"/>
    </row>
    <row r="22" spans="1:11" x14ac:dyDescent="0.2">
      <c r="A22" s="124"/>
      <c r="B22" s="124"/>
      <c r="C22" s="124"/>
      <c r="E22" s="150"/>
      <c r="G22" s="150"/>
      <c r="J22" s="150"/>
    </row>
    <row r="23" spans="1:11" x14ac:dyDescent="0.2">
      <c r="C23" s="124"/>
      <c r="D23" s="124"/>
      <c r="E23" s="150"/>
      <c r="F23" s="124"/>
      <c r="G23" s="124"/>
      <c r="H23" s="124"/>
      <c r="I23" s="150"/>
    </row>
    <row r="24" spans="1:11" x14ac:dyDescent="0.2">
      <c r="C24" s="124"/>
      <c r="D24" s="124"/>
      <c r="E24" s="150"/>
      <c r="F24" s="124"/>
      <c r="G24" s="124"/>
      <c r="H24" s="140"/>
      <c r="I24" s="150"/>
      <c r="J24" s="168"/>
    </row>
    <row r="25" spans="1:11" x14ac:dyDescent="0.2">
      <c r="C25" s="124"/>
      <c r="D25" s="124"/>
      <c r="E25" s="150"/>
      <c r="F25" s="124"/>
      <c r="G25" s="124"/>
      <c r="H25" s="140"/>
      <c r="I25" s="150"/>
      <c r="J25" s="150"/>
    </row>
    <row r="26" spans="1:11" x14ac:dyDescent="0.2">
      <c r="C26" s="124"/>
      <c r="D26" s="124"/>
      <c r="E26" s="150"/>
      <c r="F26" s="124"/>
      <c r="G26" s="124"/>
      <c r="H26" s="140"/>
      <c r="I26" s="150"/>
    </row>
    <row r="27" spans="1:11" x14ac:dyDescent="0.2">
      <c r="C27" s="124"/>
      <c r="D27" s="124"/>
      <c r="E27" s="150"/>
      <c r="F27" s="124"/>
      <c r="G27" s="124"/>
      <c r="H27" s="140"/>
      <c r="J27" s="150"/>
    </row>
    <row r="28" spans="1:11" x14ac:dyDescent="0.2">
      <c r="C28" s="124"/>
      <c r="D28" s="124"/>
      <c r="E28" s="124"/>
      <c r="F28" s="124"/>
      <c r="G28" s="124"/>
      <c r="H28" s="124"/>
    </row>
    <row r="29" spans="1:11" x14ac:dyDescent="0.2">
      <c r="E29" s="124"/>
      <c r="F29" s="124"/>
      <c r="G29" s="124"/>
      <c r="H29" s="124"/>
      <c r="J29" s="150"/>
    </row>
    <row r="30" spans="1:11" x14ac:dyDescent="0.2">
      <c r="C30" s="124"/>
      <c r="D30" s="124"/>
      <c r="E30" s="124"/>
      <c r="F30" s="124"/>
      <c r="G30" s="124"/>
      <c r="H30" s="124"/>
    </row>
  </sheetData>
  <pageMargins left="0" right="0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B66"/>
  <sheetViews>
    <sheetView zoomScale="125" zoomScaleNormal="125" zoomScalePageLayoutView="125" workbookViewId="0">
      <pane xSplit="8" ySplit="5" topLeftCell="BX6" activePane="bottomRight" state="frozen"/>
      <selection pane="topRight" activeCell="I1" sqref="I1"/>
      <selection pane="bottomLeft" activeCell="A6" sqref="A6"/>
      <selection pane="bottomRight" activeCell="CC22" sqref="CC22"/>
    </sheetView>
  </sheetViews>
  <sheetFormatPr baseColWidth="10" defaultColWidth="9.1640625" defaultRowHeight="14" x14ac:dyDescent="0.2"/>
  <cols>
    <col min="1" max="1" width="5.6640625" style="2" bestFit="1" customWidth="1"/>
    <col min="2" max="2" width="22.5" style="2" bestFit="1" customWidth="1"/>
    <col min="3" max="3" width="11" style="2" customWidth="1"/>
    <col min="4" max="4" width="1" style="24" customWidth="1"/>
    <col min="5" max="5" width="27.1640625" style="2" customWidth="1"/>
    <col min="6" max="6" width="13.1640625" style="2" customWidth="1"/>
    <col min="7" max="7" width="5.83203125" style="2" customWidth="1"/>
    <col min="8" max="8" width="6.1640625" style="2" hidden="1" customWidth="1"/>
    <col min="9" max="9" width="9.33203125" style="2" customWidth="1"/>
    <col min="10" max="17" width="8" style="2" bestFit="1" customWidth="1"/>
    <col min="18" max="18" width="9" style="2" customWidth="1"/>
    <col min="19" max="26" width="9.1640625" style="2"/>
    <col min="27" max="27" width="9.5" style="2" bestFit="1" customWidth="1"/>
    <col min="28" max="28" width="9.1640625" style="77"/>
    <col min="29" max="39" width="9.1640625" style="2"/>
    <col min="40" max="40" width="10.33203125" style="2" bestFit="1" customWidth="1"/>
    <col min="41" max="52" width="9.1640625" style="2"/>
    <col min="53" max="53" width="10.33203125" style="2" bestFit="1" customWidth="1"/>
    <col min="54" max="62" width="9.1640625" style="2"/>
    <col min="63" max="63" width="9.33203125" style="2" customWidth="1"/>
    <col min="64" max="64" width="0.6640625" style="2" customWidth="1"/>
    <col min="65" max="16384" width="9.1640625" style="2"/>
  </cols>
  <sheetData>
    <row r="1" spans="1:80" ht="15" thickBot="1" x14ac:dyDescent="0.25">
      <c r="A1" s="174" t="s">
        <v>107</v>
      </c>
      <c r="B1" s="175"/>
      <c r="C1" s="175"/>
      <c r="D1" s="175"/>
      <c r="E1" s="175"/>
      <c r="F1" s="176"/>
    </row>
    <row r="2" spans="1:80" x14ac:dyDescent="0.2">
      <c r="A2" s="177" t="s">
        <v>0</v>
      </c>
      <c r="B2" s="178"/>
      <c r="C2" s="178"/>
      <c r="D2" s="178"/>
      <c r="E2" s="178"/>
      <c r="F2" s="179"/>
    </row>
    <row r="3" spans="1:80" ht="15" thickBot="1" x14ac:dyDescent="0.25">
      <c r="A3" s="180" t="s">
        <v>126</v>
      </c>
      <c r="B3" s="181"/>
      <c r="C3" s="181"/>
      <c r="D3" s="181"/>
      <c r="E3" s="181"/>
      <c r="F3" s="182"/>
    </row>
    <row r="4" spans="1:80" x14ac:dyDescent="0.2">
      <c r="A4" s="183" t="s">
        <v>2</v>
      </c>
      <c r="B4" s="184"/>
      <c r="C4" s="185"/>
      <c r="D4" s="4"/>
      <c r="E4" s="189" t="s">
        <v>3</v>
      </c>
      <c r="F4" s="190"/>
      <c r="I4" s="26" t="s">
        <v>1</v>
      </c>
      <c r="J4" s="26"/>
      <c r="K4" s="26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7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64"/>
      <c r="BK4" s="64"/>
      <c r="BL4" s="64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1" customFormat="1" ht="17.25" customHeight="1" x14ac:dyDescent="0.2">
      <c r="A5" s="186"/>
      <c r="B5" s="187"/>
      <c r="C5" s="188"/>
      <c r="D5" s="5"/>
      <c r="E5" s="191"/>
      <c r="F5" s="192"/>
      <c r="I5" s="64">
        <v>40483</v>
      </c>
      <c r="J5" s="64">
        <v>40513</v>
      </c>
      <c r="K5" s="64">
        <v>40544</v>
      </c>
      <c r="L5" s="64">
        <v>40575</v>
      </c>
      <c r="M5" s="64">
        <v>40603</v>
      </c>
      <c r="N5" s="64">
        <v>40634</v>
      </c>
      <c r="O5" s="64">
        <v>40664</v>
      </c>
      <c r="P5" s="64">
        <v>40695</v>
      </c>
      <c r="Q5" s="64">
        <v>40725</v>
      </c>
      <c r="R5" s="64">
        <v>40756</v>
      </c>
      <c r="S5" s="64">
        <v>40787</v>
      </c>
      <c r="T5" s="64">
        <v>40817</v>
      </c>
      <c r="U5" s="64">
        <v>40848</v>
      </c>
      <c r="V5" s="64">
        <v>40878</v>
      </c>
      <c r="W5" s="64">
        <v>40909</v>
      </c>
      <c r="X5" s="64">
        <v>40940</v>
      </c>
      <c r="Y5" s="64">
        <v>40969</v>
      </c>
      <c r="Z5" s="64">
        <v>41000</v>
      </c>
      <c r="AA5" s="64">
        <v>41030</v>
      </c>
      <c r="AB5" s="64">
        <v>41061</v>
      </c>
      <c r="AC5" s="64">
        <v>41091</v>
      </c>
      <c r="AD5" s="64">
        <v>41122</v>
      </c>
      <c r="AE5" s="64">
        <v>41153</v>
      </c>
      <c r="AF5" s="64">
        <v>41183</v>
      </c>
      <c r="AG5" s="64">
        <v>41214</v>
      </c>
      <c r="AH5" s="64">
        <v>41244</v>
      </c>
      <c r="AI5" s="64">
        <v>41275</v>
      </c>
      <c r="AJ5" s="64">
        <v>41306</v>
      </c>
      <c r="AK5" s="64">
        <v>41334</v>
      </c>
      <c r="AL5" s="64">
        <v>41365</v>
      </c>
      <c r="AM5" s="64">
        <v>41395</v>
      </c>
      <c r="AN5" s="64">
        <v>41426</v>
      </c>
      <c r="AO5" s="64">
        <v>41468</v>
      </c>
      <c r="AP5" s="64">
        <v>41499</v>
      </c>
      <c r="AQ5" s="64">
        <v>41530</v>
      </c>
      <c r="AR5" s="64">
        <v>41548</v>
      </c>
      <c r="AS5" s="64">
        <v>41579</v>
      </c>
      <c r="AT5" s="64">
        <v>41621</v>
      </c>
      <c r="AU5" s="64">
        <v>41653</v>
      </c>
      <c r="AV5" s="64">
        <v>41684</v>
      </c>
      <c r="AW5" s="64">
        <v>41712</v>
      </c>
      <c r="AX5" s="64">
        <v>41743</v>
      </c>
      <c r="AY5" s="64">
        <v>41773</v>
      </c>
      <c r="AZ5" s="64">
        <v>41804</v>
      </c>
      <c r="BA5" s="64">
        <v>41834</v>
      </c>
      <c r="BB5" s="64">
        <v>41865</v>
      </c>
      <c r="BC5" s="64">
        <v>41896</v>
      </c>
      <c r="BD5" s="64">
        <v>41926</v>
      </c>
      <c r="BE5" s="64">
        <v>41957</v>
      </c>
      <c r="BF5" s="64">
        <v>41987</v>
      </c>
      <c r="BG5" s="64">
        <v>42019</v>
      </c>
      <c r="BH5" s="64">
        <v>42050</v>
      </c>
      <c r="BI5" s="64">
        <v>42078</v>
      </c>
      <c r="BJ5" s="64">
        <v>42109</v>
      </c>
      <c r="BK5" s="64">
        <v>42139</v>
      </c>
      <c r="BL5" s="64">
        <v>42156</v>
      </c>
      <c r="BM5" s="64">
        <v>42186</v>
      </c>
      <c r="BN5" s="64">
        <v>42217</v>
      </c>
      <c r="BO5" s="64">
        <v>42248</v>
      </c>
      <c r="BP5" s="64">
        <v>42278</v>
      </c>
      <c r="BQ5" s="64">
        <v>42309</v>
      </c>
      <c r="BR5" s="64">
        <v>42339</v>
      </c>
      <c r="BS5" s="64">
        <v>42370</v>
      </c>
      <c r="BT5" s="64">
        <v>42401</v>
      </c>
      <c r="BU5" s="64">
        <v>42430</v>
      </c>
      <c r="BV5" s="64">
        <v>42461</v>
      </c>
      <c r="BW5" s="64">
        <v>42491</v>
      </c>
      <c r="BX5" s="64">
        <v>42522</v>
      </c>
      <c r="BY5" s="64">
        <v>42552</v>
      </c>
      <c r="BZ5" s="64">
        <v>42583</v>
      </c>
      <c r="CA5" s="64">
        <v>42614</v>
      </c>
      <c r="CB5" s="64">
        <v>42644</v>
      </c>
    </row>
    <row r="6" spans="1:80" x14ac:dyDescent="0.2">
      <c r="A6" s="6" t="s">
        <v>4</v>
      </c>
      <c r="B6" s="7" t="s">
        <v>5</v>
      </c>
      <c r="C6" s="8"/>
      <c r="D6" s="9"/>
      <c r="E6" s="10" t="s">
        <v>6</v>
      </c>
      <c r="F6" s="11">
        <f>SUM(I6:CM6)</f>
        <v>986780</v>
      </c>
      <c r="G6" s="12"/>
      <c r="H6" s="12"/>
      <c r="I6" s="65">
        <v>11000</v>
      </c>
      <c r="J6" s="65">
        <v>11000</v>
      </c>
      <c r="K6" s="65">
        <v>11000</v>
      </c>
      <c r="L6" s="65">
        <v>11000</v>
      </c>
      <c r="M6" s="65">
        <v>8500</v>
      </c>
      <c r="N6" s="65">
        <v>11000</v>
      </c>
      <c r="O6" s="65">
        <v>11000</v>
      </c>
      <c r="P6" s="65">
        <v>11000</v>
      </c>
      <c r="Q6" s="65">
        <f>(11200+500)</f>
        <v>11700</v>
      </c>
      <c r="R6" s="65">
        <v>11500</v>
      </c>
      <c r="S6" s="65">
        <f>11500+200</f>
        <v>11700</v>
      </c>
      <c r="T6" s="65">
        <f>200+11500</f>
        <v>11700</v>
      </c>
      <c r="U6" s="65">
        <f>200+11500</f>
        <v>11700</v>
      </c>
      <c r="V6" s="65">
        <f>1000+10700</f>
        <v>11700</v>
      </c>
      <c r="W6" s="65">
        <f>6000+5000+500+200</f>
        <v>11700</v>
      </c>
      <c r="X6" s="65">
        <v>11700</v>
      </c>
      <c r="Y6" s="65">
        <v>11700</v>
      </c>
      <c r="Z6" s="65">
        <v>12700</v>
      </c>
      <c r="AA6" s="78">
        <v>12700</v>
      </c>
      <c r="AB6" s="78">
        <v>12700</v>
      </c>
      <c r="AC6" s="80">
        <v>12700</v>
      </c>
      <c r="AD6" s="80">
        <v>12300</v>
      </c>
      <c r="AE6" s="80">
        <v>12700</v>
      </c>
      <c r="AF6" s="80">
        <v>12700</v>
      </c>
      <c r="AG6" s="80">
        <f>1000+12700</f>
        <v>13700</v>
      </c>
      <c r="AH6" s="80">
        <v>12700</v>
      </c>
      <c r="AI6" s="80">
        <v>12700</v>
      </c>
      <c r="AJ6" s="80">
        <v>12700</v>
      </c>
      <c r="AK6" s="80">
        <v>13000</v>
      </c>
      <c r="AL6" s="80">
        <v>13800</v>
      </c>
      <c r="AM6" s="80">
        <v>13800</v>
      </c>
      <c r="AN6" s="80">
        <v>13800</v>
      </c>
      <c r="AO6" s="80">
        <v>13800</v>
      </c>
      <c r="AP6" s="80">
        <v>13800</v>
      </c>
      <c r="AQ6" s="80">
        <v>13800</v>
      </c>
      <c r="AR6" s="80">
        <v>13800</v>
      </c>
      <c r="AS6" s="80">
        <f>2400+13800</f>
        <v>16200</v>
      </c>
      <c r="AT6" s="80">
        <v>13800</v>
      </c>
      <c r="AU6" s="80">
        <v>13800</v>
      </c>
      <c r="AV6" s="80">
        <v>13800</v>
      </c>
      <c r="AW6" s="80">
        <f>13800+500</f>
        <v>14300</v>
      </c>
      <c r="AX6" s="80">
        <v>14300</v>
      </c>
      <c r="AY6" s="80">
        <f>11000+11000+150</f>
        <v>22150</v>
      </c>
      <c r="AZ6" s="80">
        <v>15000</v>
      </c>
      <c r="BA6" s="80">
        <v>15000</v>
      </c>
      <c r="BB6" s="80">
        <v>1500</v>
      </c>
      <c r="BC6" s="80">
        <v>15000</v>
      </c>
      <c r="BD6" s="80">
        <v>16200</v>
      </c>
      <c r="BE6" s="80">
        <v>15130</v>
      </c>
      <c r="BF6" s="80">
        <v>15100</v>
      </c>
      <c r="BG6" s="80">
        <v>15200</v>
      </c>
      <c r="BH6" s="80">
        <v>15200</v>
      </c>
      <c r="BI6" s="80">
        <v>15200</v>
      </c>
      <c r="BJ6" s="80">
        <v>15200</v>
      </c>
      <c r="BK6" s="80">
        <v>15200</v>
      </c>
      <c r="BL6" s="80">
        <v>16200</v>
      </c>
      <c r="BM6" s="80">
        <v>16200</v>
      </c>
      <c r="BN6" s="80">
        <v>16200</v>
      </c>
      <c r="BO6" s="80">
        <f>16000+200</f>
        <v>16200</v>
      </c>
      <c r="BP6" s="80">
        <f>16000+200</f>
        <v>16200</v>
      </c>
      <c r="BQ6" s="80">
        <f>16000+200</f>
        <v>16200</v>
      </c>
      <c r="BR6" s="80">
        <f>16000+100+100</f>
        <v>16200</v>
      </c>
      <c r="BS6" s="80">
        <f>2000+4742+9258</f>
        <v>16000</v>
      </c>
      <c r="BT6" s="80">
        <f>16000+200</f>
        <v>16200</v>
      </c>
      <c r="BU6" s="80">
        <f>200+16000</f>
        <v>16200</v>
      </c>
      <c r="BV6" s="80">
        <f>200+16000</f>
        <v>16200</v>
      </c>
      <c r="BW6" s="80">
        <f>200+18000</f>
        <v>18200</v>
      </c>
      <c r="BX6" s="80">
        <f>200+18000</f>
        <v>18200</v>
      </c>
      <c r="BY6" s="80">
        <f>18000+200</f>
        <v>18200</v>
      </c>
      <c r="BZ6" s="80">
        <f>200+18000</f>
        <v>18200</v>
      </c>
      <c r="CA6" s="80">
        <f>18000+200</f>
        <v>18200</v>
      </c>
      <c r="CB6" s="80"/>
    </row>
    <row r="7" spans="1:80" x14ac:dyDescent="0.2">
      <c r="A7" s="13" t="s">
        <v>7</v>
      </c>
      <c r="B7" s="8" t="s">
        <v>8</v>
      </c>
      <c r="C7" s="14">
        <f>SUM('Individual wise Details  '!K46:CM46)</f>
        <v>246885</v>
      </c>
      <c r="D7" s="9"/>
      <c r="E7" s="10" t="s">
        <v>9</v>
      </c>
      <c r="F7" s="11">
        <f t="shared" ref="F7:F43" si="0">SUM(I7:CM7)</f>
        <v>612363</v>
      </c>
      <c r="G7" s="12"/>
      <c r="H7" s="12"/>
      <c r="I7" s="65">
        <v>7000</v>
      </c>
      <c r="J7" s="65">
        <v>7000</v>
      </c>
      <c r="K7" s="65">
        <v>7000</v>
      </c>
      <c r="L7" s="65">
        <v>7000</v>
      </c>
      <c r="M7" s="65">
        <v>7000</v>
      </c>
      <c r="N7" s="65">
        <v>7000</v>
      </c>
      <c r="O7" s="65">
        <v>7000</v>
      </c>
      <c r="P7" s="65">
        <v>7000</v>
      </c>
      <c r="Q7" s="65">
        <v>7000</v>
      </c>
      <c r="R7" s="65">
        <v>7500</v>
      </c>
      <c r="S7" s="65">
        <v>7500</v>
      </c>
      <c r="T7" s="65">
        <v>7500</v>
      </c>
      <c r="U7" s="65">
        <v>7500</v>
      </c>
      <c r="V7" s="65">
        <v>7500</v>
      </c>
      <c r="W7" s="65">
        <v>7500</v>
      </c>
      <c r="X7" s="65">
        <v>7500</v>
      </c>
      <c r="Y7" s="65">
        <v>7000</v>
      </c>
      <c r="Z7" s="65">
        <v>7000</v>
      </c>
      <c r="AA7" s="78">
        <v>7000</v>
      </c>
      <c r="AB7" s="78">
        <v>7000</v>
      </c>
      <c r="AC7" s="80">
        <v>7000</v>
      </c>
      <c r="AD7" s="80">
        <v>7000</v>
      </c>
      <c r="AE7" s="80">
        <v>7000</v>
      </c>
      <c r="AF7" s="80">
        <v>7000</v>
      </c>
      <c r="AG7" s="80">
        <f>500+7000</f>
        <v>7500</v>
      </c>
      <c r="AH7" s="80">
        <v>7500</v>
      </c>
      <c r="AI7" s="80">
        <v>7500</v>
      </c>
      <c r="AJ7" s="80">
        <v>8000</v>
      </c>
      <c r="AK7" s="80">
        <f>300+8000</f>
        <v>8300</v>
      </c>
      <c r="AL7" s="80">
        <v>8500</v>
      </c>
      <c r="AM7" s="80">
        <v>8500</v>
      </c>
      <c r="AN7" s="80">
        <v>8500</v>
      </c>
      <c r="AO7" s="80">
        <v>8750</v>
      </c>
      <c r="AP7" s="80">
        <v>9000</v>
      </c>
      <c r="AQ7" s="80">
        <v>9000</v>
      </c>
      <c r="AR7" s="80">
        <v>9000</v>
      </c>
      <c r="AS7" s="80">
        <v>9000</v>
      </c>
      <c r="AT7" s="80">
        <v>9000</v>
      </c>
      <c r="AU7" s="80">
        <v>9000</v>
      </c>
      <c r="AV7" s="80">
        <v>9000</v>
      </c>
      <c r="AW7" s="80">
        <v>9000</v>
      </c>
      <c r="AX7" s="80">
        <v>9000</v>
      </c>
      <c r="AY7" s="80">
        <f>266+3200+4800</f>
        <v>8266</v>
      </c>
      <c r="AZ7" s="80">
        <v>9000</v>
      </c>
      <c r="BA7" s="80">
        <v>9000</v>
      </c>
      <c r="BB7" s="80">
        <v>9000</v>
      </c>
      <c r="BC7" s="80">
        <v>9000</v>
      </c>
      <c r="BD7" s="80">
        <v>10000</v>
      </c>
      <c r="BE7" s="80">
        <v>9000</v>
      </c>
      <c r="BF7" s="80">
        <f>6450+1050+3000</f>
        <v>10500</v>
      </c>
      <c r="BG7" s="80">
        <f>300+9000</f>
        <v>9300</v>
      </c>
      <c r="BH7" s="80">
        <v>9000</v>
      </c>
      <c r="BI7" s="80">
        <v>9150</v>
      </c>
      <c r="BJ7" s="80">
        <v>9000</v>
      </c>
      <c r="BK7" s="80">
        <v>10000</v>
      </c>
      <c r="BL7" s="80">
        <v>10000</v>
      </c>
      <c r="BM7" s="80">
        <v>12096</v>
      </c>
      <c r="BN7" s="80">
        <v>9840</v>
      </c>
      <c r="BO7" s="80">
        <v>9333</v>
      </c>
      <c r="BP7" s="80">
        <f>3550+5650+721</f>
        <v>9921</v>
      </c>
      <c r="BQ7" s="80">
        <f>6783+3666+666</f>
        <v>11115</v>
      </c>
      <c r="BR7" s="80">
        <f>6564+4000</f>
        <v>10564</v>
      </c>
      <c r="BS7" s="80">
        <f>2000+5484+484+3726</f>
        <v>11694</v>
      </c>
      <c r="BT7" s="80">
        <f>4830+2500+2600-2000</f>
        <v>7930</v>
      </c>
      <c r="BU7" s="80">
        <f>4355+5323</f>
        <v>9678</v>
      </c>
      <c r="BV7" s="80">
        <f>5500+5231</f>
        <v>10731</v>
      </c>
      <c r="BW7" s="80">
        <f>4800+5500</f>
        <v>10300</v>
      </c>
      <c r="BX7" s="80">
        <f>5600+5225</f>
        <v>10825</v>
      </c>
      <c r="BY7" s="80">
        <f>5322+5500</f>
        <v>10822</v>
      </c>
      <c r="BZ7" s="80">
        <f>5600+5330</f>
        <v>10930</v>
      </c>
      <c r="CA7" s="80">
        <f>5410+5408</f>
        <v>10818</v>
      </c>
      <c r="CB7" s="80"/>
    </row>
    <row r="8" spans="1:80" x14ac:dyDescent="0.2">
      <c r="A8" s="13" t="s">
        <v>10</v>
      </c>
      <c r="B8" s="8" t="s">
        <v>11</v>
      </c>
      <c r="C8" s="14">
        <f>SUM('Individual wise Details  '!K47:CM47)</f>
        <v>284597</v>
      </c>
      <c r="D8" s="9"/>
      <c r="E8" s="10" t="s">
        <v>12</v>
      </c>
      <c r="F8" s="11">
        <f t="shared" si="0"/>
        <v>486593</v>
      </c>
      <c r="G8" s="12"/>
      <c r="H8" s="12"/>
      <c r="I8" s="65">
        <v>14360</v>
      </c>
      <c r="J8" s="65">
        <v>7950</v>
      </c>
      <c r="K8" s="65">
        <v>8400</v>
      </c>
      <c r="L8" s="65">
        <v>10750</v>
      </c>
      <c r="M8" s="65">
        <v>8260</v>
      </c>
      <c r="N8" s="65">
        <v>6655</v>
      </c>
      <c r="O8" s="65">
        <v>5670</v>
      </c>
      <c r="P8" s="65">
        <v>5900</v>
      </c>
      <c r="Q8" s="65">
        <v>5500</v>
      </c>
      <c r="R8" s="66">
        <v>5500</v>
      </c>
      <c r="S8" s="65">
        <v>5300</v>
      </c>
      <c r="T8" s="65">
        <v>6400</v>
      </c>
      <c r="U8" s="65">
        <v>6700</v>
      </c>
      <c r="V8" s="65">
        <v>7600</v>
      </c>
      <c r="W8" s="65">
        <v>7500</v>
      </c>
      <c r="X8" s="65">
        <v>6065</v>
      </c>
      <c r="Y8" s="65">
        <v>6300</v>
      </c>
      <c r="Z8" s="65">
        <v>8153</v>
      </c>
      <c r="AA8" s="78">
        <f>5610+2000</f>
        <v>7610</v>
      </c>
      <c r="AB8" s="78">
        <v>7028</v>
      </c>
      <c r="AC8" s="80">
        <v>5646</v>
      </c>
      <c r="AD8" s="80">
        <v>5575</v>
      </c>
      <c r="AE8" s="80">
        <v>5540</v>
      </c>
      <c r="AF8" s="80">
        <v>6392</v>
      </c>
      <c r="AG8" s="80">
        <v>5766</v>
      </c>
      <c r="AH8" s="80">
        <v>5328</v>
      </c>
      <c r="AI8" s="80">
        <v>5458</v>
      </c>
      <c r="AJ8" s="80">
        <v>6387</v>
      </c>
      <c r="AK8" s="80">
        <v>5405</v>
      </c>
      <c r="AL8" s="80">
        <v>6157</v>
      </c>
      <c r="AM8" s="80">
        <v>5763</v>
      </c>
      <c r="AN8" s="80">
        <v>5054</v>
      </c>
      <c r="AO8" s="80">
        <v>7007</v>
      </c>
      <c r="AP8" s="80">
        <v>4411</v>
      </c>
      <c r="AQ8" s="80">
        <v>5160</v>
      </c>
      <c r="AR8" s="80">
        <v>7577</v>
      </c>
      <c r="AS8" s="80">
        <v>5636</v>
      </c>
      <c r="AT8" s="80">
        <v>5748</v>
      </c>
      <c r="AU8" s="80">
        <f>7500+215</f>
        <v>7715</v>
      </c>
      <c r="AV8" s="80">
        <v>5628</v>
      </c>
      <c r="AW8" s="80">
        <v>5174</v>
      </c>
      <c r="AX8" s="80">
        <v>2894</v>
      </c>
      <c r="AY8" s="80">
        <v>7255</v>
      </c>
      <c r="AZ8" s="80">
        <v>6501</v>
      </c>
      <c r="BA8" s="80">
        <v>5154</v>
      </c>
      <c r="BB8" s="80">
        <v>6981</v>
      </c>
      <c r="BC8" s="80">
        <v>9718</v>
      </c>
      <c r="BD8" s="80"/>
      <c r="BE8" s="80">
        <v>19779</v>
      </c>
      <c r="BF8" s="80">
        <v>7080</v>
      </c>
      <c r="BG8" s="80">
        <v>7817</v>
      </c>
      <c r="BH8" s="80">
        <f>6059+214</f>
        <v>6273</v>
      </c>
      <c r="BI8" s="80">
        <v>5558</v>
      </c>
      <c r="BJ8" s="80">
        <v>7055</v>
      </c>
      <c r="BK8" s="80">
        <v>7114</v>
      </c>
      <c r="BL8" s="80">
        <v>7897</v>
      </c>
      <c r="BM8" s="80">
        <v>12031</v>
      </c>
      <c r="BN8" s="80">
        <v>12836</v>
      </c>
      <c r="BO8" s="80">
        <v>5603</v>
      </c>
      <c r="BP8" s="80">
        <f>782+234</f>
        <v>1016</v>
      </c>
      <c r="BQ8" s="80">
        <f>7298+246</f>
        <v>7544</v>
      </c>
      <c r="BR8" s="80">
        <f>6937+237</f>
        <v>7174</v>
      </c>
      <c r="BS8" s="80"/>
      <c r="BT8" s="80">
        <f>14843+484</f>
        <v>15327</v>
      </c>
      <c r="BU8" s="80">
        <f>7462+232</f>
        <v>7694</v>
      </c>
      <c r="BV8" s="80">
        <f>244+7953</f>
        <v>8197</v>
      </c>
      <c r="BW8" s="80"/>
      <c r="BX8" s="80">
        <f>542+15287</f>
        <v>15829</v>
      </c>
      <c r="BY8" s="80">
        <v>7682</v>
      </c>
      <c r="BZ8" s="80">
        <f>8317+10+124+5</f>
        <v>8456</v>
      </c>
      <c r="CA8" s="80"/>
      <c r="CB8" s="80"/>
    </row>
    <row r="9" spans="1:80" x14ac:dyDescent="0.2">
      <c r="A9" s="13">
        <v>201</v>
      </c>
      <c r="B9" s="8" t="s">
        <v>13</v>
      </c>
      <c r="C9" s="14">
        <f>SUM('Individual wise Details  '!K48:CM48)</f>
        <v>280112</v>
      </c>
      <c r="D9" s="9"/>
      <c r="E9" s="10" t="s">
        <v>14</v>
      </c>
      <c r="F9" s="11">
        <f t="shared" si="0"/>
        <v>2092030</v>
      </c>
      <c r="G9" s="12"/>
      <c r="H9" s="12"/>
      <c r="I9" s="65">
        <v>1080</v>
      </c>
      <c r="J9" s="65">
        <v>4320</v>
      </c>
      <c r="K9" s="65">
        <v>5400</v>
      </c>
      <c r="L9" s="65">
        <v>9720</v>
      </c>
      <c r="M9" s="65">
        <v>17600</v>
      </c>
      <c r="N9" s="65">
        <v>12600</v>
      </c>
      <c r="O9" s="65">
        <v>13140</v>
      </c>
      <c r="P9" s="65">
        <v>14200</v>
      </c>
      <c r="Q9" s="65">
        <f>(180*72)</f>
        <v>12960</v>
      </c>
      <c r="R9" s="66">
        <f>(195*71)</f>
        <v>13845</v>
      </c>
      <c r="S9" s="66">
        <f>(195*72)</f>
        <v>14040</v>
      </c>
      <c r="T9" s="66">
        <f>(195*72)</f>
        <v>14040</v>
      </c>
      <c r="U9" s="66">
        <f>76*195</f>
        <v>14820</v>
      </c>
      <c r="V9" s="66">
        <f>84*195</f>
        <v>16380</v>
      </c>
      <c r="W9" s="66">
        <f>3400+18135</f>
        <v>21535</v>
      </c>
      <c r="X9" s="66">
        <f>10800+15405</f>
        <v>26205</v>
      </c>
      <c r="Y9" s="66">
        <f>24200+13420</f>
        <v>37620</v>
      </c>
      <c r="Z9" s="66">
        <f>24975+10120</f>
        <v>35095</v>
      </c>
      <c r="AA9" s="78">
        <f>11200+16200</f>
        <v>27400</v>
      </c>
      <c r="AB9" s="78">
        <f>10760+25250</f>
        <v>36010</v>
      </c>
      <c r="AC9" s="80">
        <f>26500+11000+1500</f>
        <v>39000</v>
      </c>
      <c r="AD9" s="80">
        <f>15200+27000</f>
        <v>42200</v>
      </c>
      <c r="AE9" s="80">
        <f>15250+20250</f>
        <v>35500</v>
      </c>
      <c r="AF9" s="80">
        <f>18250+16000</f>
        <v>34250</v>
      </c>
      <c r="AG9" s="80">
        <f>15500+11000+8800</f>
        <v>35300</v>
      </c>
      <c r="AH9" s="80">
        <f>16700+11250+3250</f>
        <v>31200</v>
      </c>
      <c r="AI9" s="80">
        <f>18700+17480</f>
        <v>36180</v>
      </c>
      <c r="AJ9" s="80">
        <f>16900+14950</f>
        <v>31850</v>
      </c>
      <c r="AK9" s="80">
        <f>19680+17500+1800</f>
        <v>38980</v>
      </c>
      <c r="AL9" s="80">
        <v>37500</v>
      </c>
      <c r="AM9" s="80">
        <f>20500+19750</f>
        <v>40250</v>
      </c>
      <c r="AN9" s="80">
        <f>19750+19250</f>
        <v>39000</v>
      </c>
      <c r="AO9" s="80">
        <f>22000+20000</f>
        <v>42000</v>
      </c>
      <c r="AP9" s="80">
        <f>19500+18000</f>
        <v>37500</v>
      </c>
      <c r="AQ9" s="80">
        <f>20000+15750</f>
        <v>35750</v>
      </c>
      <c r="AR9" s="80">
        <f>18750+15750</f>
        <v>34500</v>
      </c>
      <c r="AS9" s="80">
        <v>34750</v>
      </c>
      <c r="AT9" s="80">
        <f>15000+19500</f>
        <v>34500</v>
      </c>
      <c r="AU9" s="80">
        <f>19000+16000</f>
        <v>35000</v>
      </c>
      <c r="AV9" s="80">
        <f>14000+18750</f>
        <v>32750</v>
      </c>
      <c r="AW9" s="80">
        <f>19000+14500</f>
        <v>33500</v>
      </c>
      <c r="AX9" s="80">
        <f>22200+14250</f>
        <v>36450</v>
      </c>
      <c r="AY9" s="80">
        <f>20250+15500</f>
        <v>35750</v>
      </c>
      <c r="AZ9" s="80">
        <f>17000+14500</f>
        <v>31500</v>
      </c>
      <c r="BA9" s="80">
        <f>12500+11000</f>
        <v>23500</v>
      </c>
      <c r="BB9" s="80">
        <v>18250</v>
      </c>
      <c r="BC9" s="80">
        <f>11250+8500</f>
        <v>19750</v>
      </c>
      <c r="BD9" s="80">
        <f>350+9250+11500</f>
        <v>21100</v>
      </c>
      <c r="BE9" s="80">
        <f>12690+10260</f>
        <v>22950</v>
      </c>
      <c r="BF9" s="80">
        <f>11070+12420</f>
        <v>23490</v>
      </c>
      <c r="BG9" s="80">
        <f>12420+14850</f>
        <v>27270</v>
      </c>
      <c r="BH9" s="80">
        <v>27540</v>
      </c>
      <c r="BI9" s="80">
        <v>29160</v>
      </c>
      <c r="BJ9" s="80">
        <v>25920</v>
      </c>
      <c r="BK9" s="80">
        <v>31590</v>
      </c>
      <c r="BL9" s="80">
        <v>32670</v>
      </c>
      <c r="BM9" s="80">
        <v>39960</v>
      </c>
      <c r="BN9" s="80">
        <v>39760</v>
      </c>
      <c r="BO9" s="80">
        <v>32560</v>
      </c>
      <c r="BP9" s="80">
        <f>14280+21840</f>
        <v>36120</v>
      </c>
      <c r="BQ9" s="80">
        <f>23800+13260</f>
        <v>37060</v>
      </c>
      <c r="BR9" s="80">
        <f>23240+10540</f>
        <v>33780</v>
      </c>
      <c r="BS9" s="80">
        <f>24920+10540</f>
        <v>35460</v>
      </c>
      <c r="BT9" s="80">
        <f>25760+11900</f>
        <v>37660</v>
      </c>
      <c r="BU9" s="80">
        <f>-250+17680+28560</f>
        <v>45990</v>
      </c>
      <c r="BV9" s="80">
        <f>25480+13260</f>
        <v>38740</v>
      </c>
      <c r="BW9" s="80">
        <f>26320+17680</f>
        <v>44000</v>
      </c>
      <c r="BX9" s="80">
        <f>16320+27300</f>
        <v>43620</v>
      </c>
      <c r="BY9" s="80">
        <f>24300+16660</f>
        <v>40960</v>
      </c>
      <c r="BZ9" s="80">
        <f>13940+21600</f>
        <v>35540</v>
      </c>
      <c r="CA9" s="80">
        <f>19500+14960</f>
        <v>34460</v>
      </c>
      <c r="CB9" s="80"/>
    </row>
    <row r="10" spans="1:80" x14ac:dyDescent="0.2">
      <c r="A10" s="13">
        <v>301</v>
      </c>
      <c r="B10" s="8" t="s">
        <v>15</v>
      </c>
      <c r="C10" s="14">
        <f>SUM('Individual wise Details  '!K49:CM49)</f>
        <v>280181</v>
      </c>
      <c r="D10" s="9"/>
      <c r="E10" s="10" t="s">
        <v>16</v>
      </c>
      <c r="F10" s="11">
        <f t="shared" si="0"/>
        <v>168538</v>
      </c>
      <c r="G10" s="12"/>
      <c r="H10" s="12"/>
      <c r="I10" s="65">
        <v>600</v>
      </c>
      <c r="J10" s="65">
        <v>200</v>
      </c>
      <c r="K10" s="65">
        <v>850</v>
      </c>
      <c r="L10" s="65">
        <v>1250</v>
      </c>
      <c r="M10" s="65">
        <v>1650</v>
      </c>
      <c r="N10" s="65">
        <v>1200</v>
      </c>
      <c r="O10" s="65">
        <v>1200</v>
      </c>
      <c r="P10" s="65">
        <v>1200</v>
      </c>
      <c r="Q10" s="65">
        <f>(1200+630+1150)</f>
        <v>2980</v>
      </c>
      <c r="R10" s="66">
        <f>(1800+300+650+2200+160)</f>
        <v>5110</v>
      </c>
      <c r="S10" s="66">
        <f>(1000+715+578+1000+500+100+100+2300)</f>
        <v>6293</v>
      </c>
      <c r="T10" s="66">
        <f>(250+3500+2300)</f>
        <v>6050</v>
      </c>
      <c r="U10" s="66">
        <f>140+200+300+2500</f>
        <v>3140</v>
      </c>
      <c r="V10" s="66">
        <v>2500</v>
      </c>
      <c r="W10" s="66">
        <v>2500</v>
      </c>
      <c r="X10" s="66">
        <f>1350+2500+50</f>
        <v>3900</v>
      </c>
      <c r="Y10" s="66">
        <v>2500</v>
      </c>
      <c r="Z10" s="66">
        <v>2500</v>
      </c>
      <c r="AA10" s="78">
        <v>2500</v>
      </c>
      <c r="AB10" s="78">
        <v>2500</v>
      </c>
      <c r="AC10" s="80">
        <v>2500</v>
      </c>
      <c r="AD10" s="80">
        <v>2700</v>
      </c>
      <c r="AE10" s="80">
        <v>2800</v>
      </c>
      <c r="AF10" s="80">
        <v>2750</v>
      </c>
      <c r="AG10" s="80">
        <f>300+2750</f>
        <v>3050</v>
      </c>
      <c r="AH10" s="80">
        <v>2750</v>
      </c>
      <c r="AI10" s="80">
        <v>2750</v>
      </c>
      <c r="AJ10" s="80">
        <v>2750</v>
      </c>
      <c r="AK10" s="80">
        <v>2750</v>
      </c>
      <c r="AL10" s="80">
        <v>2750</v>
      </c>
      <c r="AM10" s="80">
        <v>2750</v>
      </c>
      <c r="AN10" s="80">
        <f>250+2500</f>
        <v>2750</v>
      </c>
      <c r="AO10" s="80">
        <f>580+3000</f>
        <v>3580</v>
      </c>
      <c r="AP10" s="80">
        <v>2750</v>
      </c>
      <c r="AQ10" s="80">
        <v>2300</v>
      </c>
      <c r="AR10" s="80">
        <f>2600+500</f>
        <v>3100</v>
      </c>
      <c r="AS10" s="80">
        <v>1300</v>
      </c>
      <c r="AT10" s="80">
        <v>3000</v>
      </c>
      <c r="AU10" s="80">
        <v>3000</v>
      </c>
      <c r="AV10" s="80">
        <f>360+700+500+400+900</f>
        <v>2860</v>
      </c>
      <c r="AW10" s="80">
        <v>1900</v>
      </c>
      <c r="AX10" s="80">
        <f>80+1000</f>
        <v>1080</v>
      </c>
      <c r="AY10" s="80">
        <f>155+335+200</f>
        <v>690</v>
      </c>
      <c r="AZ10" s="80">
        <v>1000</v>
      </c>
      <c r="BA10" s="80">
        <v>750</v>
      </c>
      <c r="BB10" s="80"/>
      <c r="BC10" s="80">
        <v>1500</v>
      </c>
      <c r="BD10" s="80">
        <f>1000+1700</f>
        <v>2700</v>
      </c>
      <c r="BE10" s="80">
        <v>3620</v>
      </c>
      <c r="BF10" s="80">
        <f>700+500</f>
        <v>1200</v>
      </c>
      <c r="BG10" s="80">
        <v>1000</v>
      </c>
      <c r="BH10" s="80">
        <v>1000</v>
      </c>
      <c r="BI10" s="80">
        <v>1200</v>
      </c>
      <c r="BJ10" s="80">
        <v>1000</v>
      </c>
      <c r="BK10" s="80">
        <v>6180</v>
      </c>
      <c r="BL10" s="80">
        <v>1000</v>
      </c>
      <c r="BM10" s="80">
        <v>1000</v>
      </c>
      <c r="BN10" s="80">
        <v>4845</v>
      </c>
      <c r="BO10" s="80">
        <v>2120</v>
      </c>
      <c r="BP10" s="80">
        <v>1500</v>
      </c>
      <c r="BQ10" s="80">
        <f>10000+5350</f>
        <v>15350</v>
      </c>
      <c r="BR10" s="80"/>
      <c r="BS10" s="80">
        <v>700</v>
      </c>
      <c r="BT10" s="80"/>
      <c r="BU10" s="80">
        <v>1200</v>
      </c>
      <c r="BV10" s="80">
        <v>1270</v>
      </c>
      <c r="BW10" s="80"/>
      <c r="BX10" s="80"/>
      <c r="BY10" s="80"/>
      <c r="BZ10" s="80">
        <f>3500+1170</f>
        <v>4670</v>
      </c>
      <c r="CA10" s="80">
        <v>4000</v>
      </c>
      <c r="CB10" s="80">
        <v>500</v>
      </c>
    </row>
    <row r="11" spans="1:80" x14ac:dyDescent="0.2">
      <c r="A11" s="13" t="s">
        <v>17</v>
      </c>
      <c r="B11" s="8" t="s">
        <v>108</v>
      </c>
      <c r="C11" s="14">
        <f>SUM('Individual wise Details  '!K50:CM50)</f>
        <v>186227</v>
      </c>
      <c r="D11" s="9"/>
      <c r="E11" s="10" t="s">
        <v>18</v>
      </c>
      <c r="F11" s="11">
        <f t="shared" si="0"/>
        <v>86200</v>
      </c>
      <c r="G11" s="12"/>
      <c r="H11" s="12"/>
      <c r="I11" s="65">
        <v>750</v>
      </c>
      <c r="J11" s="65">
        <v>750</v>
      </c>
      <c r="K11" s="65">
        <v>750</v>
      </c>
      <c r="L11" s="65">
        <v>750</v>
      </c>
      <c r="M11" s="65">
        <v>800</v>
      </c>
      <c r="N11" s="65">
        <v>800</v>
      </c>
      <c r="O11" s="65">
        <v>800</v>
      </c>
      <c r="P11" s="65">
        <v>800</v>
      </c>
      <c r="Q11" s="65">
        <v>800</v>
      </c>
      <c r="R11" s="66">
        <v>800</v>
      </c>
      <c r="S11" s="66">
        <v>1000</v>
      </c>
      <c r="T11" s="66">
        <v>1000</v>
      </c>
      <c r="U11" s="66">
        <v>1000</v>
      </c>
      <c r="V11" s="66">
        <v>1000</v>
      </c>
      <c r="W11" s="66">
        <v>1000</v>
      </c>
      <c r="X11" s="66">
        <v>1000</v>
      </c>
      <c r="Y11" s="66">
        <v>1000</v>
      </c>
      <c r="Z11" s="66">
        <v>1000</v>
      </c>
      <c r="AA11" s="78">
        <v>1000</v>
      </c>
      <c r="AB11" s="78">
        <v>1000</v>
      </c>
      <c r="AC11" s="80">
        <v>1000</v>
      </c>
      <c r="AD11" s="80">
        <v>1000</v>
      </c>
      <c r="AE11" s="80">
        <v>1000</v>
      </c>
      <c r="AF11" s="80">
        <v>1000</v>
      </c>
      <c r="AG11" s="80">
        <f>100+1000</f>
        <v>1100</v>
      </c>
      <c r="AH11" s="80">
        <v>1000</v>
      </c>
      <c r="AI11" s="80">
        <v>1000</v>
      </c>
      <c r="AJ11" s="80">
        <v>1000</v>
      </c>
      <c r="AK11" s="80">
        <v>1100</v>
      </c>
      <c r="AL11" s="80">
        <v>1100</v>
      </c>
      <c r="AM11" s="80">
        <v>1100</v>
      </c>
      <c r="AN11" s="80">
        <v>1100</v>
      </c>
      <c r="AO11" s="80">
        <v>1100</v>
      </c>
      <c r="AP11" s="80">
        <v>1100</v>
      </c>
      <c r="AQ11" s="80">
        <v>1100</v>
      </c>
      <c r="AR11" s="80">
        <v>1100</v>
      </c>
      <c r="AS11" s="80">
        <v>1100</v>
      </c>
      <c r="AT11" s="80">
        <v>1100</v>
      </c>
      <c r="AU11" s="80">
        <v>1100</v>
      </c>
      <c r="AV11" s="80">
        <v>1100</v>
      </c>
      <c r="AW11" s="80">
        <v>1200</v>
      </c>
      <c r="AX11" s="80">
        <v>1200</v>
      </c>
      <c r="AY11" s="80">
        <v>1100</v>
      </c>
      <c r="AZ11" s="80">
        <v>1300</v>
      </c>
      <c r="BA11" s="80">
        <v>1200</v>
      </c>
      <c r="BB11" s="80">
        <v>1200</v>
      </c>
      <c r="BC11" s="80">
        <v>1200</v>
      </c>
      <c r="BD11" s="80">
        <v>1300</v>
      </c>
      <c r="BE11" s="80">
        <v>1500</v>
      </c>
      <c r="BF11" s="80">
        <v>1500</v>
      </c>
      <c r="BG11" s="80">
        <v>1500</v>
      </c>
      <c r="BH11" s="80">
        <v>1500</v>
      </c>
      <c r="BI11" s="80">
        <v>1500</v>
      </c>
      <c r="BJ11" s="80">
        <v>1500</v>
      </c>
      <c r="BK11" s="80">
        <v>1500</v>
      </c>
      <c r="BL11" s="80">
        <v>1500</v>
      </c>
      <c r="BM11" s="80">
        <v>1500</v>
      </c>
      <c r="BN11" s="80">
        <v>1500</v>
      </c>
      <c r="BO11" s="80">
        <v>1500</v>
      </c>
      <c r="BP11" s="80">
        <v>1500</v>
      </c>
      <c r="BQ11" s="80">
        <v>1500</v>
      </c>
      <c r="BR11" s="80">
        <v>1500</v>
      </c>
      <c r="BS11" s="80">
        <v>2000</v>
      </c>
      <c r="BT11" s="80">
        <v>1800</v>
      </c>
      <c r="BU11" s="80">
        <v>1800</v>
      </c>
      <c r="BV11" s="80">
        <v>1800</v>
      </c>
      <c r="BW11" s="80">
        <f>1800</f>
        <v>1800</v>
      </c>
      <c r="BX11" s="80">
        <v>1800</v>
      </c>
      <c r="BY11" s="80">
        <v>1800</v>
      </c>
      <c r="BZ11" s="80">
        <v>1800</v>
      </c>
      <c r="CA11" s="80">
        <v>1800</v>
      </c>
      <c r="CB11" s="80"/>
    </row>
    <row r="12" spans="1:80" x14ac:dyDescent="0.2">
      <c r="A12" s="13" t="s">
        <v>19</v>
      </c>
      <c r="B12" s="8" t="s">
        <v>20</v>
      </c>
      <c r="C12" s="14">
        <f>SUM('Individual wise Details  '!K51:CM51)</f>
        <v>245077</v>
      </c>
      <c r="D12" s="9"/>
      <c r="E12" s="10" t="s">
        <v>21</v>
      </c>
      <c r="F12" s="11">
        <f t="shared" si="0"/>
        <v>325583.5</v>
      </c>
      <c r="G12" s="12"/>
      <c r="H12" s="12"/>
      <c r="I12" s="65"/>
      <c r="J12" s="65"/>
      <c r="K12" s="65">
        <v>1000</v>
      </c>
      <c r="L12" s="65"/>
      <c r="M12" s="65">
        <v>1350</v>
      </c>
      <c r="N12" s="65">
        <v>1850</v>
      </c>
      <c r="O12" s="65">
        <v>3395</v>
      </c>
      <c r="P12" s="65">
        <f>1800+2070</f>
        <v>3870</v>
      </c>
      <c r="Q12" s="65">
        <f>1060+1200+1200</f>
        <v>3460</v>
      </c>
      <c r="R12" s="66">
        <v>1200</v>
      </c>
      <c r="S12" s="66">
        <f>(1200+1200+1200+1200)</f>
        <v>4800</v>
      </c>
      <c r="T12" s="66">
        <f>(1200+1200+1200)</f>
        <v>3600</v>
      </c>
      <c r="U12" s="66">
        <f>1200+1200+1200</f>
        <v>3600</v>
      </c>
      <c r="V12" s="66">
        <f>1200+1200+1200</f>
        <v>3600</v>
      </c>
      <c r="W12" s="66">
        <f>1200+1200</f>
        <v>2400</v>
      </c>
      <c r="X12" s="66">
        <f>1200+1200</f>
        <v>2400</v>
      </c>
      <c r="Y12" s="66">
        <f>1200+1200+1200</f>
        <v>3600</v>
      </c>
      <c r="Z12" s="66">
        <f>1200+1200</f>
        <v>2400</v>
      </c>
      <c r="AA12" s="78">
        <f>1222+1200+1200</f>
        <v>3622</v>
      </c>
      <c r="AB12" s="78">
        <f>1200+1200</f>
        <v>2400</v>
      </c>
      <c r="AC12" s="80">
        <v>3600</v>
      </c>
      <c r="AD12" s="80">
        <f>1200+1200</f>
        <v>2400</v>
      </c>
      <c r="AE12" s="80">
        <f>1200+1200</f>
        <v>2400</v>
      </c>
      <c r="AF12" s="80">
        <f>2400+1200</f>
        <v>3600</v>
      </c>
      <c r="AG12" s="80">
        <f>1300+1200+1200</f>
        <v>3700</v>
      </c>
      <c r="AH12" s="80">
        <f>1340+1344+1344</f>
        <v>4028</v>
      </c>
      <c r="AI12" s="80">
        <f>1250+1337+1360</f>
        <v>3947</v>
      </c>
      <c r="AJ12" s="80">
        <v>1375</v>
      </c>
      <c r="AK12" s="80">
        <f>1375+1375+1375</f>
        <v>4125</v>
      </c>
      <c r="AL12" s="80">
        <f>1375+1375</f>
        <v>2750</v>
      </c>
      <c r="AM12" s="80">
        <f>1405+1385</f>
        <v>2790</v>
      </c>
      <c r="AN12" s="80">
        <f>1500+1500+2860</f>
        <v>5860</v>
      </c>
      <c r="AO12" s="80">
        <f>2900+1500</f>
        <v>4400</v>
      </c>
      <c r="AP12" s="80">
        <f>1500+1530</f>
        <v>3030</v>
      </c>
      <c r="AQ12" s="80">
        <f>1500+1600+1550</f>
        <v>4650</v>
      </c>
      <c r="AR12" s="80">
        <f>1600+1485+1500</f>
        <v>4585</v>
      </c>
      <c r="AS12" s="80">
        <f>3000+3000</f>
        <v>6000</v>
      </c>
      <c r="AT12" s="80">
        <v>6000</v>
      </c>
      <c r="AU12" s="80">
        <f>1564+1500+3100</f>
        <v>6164</v>
      </c>
      <c r="AV12" s="80">
        <f>1550+1600</f>
        <v>3150</v>
      </c>
      <c r="AW12" s="80">
        <f>1580+1600+1600</f>
        <v>4780</v>
      </c>
      <c r="AX12" s="80">
        <f>1580+1580+1600</f>
        <v>4760</v>
      </c>
      <c r="AY12" s="80">
        <f>1600+1580+1900</f>
        <v>5080</v>
      </c>
      <c r="AZ12" s="80">
        <f>1680+1800+1800</f>
        <v>5280</v>
      </c>
      <c r="BA12" s="80">
        <f>1790+1790+1800</f>
        <v>5380</v>
      </c>
      <c r="BB12" s="80">
        <f>1800+1800+1900</f>
        <v>5500</v>
      </c>
      <c r="BC12" s="80">
        <v>3800</v>
      </c>
      <c r="BD12" s="80">
        <f>1900+1800</f>
        <v>3700</v>
      </c>
      <c r="BE12" s="80">
        <f>1520+1650+1600+1900</f>
        <v>6670</v>
      </c>
      <c r="BF12" s="80">
        <f>1520+1650</f>
        <v>3170</v>
      </c>
      <c r="BG12" s="80">
        <v>1650</v>
      </c>
      <c r="BH12" s="80">
        <v>1870</v>
      </c>
      <c r="BI12" s="80">
        <v>2009</v>
      </c>
      <c r="BJ12" s="80">
        <v>6600</v>
      </c>
      <c r="BK12" s="80">
        <v>6250</v>
      </c>
      <c r="BL12" s="80">
        <v>6800</v>
      </c>
      <c r="BM12" s="80">
        <v>7361</v>
      </c>
      <c r="BN12" s="80">
        <v>900</v>
      </c>
      <c r="BO12" s="80">
        <v>10922.5</v>
      </c>
      <c r="BP12" s="80">
        <v>10500</v>
      </c>
      <c r="BQ12" s="80">
        <f>3000+3000+3000</f>
        <v>9000</v>
      </c>
      <c r="BR12" s="80">
        <f>3000</f>
        <v>3000</v>
      </c>
      <c r="BS12" s="80">
        <f>3000+3000+2500</f>
        <v>8500</v>
      </c>
      <c r="BT12" s="80">
        <f>3000+3000+3000+3000</f>
        <v>12000</v>
      </c>
      <c r="BU12" s="80">
        <f>3000+3000+3000</f>
        <v>9000</v>
      </c>
      <c r="BV12" s="80">
        <f>3000+3000+3000</f>
        <v>9000</v>
      </c>
      <c r="BW12" s="80">
        <f>3000+3000+3000+3000</f>
        <v>12000</v>
      </c>
      <c r="BX12" s="80">
        <f>3000+3000</f>
        <v>6000</v>
      </c>
      <c r="BY12" s="80">
        <f>3000+3000</f>
        <v>6000</v>
      </c>
      <c r="BZ12" s="80">
        <f>3000+3000+3000+3000</f>
        <v>12000</v>
      </c>
      <c r="CA12" s="80">
        <v>3000</v>
      </c>
      <c r="CB12" s="80">
        <f>3000+3000</f>
        <v>6000</v>
      </c>
    </row>
    <row r="13" spans="1:80" x14ac:dyDescent="0.2">
      <c r="A13" s="13" t="s">
        <v>22</v>
      </c>
      <c r="B13" s="8" t="s">
        <v>23</v>
      </c>
      <c r="C13" s="14">
        <f>SUM('Individual wise Details  '!K52:CM52)</f>
        <v>20319</v>
      </c>
      <c r="D13" s="9"/>
      <c r="E13" s="10" t="s">
        <v>24</v>
      </c>
      <c r="F13" s="11">
        <f t="shared" si="0"/>
        <v>48858</v>
      </c>
      <c r="G13" s="12"/>
      <c r="H13" s="12"/>
      <c r="I13" s="65">
        <v>1997</v>
      </c>
      <c r="J13" s="65">
        <v>3335</v>
      </c>
      <c r="K13" s="65"/>
      <c r="L13" s="65"/>
      <c r="M13" s="65"/>
      <c r="N13" s="65"/>
      <c r="O13" s="65">
        <v>985</v>
      </c>
      <c r="P13" s="65"/>
      <c r="Q13" s="65">
        <v>1110</v>
      </c>
      <c r="R13" s="66">
        <f>(330+2150)</f>
        <v>2480</v>
      </c>
      <c r="S13" s="66">
        <v>967</v>
      </c>
      <c r="T13" s="66">
        <f>(55+452+300)</f>
        <v>807</v>
      </c>
      <c r="U13" s="66">
        <f>552</f>
        <v>552</v>
      </c>
      <c r="V13" s="66">
        <f>643+84</f>
        <v>727</v>
      </c>
      <c r="W13" s="66">
        <f>168+104</f>
        <v>272</v>
      </c>
      <c r="X13" s="66">
        <v>1486</v>
      </c>
      <c r="Y13" s="66"/>
      <c r="Z13" s="66">
        <f>403+100</f>
        <v>503</v>
      </c>
      <c r="AA13" s="78">
        <f>680+760</f>
        <v>1440</v>
      </c>
      <c r="AB13" s="78">
        <f>750+100</f>
        <v>850</v>
      </c>
      <c r="AC13" s="80">
        <v>343</v>
      </c>
      <c r="AD13" s="80">
        <v>257</v>
      </c>
      <c r="AE13" s="80">
        <f>500+686</f>
        <v>1186</v>
      </c>
      <c r="AF13" s="80">
        <v>1600</v>
      </c>
      <c r="AG13" s="80">
        <v>312</v>
      </c>
      <c r="AH13" s="80">
        <f>70+194+21</f>
        <v>285</v>
      </c>
      <c r="AI13" s="80">
        <v>236</v>
      </c>
      <c r="AJ13" s="80">
        <f>182+139+200</f>
        <v>521</v>
      </c>
      <c r="AK13" s="80">
        <f>100+100+370+400</f>
        <v>970</v>
      </c>
      <c r="AL13" s="80">
        <f>(100+100+120+694)</f>
        <v>1014</v>
      </c>
      <c r="AM13" s="80">
        <f>20+426</f>
        <v>446</v>
      </c>
      <c r="AN13" s="80">
        <f>100+100+200+180</f>
        <v>580</v>
      </c>
      <c r="AO13" s="80">
        <f>500+500</f>
        <v>1000</v>
      </c>
      <c r="AP13" s="80">
        <f>1000+340</f>
        <v>1340</v>
      </c>
      <c r="AQ13" s="80">
        <f>400+100</f>
        <v>500</v>
      </c>
      <c r="AR13" s="80">
        <f>200+250</f>
        <v>450</v>
      </c>
      <c r="AS13" s="80">
        <f>200+175+100</f>
        <v>475</v>
      </c>
      <c r="AT13" s="80">
        <f>460+280+100</f>
        <v>840</v>
      </c>
      <c r="AU13" s="80">
        <f>885+260</f>
        <v>1145</v>
      </c>
      <c r="AV13" s="80">
        <v>470</v>
      </c>
      <c r="AW13" s="80">
        <f>327+200</f>
        <v>527</v>
      </c>
      <c r="AX13" s="80">
        <v>630</v>
      </c>
      <c r="AY13" s="80">
        <v>570</v>
      </c>
      <c r="AZ13" s="80">
        <v>817</v>
      </c>
      <c r="BA13" s="80">
        <v>188</v>
      </c>
      <c r="BB13" s="80">
        <v>245</v>
      </c>
      <c r="BC13" s="80">
        <v>1068</v>
      </c>
      <c r="BD13" s="80"/>
      <c r="BE13" s="80"/>
      <c r="BF13" s="80">
        <f>558+530</f>
        <v>1088</v>
      </c>
      <c r="BG13" s="80">
        <f>1002+60+2495</f>
        <v>3557</v>
      </c>
      <c r="BH13" s="80"/>
      <c r="BI13" s="80"/>
      <c r="BJ13" s="80">
        <v>575</v>
      </c>
      <c r="BK13" s="80">
        <v>540</v>
      </c>
      <c r="BL13" s="80"/>
      <c r="BM13" s="80">
        <v>50</v>
      </c>
      <c r="BN13" s="80"/>
      <c r="BO13" s="80"/>
      <c r="BP13" s="80"/>
      <c r="BQ13" s="80"/>
      <c r="BR13" s="80">
        <v>1169</v>
      </c>
      <c r="BS13" s="80">
        <v>100</v>
      </c>
      <c r="BT13" s="80">
        <v>440</v>
      </c>
      <c r="BU13" s="80">
        <f>300+917+2000</f>
        <v>3217</v>
      </c>
      <c r="BV13" s="80">
        <v>751</v>
      </c>
      <c r="BW13" s="80"/>
      <c r="BX13" s="80"/>
      <c r="BY13" s="80">
        <f>435+760+250</f>
        <v>1445</v>
      </c>
      <c r="BZ13" s="80"/>
      <c r="CA13" s="80"/>
      <c r="CB13" s="80">
        <v>400</v>
      </c>
    </row>
    <row r="14" spans="1:80" x14ac:dyDescent="0.2">
      <c r="A14" s="13" t="s">
        <v>25</v>
      </c>
      <c r="B14" s="8" t="s">
        <v>26</v>
      </c>
      <c r="C14" s="14">
        <f>SUM('Individual wise Details  '!K53:CM53)</f>
        <v>239760</v>
      </c>
      <c r="D14" s="9"/>
      <c r="E14" s="10" t="s">
        <v>27</v>
      </c>
      <c r="F14" s="11">
        <f t="shared" si="0"/>
        <v>13047</v>
      </c>
      <c r="G14" s="12"/>
      <c r="H14" s="12"/>
      <c r="I14" s="65"/>
      <c r="J14" s="65">
        <v>1550</v>
      </c>
      <c r="K14" s="65"/>
      <c r="L14" s="65">
        <v>3000</v>
      </c>
      <c r="M14" s="65">
        <v>1500</v>
      </c>
      <c r="N14" s="65">
        <v>3000</v>
      </c>
      <c r="O14" s="65">
        <v>1500</v>
      </c>
      <c r="P14" s="65">
        <v>1500</v>
      </c>
      <c r="Q14" s="65"/>
      <c r="R14" s="66"/>
      <c r="S14" s="66"/>
      <c r="T14" s="66">
        <v>217</v>
      </c>
      <c r="U14" s="66"/>
      <c r="V14" s="66"/>
      <c r="W14" s="66"/>
      <c r="X14" s="66"/>
      <c r="Y14" s="66"/>
      <c r="Z14" s="66"/>
      <c r="AA14" s="78"/>
      <c r="AB14" s="78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>
        <v>780</v>
      </c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</row>
    <row r="15" spans="1:80" x14ac:dyDescent="0.2">
      <c r="A15" s="13" t="s">
        <v>28</v>
      </c>
      <c r="B15" s="8" t="s">
        <v>130</v>
      </c>
      <c r="C15" s="14">
        <f>SUM('Individual wise Details  '!K54:CM54)</f>
        <v>172000</v>
      </c>
      <c r="D15" s="9"/>
      <c r="E15" s="10" t="s">
        <v>30</v>
      </c>
      <c r="F15" s="11">
        <f t="shared" si="0"/>
        <v>33304</v>
      </c>
      <c r="G15" s="12"/>
      <c r="H15" s="12"/>
      <c r="I15" s="65"/>
      <c r="J15" s="65"/>
      <c r="K15" s="65"/>
      <c r="L15" s="65"/>
      <c r="M15" s="65">
        <v>4412</v>
      </c>
      <c r="N15" s="65"/>
      <c r="O15" s="65"/>
      <c r="P15" s="65"/>
      <c r="Q15" s="65"/>
      <c r="R15" s="66">
        <v>4412</v>
      </c>
      <c r="S15" s="66"/>
      <c r="T15" s="66"/>
      <c r="U15" s="66"/>
      <c r="V15" s="66"/>
      <c r="W15" s="66"/>
      <c r="X15" s="66"/>
      <c r="Y15" s="66"/>
      <c r="Z15" s="66"/>
      <c r="AA15" s="78"/>
      <c r="AB15" s="78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>
        <v>10980</v>
      </c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>
        <v>6500</v>
      </c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>
        <v>7000</v>
      </c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</row>
    <row r="16" spans="1:80" x14ac:dyDescent="0.2">
      <c r="A16" s="13" t="s">
        <v>31</v>
      </c>
      <c r="B16" s="8" t="s">
        <v>32</v>
      </c>
      <c r="C16" s="14">
        <f>SUM('Individual wise Details  '!K55:CM55)</f>
        <v>250438</v>
      </c>
      <c r="D16" s="9"/>
      <c r="E16" s="10" t="s">
        <v>33</v>
      </c>
      <c r="F16" s="11">
        <f t="shared" si="0"/>
        <v>30415</v>
      </c>
      <c r="G16" s="12"/>
      <c r="H16" s="12"/>
      <c r="I16" s="65"/>
      <c r="J16" s="65"/>
      <c r="K16" s="65"/>
      <c r="L16" s="65"/>
      <c r="M16" s="65">
        <v>4021</v>
      </c>
      <c r="N16" s="65"/>
      <c r="O16" s="65"/>
      <c r="P16" s="65"/>
      <c r="Q16" s="65"/>
      <c r="R16" s="66">
        <f>(520+4555)</f>
        <v>5075</v>
      </c>
      <c r="S16" s="66"/>
      <c r="T16" s="66"/>
      <c r="U16" s="66"/>
      <c r="V16" s="66">
        <v>1500</v>
      </c>
      <c r="W16" s="66"/>
      <c r="X16" s="66"/>
      <c r="Y16" s="66"/>
      <c r="Z16" s="66"/>
      <c r="AA16" s="78"/>
      <c r="AB16" s="78"/>
      <c r="AC16" s="80"/>
      <c r="AD16" s="80">
        <v>5999</v>
      </c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>
        <v>500</v>
      </c>
      <c r="AR16" s="80"/>
      <c r="AS16" s="80"/>
      <c r="AT16" s="80"/>
      <c r="AU16" s="80"/>
      <c r="AV16" s="80"/>
      <c r="AW16" s="80"/>
      <c r="AX16" s="80"/>
      <c r="AY16" s="80"/>
      <c r="AZ16" s="80">
        <v>7320</v>
      </c>
      <c r="BA16" s="80"/>
      <c r="BB16" s="80"/>
      <c r="BC16" s="80"/>
      <c r="BD16" s="80">
        <v>200</v>
      </c>
      <c r="BE16" s="80"/>
      <c r="BF16" s="80"/>
      <c r="BG16" s="80"/>
      <c r="BH16" s="80"/>
      <c r="BI16" s="80"/>
      <c r="BJ16" s="80"/>
      <c r="BK16" s="80"/>
      <c r="BL16" s="80"/>
      <c r="BM16" s="80"/>
      <c r="BN16" s="80">
        <v>5800</v>
      </c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</row>
    <row r="17" spans="1:80" x14ac:dyDescent="0.2">
      <c r="A17" s="13" t="s">
        <v>34</v>
      </c>
      <c r="B17" s="8" t="s">
        <v>35</v>
      </c>
      <c r="C17" s="14">
        <f>SUM('Individual wise Details  '!K56:CM56)</f>
        <v>245556</v>
      </c>
      <c r="D17" s="9"/>
      <c r="E17" s="10" t="s">
        <v>36</v>
      </c>
      <c r="F17" s="11">
        <f t="shared" si="0"/>
        <v>120239</v>
      </c>
      <c r="G17" s="12"/>
      <c r="H17" s="12"/>
      <c r="I17" s="65">
        <v>18200</v>
      </c>
      <c r="J17" s="65">
        <v>14470</v>
      </c>
      <c r="K17" s="65"/>
      <c r="L17" s="65">
        <v>1900</v>
      </c>
      <c r="M17" s="65">
        <f>7500+11500</f>
        <v>19000</v>
      </c>
      <c r="N17" s="65"/>
      <c r="O17" s="65">
        <v>5220</v>
      </c>
      <c r="P17" s="65"/>
      <c r="Q17" s="65"/>
      <c r="R17" s="66"/>
      <c r="S17" s="66"/>
      <c r="T17" s="66"/>
      <c r="U17" s="66"/>
      <c r="V17" s="66"/>
      <c r="W17" s="66"/>
      <c r="X17" s="66"/>
      <c r="Y17" s="66"/>
      <c r="Z17" s="66"/>
      <c r="AA17" s="78">
        <v>16500</v>
      </c>
      <c r="AB17" s="78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>
        <v>4960</v>
      </c>
      <c r="AP17" s="80"/>
      <c r="AQ17" s="80"/>
      <c r="AR17" s="80"/>
      <c r="AS17" s="80"/>
      <c r="AT17" s="80"/>
      <c r="AU17" s="80">
        <v>13889</v>
      </c>
      <c r="AV17" s="80"/>
      <c r="AW17" s="80"/>
      <c r="AX17" s="80"/>
      <c r="AY17" s="80">
        <v>6000</v>
      </c>
      <c r="AZ17" s="80">
        <f>3500+6500+600+3500</f>
        <v>14100</v>
      </c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>
        <v>6000</v>
      </c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</row>
    <row r="18" spans="1:80" x14ac:dyDescent="0.2">
      <c r="A18" s="13" t="s">
        <v>37</v>
      </c>
      <c r="B18" s="8" t="s">
        <v>38</v>
      </c>
      <c r="C18" s="14">
        <f>SUM('Individual wise Details  '!K57:CM57)</f>
        <v>56458</v>
      </c>
      <c r="D18" s="9"/>
      <c r="E18" s="10" t="s">
        <v>39</v>
      </c>
      <c r="F18" s="11">
        <f t="shared" si="0"/>
        <v>506359</v>
      </c>
      <c r="G18" s="12"/>
      <c r="H18" s="12"/>
      <c r="I18" s="65"/>
      <c r="J18" s="65"/>
      <c r="K18" s="65">
        <v>13750</v>
      </c>
      <c r="L18" s="65"/>
      <c r="M18" s="65"/>
      <c r="N18" s="65">
        <v>38507</v>
      </c>
      <c r="O18" s="65"/>
      <c r="P18" s="65"/>
      <c r="Q18" s="65"/>
      <c r="R18" s="66"/>
      <c r="S18" s="66"/>
      <c r="T18" s="66">
        <v>38507</v>
      </c>
      <c r="U18" s="66"/>
      <c r="V18" s="66"/>
      <c r="W18" s="66"/>
      <c r="X18" s="66">
        <f>1870+1870</f>
        <v>3740</v>
      </c>
      <c r="Y18" s="66"/>
      <c r="Z18" s="66"/>
      <c r="AA18" s="78">
        <v>42500</v>
      </c>
      <c r="AB18" s="78"/>
      <c r="AC18" s="80"/>
      <c r="AD18" s="80"/>
      <c r="AE18" s="80"/>
      <c r="AF18" s="80"/>
      <c r="AG18" s="80"/>
      <c r="AH18" s="80">
        <f>20550+20550</f>
        <v>41100</v>
      </c>
      <c r="AI18" s="80"/>
      <c r="AJ18" s="80"/>
      <c r="AK18" s="80"/>
      <c r="AL18" s="80">
        <v>44547</v>
      </c>
      <c r="AM18" s="80"/>
      <c r="AN18" s="80"/>
      <c r="AO18" s="80"/>
      <c r="AP18" s="80"/>
      <c r="AQ18" s="80"/>
      <c r="AR18" s="80"/>
      <c r="AS18" s="80">
        <v>44546</v>
      </c>
      <c r="AT18" s="80"/>
      <c r="AU18" s="80"/>
      <c r="AV18" s="80"/>
      <c r="AW18" s="80"/>
      <c r="AX18" s="80"/>
      <c r="AY18" s="80">
        <v>44546</v>
      </c>
      <c r="AZ18" s="80"/>
      <c r="BA18" s="80"/>
      <c r="BB18" s="80"/>
      <c r="BC18" s="80"/>
      <c r="BD18" s="80"/>
      <c r="BE18" s="80"/>
      <c r="BF18" s="80"/>
      <c r="BG18" s="80"/>
      <c r="BH18" s="80">
        <v>44547</v>
      </c>
      <c r="BI18" s="80"/>
      <c r="BJ18" s="80"/>
      <c r="BK18" s="80"/>
      <c r="BL18" s="80"/>
      <c r="BM18" s="80">
        <v>49970</v>
      </c>
      <c r="BN18" s="80"/>
      <c r="BO18" s="80"/>
      <c r="BP18" s="80"/>
      <c r="BQ18" s="80"/>
      <c r="BR18" s="80">
        <v>49970</v>
      </c>
      <c r="BS18" s="80"/>
      <c r="BT18" s="80"/>
      <c r="BU18" s="80">
        <v>50129</v>
      </c>
      <c r="BV18" s="80"/>
      <c r="BW18" s="80"/>
      <c r="BX18" s="80"/>
      <c r="BY18" s="80"/>
      <c r="BZ18" s="80"/>
      <c r="CA18" s="80"/>
      <c r="CB18" s="80"/>
    </row>
    <row r="19" spans="1:80" x14ac:dyDescent="0.2">
      <c r="A19" s="13" t="s">
        <v>40</v>
      </c>
      <c r="B19" s="8" t="s">
        <v>41</v>
      </c>
      <c r="C19" s="14">
        <f>SUM('Individual wise Details  '!K58:CM58)</f>
        <v>231153</v>
      </c>
      <c r="D19" s="9"/>
      <c r="E19" s="10" t="s">
        <v>42</v>
      </c>
      <c r="F19" s="11">
        <f t="shared" si="0"/>
        <v>19544</v>
      </c>
      <c r="G19" s="12"/>
      <c r="H19" s="12"/>
      <c r="I19" s="65"/>
      <c r="J19" s="65"/>
      <c r="K19" s="65"/>
      <c r="L19" s="65"/>
      <c r="M19" s="65">
        <v>7100</v>
      </c>
      <c r="N19" s="65"/>
      <c r="O19" s="65"/>
      <c r="P19" s="65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78"/>
      <c r="AB19" s="78"/>
      <c r="AC19" s="80">
        <v>540</v>
      </c>
      <c r="AD19" s="80">
        <v>1000</v>
      </c>
      <c r="AE19" s="80">
        <v>750</v>
      </c>
      <c r="AF19" s="80"/>
      <c r="AG19" s="80"/>
      <c r="AH19" s="80"/>
      <c r="AI19" s="80"/>
      <c r="AJ19" s="80"/>
      <c r="AK19" s="80"/>
      <c r="AL19" s="80"/>
      <c r="AM19" s="80">
        <v>2000</v>
      </c>
      <c r="AN19" s="80">
        <v>2000</v>
      </c>
      <c r="AO19" s="80"/>
      <c r="AP19" s="80">
        <v>670</v>
      </c>
      <c r="AQ19" s="80"/>
      <c r="AR19" s="80">
        <v>350</v>
      </c>
      <c r="AS19" s="80"/>
      <c r="AT19" s="80"/>
      <c r="AU19" s="80"/>
      <c r="AV19" s="80"/>
      <c r="AW19" s="80"/>
      <c r="AX19" s="80">
        <v>1734</v>
      </c>
      <c r="AY19" s="80"/>
      <c r="AZ19" s="80"/>
      <c r="BA19" s="80"/>
      <c r="BB19" s="80"/>
      <c r="BC19" s="80"/>
      <c r="BD19" s="80"/>
      <c r="BE19" s="80"/>
      <c r="BF19" s="80"/>
      <c r="BG19" s="80"/>
      <c r="BH19" s="80">
        <v>400</v>
      </c>
      <c r="BI19" s="80"/>
      <c r="BJ19" s="80">
        <v>1080</v>
      </c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>
        <v>1920</v>
      </c>
      <c r="CB19" s="80"/>
    </row>
    <row r="20" spans="1:80" x14ac:dyDescent="0.2">
      <c r="A20" s="13" t="s">
        <v>43</v>
      </c>
      <c r="B20" s="8" t="s">
        <v>44</v>
      </c>
      <c r="C20" s="14">
        <f>SUM('Individual wise Details  '!K59:CM59)</f>
        <v>251343</v>
      </c>
      <c r="D20" s="9"/>
      <c r="E20" s="10" t="s">
        <v>45</v>
      </c>
      <c r="F20" s="11">
        <f t="shared" si="0"/>
        <v>33113</v>
      </c>
      <c r="G20" s="12"/>
      <c r="H20" s="12"/>
      <c r="I20" s="65"/>
      <c r="J20" s="65"/>
      <c r="K20" s="65"/>
      <c r="L20" s="65"/>
      <c r="M20" s="65"/>
      <c r="N20" s="65"/>
      <c r="O20" s="65">
        <v>1500</v>
      </c>
      <c r="P20" s="65"/>
      <c r="Q20" s="65">
        <v>2300</v>
      </c>
      <c r="R20" s="66"/>
      <c r="S20" s="66"/>
      <c r="T20" s="66"/>
      <c r="U20" s="66"/>
      <c r="V20" s="66">
        <f>6000+5578</f>
        <v>11578</v>
      </c>
      <c r="W20" s="66"/>
      <c r="X20" s="66">
        <v>3500</v>
      </c>
      <c r="Y20" s="66"/>
      <c r="Z20" s="66"/>
      <c r="AA20" s="78"/>
      <c r="AB20" s="78"/>
      <c r="AC20" s="80"/>
      <c r="AD20" s="80"/>
      <c r="AE20" s="80"/>
      <c r="AF20" s="80"/>
      <c r="AG20" s="80"/>
      <c r="AH20" s="80"/>
      <c r="AI20" s="80"/>
      <c r="AJ20" s="80">
        <v>100</v>
      </c>
      <c r="AK20" s="80">
        <f>3500+90</f>
        <v>3590</v>
      </c>
      <c r="AL20" s="80"/>
      <c r="AM20" s="80"/>
      <c r="AN20" s="80"/>
      <c r="AO20" s="80"/>
      <c r="AP20" s="80"/>
      <c r="AQ20" s="80"/>
      <c r="AR20" s="80"/>
      <c r="AS20" s="80">
        <v>2200</v>
      </c>
      <c r="AT20" s="80"/>
      <c r="AU20" s="80"/>
      <c r="AV20" s="80"/>
      <c r="AW20" s="80">
        <f>1000+150</f>
        <v>1150</v>
      </c>
      <c r="AX20" s="80"/>
      <c r="AY20" s="80"/>
      <c r="AZ20" s="80"/>
      <c r="BA20" s="80"/>
      <c r="BB20" s="80"/>
      <c r="BC20" s="80"/>
      <c r="BD20" s="80">
        <v>100</v>
      </c>
      <c r="BE20" s="80">
        <f>1215+230</f>
        <v>1445</v>
      </c>
      <c r="BF20" s="80"/>
      <c r="BG20" s="80"/>
      <c r="BH20" s="80"/>
      <c r="BI20" s="80"/>
      <c r="BJ20" s="80"/>
      <c r="BK20" s="80">
        <v>550</v>
      </c>
      <c r="BL20" s="80">
        <v>2750</v>
      </c>
      <c r="BM20" s="80"/>
      <c r="BN20" s="80">
        <v>300</v>
      </c>
      <c r="BO20" s="80"/>
      <c r="BP20" s="80"/>
      <c r="BQ20" s="80"/>
      <c r="BR20" s="80"/>
      <c r="BS20" s="80">
        <v>300</v>
      </c>
      <c r="BT20" s="80"/>
      <c r="BU20" s="80"/>
      <c r="BV20" s="80"/>
      <c r="BW20" s="80"/>
      <c r="BX20" s="80"/>
      <c r="BY20" s="80">
        <v>1000</v>
      </c>
      <c r="BZ20" s="80"/>
      <c r="CA20" s="80">
        <v>750</v>
      </c>
      <c r="CB20" s="80"/>
    </row>
    <row r="21" spans="1:80" x14ac:dyDescent="0.2">
      <c r="A21" s="13" t="s">
        <v>46</v>
      </c>
      <c r="B21" s="8" t="s">
        <v>47</v>
      </c>
      <c r="C21" s="14">
        <f>SUM('Individual wise Details  '!K60:CM60)</f>
        <v>251715</v>
      </c>
      <c r="D21" s="9"/>
      <c r="E21" s="10" t="s">
        <v>48</v>
      </c>
      <c r="F21" s="11">
        <f t="shared" si="0"/>
        <v>72201</v>
      </c>
      <c r="G21" s="3"/>
      <c r="H21" s="3"/>
      <c r="I21" s="65"/>
      <c r="J21" s="65"/>
      <c r="K21" s="65"/>
      <c r="L21" s="65"/>
      <c r="M21" s="65"/>
      <c r="N21" s="65"/>
      <c r="O21" s="65">
        <f>7500+470</f>
        <v>7970</v>
      </c>
      <c r="P21" s="65"/>
      <c r="Q21" s="65">
        <v>8800</v>
      </c>
      <c r="R21" s="66">
        <v>1800</v>
      </c>
      <c r="S21" s="66">
        <f>(100+580)</f>
        <v>680</v>
      </c>
      <c r="T21" s="66">
        <v>695</v>
      </c>
      <c r="U21" s="66"/>
      <c r="V21" s="66">
        <v>200</v>
      </c>
      <c r="W21" s="66"/>
      <c r="X21" s="66"/>
      <c r="Y21" s="66"/>
      <c r="Z21" s="66"/>
      <c r="AA21" s="78"/>
      <c r="AB21" s="78"/>
      <c r="AC21" s="80">
        <v>270</v>
      </c>
      <c r="AD21" s="80">
        <v>2065</v>
      </c>
      <c r="AE21" s="80"/>
      <c r="AF21" s="80"/>
      <c r="AG21" s="80"/>
      <c r="AH21" s="80">
        <v>1230</v>
      </c>
      <c r="AI21" s="80">
        <v>4047</v>
      </c>
      <c r="AJ21" s="80">
        <f>3700+5000</f>
        <v>8700</v>
      </c>
      <c r="AK21" s="80">
        <f>640+100</f>
        <v>740</v>
      </c>
      <c r="AL21" s="80"/>
      <c r="AM21" s="80"/>
      <c r="AN21" s="80">
        <v>2000</v>
      </c>
      <c r="AO21" s="80"/>
      <c r="AP21" s="80">
        <v>950</v>
      </c>
      <c r="AQ21" s="80"/>
      <c r="AR21" s="80">
        <v>1500</v>
      </c>
      <c r="AS21" s="80"/>
      <c r="AT21" s="80"/>
      <c r="AU21" s="80">
        <f>2120+5620</f>
        <v>7740</v>
      </c>
      <c r="AV21" s="80">
        <v>200</v>
      </c>
      <c r="AW21" s="80">
        <v>100</v>
      </c>
      <c r="AX21" s="80"/>
      <c r="AY21" s="80"/>
      <c r="AZ21" s="80"/>
      <c r="BA21" s="80">
        <v>1000</v>
      </c>
      <c r="BB21" s="80"/>
      <c r="BC21" s="80"/>
      <c r="BD21" s="80"/>
      <c r="BE21" s="80">
        <v>9000</v>
      </c>
      <c r="BF21" s="80">
        <v>3494</v>
      </c>
      <c r="BG21" s="80"/>
      <c r="BH21" s="80">
        <v>180</v>
      </c>
      <c r="BI21" s="80"/>
      <c r="BJ21" s="80">
        <v>200</v>
      </c>
      <c r="BK21" s="80">
        <v>7000</v>
      </c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>
        <v>1140</v>
      </c>
      <c r="BZ21" s="80"/>
      <c r="CA21" s="80"/>
      <c r="CB21" s="80">
        <v>500</v>
      </c>
    </row>
    <row r="22" spans="1:80" x14ac:dyDescent="0.2">
      <c r="A22" s="13" t="s">
        <v>49</v>
      </c>
      <c r="B22" s="8" t="s">
        <v>50</v>
      </c>
      <c r="C22" s="14">
        <f>SUM('Individual wise Details  '!K61:CM61)</f>
        <v>248443</v>
      </c>
      <c r="D22" s="9"/>
      <c r="E22" s="10" t="s">
        <v>109</v>
      </c>
      <c r="F22" s="11">
        <f t="shared" si="0"/>
        <v>339580</v>
      </c>
      <c r="G22" s="3"/>
      <c r="H22" s="3"/>
      <c r="I22" s="65"/>
      <c r="J22" s="65"/>
      <c r="K22" s="65"/>
      <c r="L22" s="65">
        <v>1050</v>
      </c>
      <c r="M22" s="65"/>
      <c r="N22" s="65"/>
      <c r="O22" s="65"/>
      <c r="P22" s="65"/>
      <c r="Q22" s="65"/>
      <c r="R22" s="66">
        <v>1130</v>
      </c>
      <c r="S22" s="66"/>
      <c r="T22" s="66">
        <v>6600</v>
      </c>
      <c r="U22" s="66">
        <f>5000+8800</f>
        <v>13800</v>
      </c>
      <c r="V22" s="66"/>
      <c r="W22" s="66"/>
      <c r="X22" s="66">
        <f>1250+300+7000</f>
        <v>8550</v>
      </c>
      <c r="Y22" s="66"/>
      <c r="Z22" s="66">
        <f>1000</f>
        <v>1000</v>
      </c>
      <c r="AA22" s="78">
        <f>14000+2000</f>
        <v>16000</v>
      </c>
      <c r="AB22" s="78"/>
      <c r="AC22" s="80"/>
      <c r="AD22" s="80"/>
      <c r="AE22" s="80"/>
      <c r="AF22" s="80"/>
      <c r="AG22" s="80">
        <v>600</v>
      </c>
      <c r="AH22" s="80">
        <f>50000+1000+13250</f>
        <v>64250</v>
      </c>
      <c r="AI22" s="80">
        <f>16700+16000+56000</f>
        <v>88700</v>
      </c>
      <c r="AJ22" s="80">
        <v>7400</v>
      </c>
      <c r="AK22" s="80"/>
      <c r="AL22" s="80">
        <f>1400+1000+600</f>
        <v>3000</v>
      </c>
      <c r="AM22" s="80">
        <v>300</v>
      </c>
      <c r="AN22" s="80">
        <f>5000+1000+22600+12000+45000</f>
        <v>85600</v>
      </c>
      <c r="AO22" s="80">
        <f>9500+3700</f>
        <v>13200</v>
      </c>
      <c r="AP22" s="80">
        <f>2500+500</f>
        <v>3000</v>
      </c>
      <c r="AQ22" s="80"/>
      <c r="AR22" s="80"/>
      <c r="AS22" s="80">
        <v>700</v>
      </c>
      <c r="AT22" s="80">
        <v>6000</v>
      </c>
      <c r="AU22" s="80"/>
      <c r="AV22" s="80"/>
      <c r="AW22" s="80"/>
      <c r="AX22" s="80"/>
      <c r="AY22" s="80">
        <v>4500</v>
      </c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>
        <v>7700</v>
      </c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>
        <v>6500</v>
      </c>
      <c r="BW22" s="80"/>
      <c r="BX22" s="80"/>
      <c r="BY22" s="80"/>
      <c r="BZ22" s="80"/>
      <c r="CA22" s="80"/>
      <c r="CB22" s="80"/>
    </row>
    <row r="23" spans="1:80" x14ac:dyDescent="0.2">
      <c r="A23" s="13" t="s">
        <v>51</v>
      </c>
      <c r="B23" s="8" t="s">
        <v>29</v>
      </c>
      <c r="C23" s="14">
        <f>SUM('Individual wise Details  '!K62:CM62)</f>
        <v>272200</v>
      </c>
      <c r="D23" s="9"/>
      <c r="E23" s="10" t="s">
        <v>52</v>
      </c>
      <c r="F23" s="11">
        <f t="shared" si="0"/>
        <v>21000</v>
      </c>
      <c r="G23" s="3"/>
      <c r="H23" s="3"/>
      <c r="I23" s="65"/>
      <c r="J23" s="65"/>
      <c r="K23" s="65"/>
      <c r="L23" s="65"/>
      <c r="M23" s="65"/>
      <c r="N23" s="65"/>
      <c r="O23" s="65">
        <v>5000</v>
      </c>
      <c r="P23" s="65"/>
      <c r="Q23" s="65"/>
      <c r="R23" s="66">
        <v>8000</v>
      </c>
      <c r="S23" s="66"/>
      <c r="T23" s="66"/>
      <c r="U23" s="66"/>
      <c r="V23" s="66"/>
      <c r="W23" s="66"/>
      <c r="X23" s="66"/>
      <c r="Y23" s="66"/>
      <c r="Z23" s="66"/>
      <c r="AA23" s="78"/>
      <c r="AB23" s="78"/>
      <c r="AC23" s="80"/>
      <c r="AD23" s="80"/>
      <c r="AE23" s="80"/>
      <c r="AF23" s="80"/>
      <c r="AG23" s="80"/>
      <c r="AH23" s="80"/>
      <c r="AI23" s="80"/>
      <c r="AJ23" s="80"/>
      <c r="AK23" s="80"/>
      <c r="AL23" s="80">
        <v>500</v>
      </c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>
        <v>500</v>
      </c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>
        <v>7000</v>
      </c>
      <c r="CA23" s="80"/>
      <c r="CB23" s="80"/>
    </row>
    <row r="24" spans="1:80" x14ac:dyDescent="0.2">
      <c r="A24" s="13" t="s">
        <v>53</v>
      </c>
      <c r="B24" s="8" t="s">
        <v>54</v>
      </c>
      <c r="C24" s="14">
        <f>SUM('Individual wise Details  '!K63:CM63)</f>
        <v>293180</v>
      </c>
      <c r="D24" s="9"/>
      <c r="E24" s="10" t="s">
        <v>55</v>
      </c>
      <c r="F24" s="11">
        <f t="shared" si="0"/>
        <v>110208</v>
      </c>
      <c r="I24" s="8">
        <v>2137</v>
      </c>
      <c r="J24" s="8">
        <v>400</v>
      </c>
      <c r="K24" s="8"/>
      <c r="L24" s="8">
        <v>1200</v>
      </c>
      <c r="M24" s="8"/>
      <c r="N24" s="65">
        <v>270</v>
      </c>
      <c r="O24" s="8">
        <v>50</v>
      </c>
      <c r="P24" s="8"/>
      <c r="Q24" s="8">
        <v>900</v>
      </c>
      <c r="R24" s="67">
        <f>(454+100)</f>
        <v>554</v>
      </c>
      <c r="S24" s="67">
        <f>(80+450+600+1000)</f>
        <v>2130</v>
      </c>
      <c r="T24" s="67">
        <f>200+300+500+270</f>
        <v>1270</v>
      </c>
      <c r="U24" s="67">
        <f>200+2200</f>
        <v>2400</v>
      </c>
      <c r="V24" s="67">
        <f>132+100</f>
        <v>232</v>
      </c>
      <c r="W24" s="67">
        <v>795</v>
      </c>
      <c r="X24" s="67">
        <v>58</v>
      </c>
      <c r="Y24" s="67">
        <v>250</v>
      </c>
      <c r="Z24" s="67">
        <f>180+100</f>
        <v>280</v>
      </c>
      <c r="AA24" s="78">
        <v>100</v>
      </c>
      <c r="AB24" s="78"/>
      <c r="AC24" s="80"/>
      <c r="AD24" s="80">
        <f>2500+2800</f>
        <v>5300</v>
      </c>
      <c r="AE24" s="80"/>
      <c r="AF24" s="80"/>
      <c r="AG24" s="80">
        <v>685</v>
      </c>
      <c r="AH24" s="80"/>
      <c r="AI24" s="80"/>
      <c r="AJ24" s="80"/>
      <c r="AK24" s="80"/>
      <c r="AL24" s="80"/>
      <c r="AM24" s="80"/>
      <c r="AN24" s="80"/>
      <c r="AO24" s="80"/>
      <c r="AP24" s="80">
        <v>2100</v>
      </c>
      <c r="AQ24" s="80">
        <v>12000</v>
      </c>
      <c r="AR24" s="80">
        <v>5580</v>
      </c>
      <c r="AS24" s="80">
        <f>3420+240+1500</f>
        <v>5160</v>
      </c>
      <c r="AT24" s="80"/>
      <c r="AU24" s="80">
        <f>300+100</f>
        <v>400</v>
      </c>
      <c r="AV24" s="80">
        <v>1900</v>
      </c>
      <c r="AW24" s="80">
        <f>2000+630</f>
        <v>2630</v>
      </c>
      <c r="AX24" s="80"/>
      <c r="AY24" s="80"/>
      <c r="AZ24" s="80"/>
      <c r="BA24" s="80"/>
      <c r="BB24" s="80">
        <v>4275</v>
      </c>
      <c r="BC24" s="80">
        <v>2620</v>
      </c>
      <c r="BD24" s="80">
        <f>1830+285+500</f>
        <v>2615</v>
      </c>
      <c r="BE24" s="80">
        <f>4300+100</f>
        <v>4400</v>
      </c>
      <c r="BF24" s="80">
        <v>15750</v>
      </c>
      <c r="BG24" s="80">
        <f>4800+1300</f>
        <v>6100</v>
      </c>
      <c r="BH24" s="80"/>
      <c r="BI24" s="80">
        <v>400</v>
      </c>
      <c r="BJ24" s="80">
        <v>210</v>
      </c>
      <c r="BK24" s="80">
        <v>1136</v>
      </c>
      <c r="BL24" s="80">
        <v>5230</v>
      </c>
      <c r="BM24" s="80">
        <v>57</v>
      </c>
      <c r="BN24" s="80">
        <v>4715</v>
      </c>
      <c r="BO24" s="80"/>
      <c r="BP24" s="80"/>
      <c r="BQ24" s="80">
        <f>500+500+250+250</f>
        <v>1500</v>
      </c>
      <c r="BR24" s="80"/>
      <c r="BS24" s="80">
        <f>880+600+500+3700</f>
        <v>5680</v>
      </c>
      <c r="BT24" s="80">
        <v>94</v>
      </c>
      <c r="BU24" s="80"/>
      <c r="BV24" s="80"/>
      <c r="BW24" s="80"/>
      <c r="BX24" s="80"/>
      <c r="BY24" s="80">
        <v>10</v>
      </c>
      <c r="BZ24" s="80">
        <v>35</v>
      </c>
      <c r="CA24" s="80">
        <v>6600</v>
      </c>
      <c r="CB24" s="80"/>
    </row>
    <row r="25" spans="1:80" x14ac:dyDescent="0.2">
      <c r="A25" s="13" t="s">
        <v>56</v>
      </c>
      <c r="B25" s="8" t="s">
        <v>57</v>
      </c>
      <c r="C25" s="14">
        <f>SUM('Individual wise Details  '!K64:CM64)</f>
        <v>293490</v>
      </c>
      <c r="D25" s="9"/>
      <c r="E25" s="10" t="s">
        <v>58</v>
      </c>
      <c r="F25" s="11">
        <f t="shared" si="0"/>
        <v>0</v>
      </c>
      <c r="I25" s="8"/>
      <c r="J25" s="8"/>
      <c r="K25" s="8"/>
      <c r="L25" s="8"/>
      <c r="M25" s="8"/>
      <c r="N25" s="8"/>
      <c r="O25" s="8"/>
      <c r="P25" s="8"/>
      <c r="Q25" s="8"/>
      <c r="R25" s="67"/>
      <c r="S25" s="67"/>
      <c r="T25" s="67"/>
      <c r="U25" s="67"/>
      <c r="V25" s="67"/>
      <c r="W25" s="67"/>
      <c r="X25" s="67"/>
      <c r="Y25" s="67"/>
      <c r="Z25" s="67"/>
      <c r="AA25" s="78"/>
      <c r="AB25" s="78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</row>
    <row r="26" spans="1:80" x14ac:dyDescent="0.2">
      <c r="A26" s="13" t="s">
        <v>59</v>
      </c>
      <c r="B26" s="8" t="s">
        <v>60</v>
      </c>
      <c r="C26" s="14">
        <f>SUM('Individual wise Details  '!K65:CM65)</f>
        <v>299960</v>
      </c>
      <c r="D26" s="9"/>
      <c r="E26" s="10" t="s">
        <v>61</v>
      </c>
      <c r="F26" s="11">
        <f t="shared" si="0"/>
        <v>77590</v>
      </c>
      <c r="I26" s="8"/>
      <c r="J26" s="8"/>
      <c r="K26" s="8"/>
      <c r="L26" s="8"/>
      <c r="M26" s="8"/>
      <c r="N26" s="8"/>
      <c r="O26" s="8">
        <v>20000</v>
      </c>
      <c r="P26" s="8">
        <f>25000+2750</f>
        <v>27750</v>
      </c>
      <c r="Q26" s="8">
        <v>19840</v>
      </c>
      <c r="R26" s="67"/>
      <c r="S26" s="67"/>
      <c r="T26" s="67"/>
      <c r="U26" s="67"/>
      <c r="V26" s="67"/>
      <c r="W26" s="67"/>
      <c r="X26" s="67"/>
      <c r="Y26" s="67"/>
      <c r="Z26" s="67"/>
      <c r="AA26" s="78"/>
      <c r="AB26" s="78"/>
      <c r="AC26" s="80"/>
      <c r="AD26" s="80"/>
      <c r="AE26" s="80"/>
      <c r="AF26" s="80"/>
      <c r="AG26" s="80">
        <v>10000</v>
      </c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</row>
    <row r="27" spans="1:80" x14ac:dyDescent="0.2">
      <c r="A27" s="13" t="s">
        <v>62</v>
      </c>
      <c r="B27" s="8" t="s">
        <v>116</v>
      </c>
      <c r="C27" s="14">
        <f>SUM('Individual wise Details  '!K66:CM66)</f>
        <v>241624</v>
      </c>
      <c r="D27" s="9"/>
      <c r="E27" s="10" t="s">
        <v>110</v>
      </c>
      <c r="F27" s="11">
        <f t="shared" si="0"/>
        <v>41779</v>
      </c>
      <c r="I27" s="8"/>
      <c r="J27" s="8"/>
      <c r="K27" s="8"/>
      <c r="L27" s="8"/>
      <c r="M27" s="8"/>
      <c r="N27" s="8"/>
      <c r="O27" s="8"/>
      <c r="P27" s="8"/>
      <c r="Q27" s="8"/>
      <c r="R27" s="67">
        <v>11500</v>
      </c>
      <c r="S27" s="67"/>
      <c r="T27" s="67"/>
      <c r="U27" s="67"/>
      <c r="V27" s="67"/>
      <c r="W27" s="67"/>
      <c r="X27" s="67"/>
      <c r="Y27" s="67"/>
      <c r="Z27" s="67"/>
      <c r="AA27" s="78"/>
      <c r="AB27" s="78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>
        <v>14840</v>
      </c>
      <c r="AU27" s="80">
        <v>3000</v>
      </c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>
        <v>5439</v>
      </c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>
        <v>7000</v>
      </c>
      <c r="BU27" s="80"/>
      <c r="BV27" s="80"/>
      <c r="BW27" s="80"/>
      <c r="BX27" s="80"/>
      <c r="BY27" s="80"/>
      <c r="BZ27" s="80"/>
      <c r="CA27" s="80"/>
      <c r="CB27" s="80"/>
    </row>
    <row r="28" spans="1:80" x14ac:dyDescent="0.2">
      <c r="A28" s="13" t="s">
        <v>63</v>
      </c>
      <c r="B28" s="8" t="s">
        <v>64</v>
      </c>
      <c r="C28" s="14">
        <f>SUM('Individual wise Details  '!K67:CM67)</f>
        <v>251930</v>
      </c>
      <c r="D28" s="9"/>
      <c r="E28" s="10" t="s">
        <v>111</v>
      </c>
      <c r="F28" s="11">
        <f t="shared" si="0"/>
        <v>24550</v>
      </c>
      <c r="I28" s="8"/>
      <c r="J28" s="8"/>
      <c r="K28" s="8"/>
      <c r="L28" s="8"/>
      <c r="M28" s="8"/>
      <c r="N28" s="8"/>
      <c r="O28" s="8"/>
      <c r="P28" s="8"/>
      <c r="Q28" s="8"/>
      <c r="R28" s="67"/>
      <c r="S28" s="67">
        <f>(7000+5000)</f>
        <v>12000</v>
      </c>
      <c r="T28" s="67">
        <v>10000</v>
      </c>
      <c r="U28" s="67"/>
      <c r="V28" s="67"/>
      <c r="W28" s="67"/>
      <c r="X28" s="67"/>
      <c r="Y28" s="67"/>
      <c r="Z28" s="67"/>
      <c r="AA28" s="78"/>
      <c r="AB28" s="78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>
        <v>600</v>
      </c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>
        <v>1500</v>
      </c>
      <c r="BH28" s="80">
        <v>450</v>
      </c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</row>
    <row r="29" spans="1:80" x14ac:dyDescent="0.2">
      <c r="A29" s="13" t="s">
        <v>65</v>
      </c>
      <c r="B29" s="8" t="s">
        <v>66</v>
      </c>
      <c r="C29" s="14">
        <f>SUM('Individual wise Details  '!K68:CM68)</f>
        <v>260672</v>
      </c>
      <c r="D29" s="9"/>
      <c r="E29" s="10" t="s">
        <v>118</v>
      </c>
      <c r="F29" s="11">
        <f t="shared" si="0"/>
        <v>16100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78"/>
      <c r="AB29" s="78"/>
      <c r="AC29" s="80"/>
      <c r="AD29" s="80">
        <v>3000</v>
      </c>
      <c r="AE29" s="80"/>
      <c r="AF29" s="80"/>
      <c r="AG29" s="80"/>
      <c r="AH29" s="80"/>
      <c r="AI29" s="80"/>
      <c r="AJ29" s="80"/>
      <c r="AK29" s="80">
        <v>600</v>
      </c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>
        <v>8000</v>
      </c>
      <c r="BE29" s="80"/>
      <c r="BF29" s="80"/>
      <c r="BG29" s="80"/>
      <c r="BH29" s="80">
        <v>4500</v>
      </c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</row>
    <row r="30" spans="1:80" x14ac:dyDescent="0.2">
      <c r="A30" s="13" t="s">
        <v>67</v>
      </c>
      <c r="B30" s="8" t="s">
        <v>68</v>
      </c>
      <c r="C30" s="14">
        <f>SUM('Individual wise Details  '!K69:CM69)</f>
        <v>258710</v>
      </c>
      <c r="D30" s="9"/>
      <c r="E30" s="10" t="s">
        <v>125</v>
      </c>
      <c r="F30" s="11">
        <f t="shared" si="0"/>
        <v>100058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78"/>
      <c r="AB30" s="78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>
        <f>6500+500+350+82908</f>
        <v>90258</v>
      </c>
      <c r="AO30" s="80">
        <v>3000</v>
      </c>
      <c r="AP30" s="80"/>
      <c r="AQ30" s="80"/>
      <c r="AR30" s="80"/>
      <c r="AS30" s="80">
        <v>6800</v>
      </c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</row>
    <row r="31" spans="1:80" x14ac:dyDescent="0.2">
      <c r="A31" s="13" t="s">
        <v>69</v>
      </c>
      <c r="B31" s="8" t="s">
        <v>70</v>
      </c>
      <c r="C31" s="14">
        <f>SUM('Individual wise Details  '!K70:CM70)</f>
        <v>228600</v>
      </c>
      <c r="D31" s="9"/>
      <c r="E31" s="10" t="s">
        <v>129</v>
      </c>
      <c r="F31" s="11">
        <f t="shared" si="0"/>
        <v>366100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78"/>
      <c r="AB31" s="78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>
        <v>10000</v>
      </c>
      <c r="AQ31" s="80">
        <f>2000+8000</f>
        <v>10000</v>
      </c>
      <c r="AR31" s="80">
        <v>10000</v>
      </c>
      <c r="AS31" s="80">
        <v>10000</v>
      </c>
      <c r="AT31" s="80">
        <v>10000</v>
      </c>
      <c r="AU31" s="80">
        <v>10000</v>
      </c>
      <c r="AV31" s="80">
        <f>5000+5000</f>
        <v>10000</v>
      </c>
      <c r="AW31" s="80">
        <v>10000</v>
      </c>
      <c r="AX31" s="80">
        <v>10000</v>
      </c>
      <c r="AY31" s="80">
        <v>10000</v>
      </c>
      <c r="AZ31" s="80">
        <v>10000</v>
      </c>
      <c r="BA31" s="80">
        <v>10000</v>
      </c>
      <c r="BB31" s="80">
        <v>10000</v>
      </c>
      <c r="BC31" s="80">
        <v>10000</v>
      </c>
      <c r="BD31" s="80">
        <v>10000</v>
      </c>
      <c r="BE31" s="80">
        <f>10000+35400</f>
        <v>45400</v>
      </c>
      <c r="BF31" s="80">
        <v>5000</v>
      </c>
      <c r="BG31" s="80">
        <v>5000</v>
      </c>
      <c r="BH31" s="80"/>
      <c r="BI31" s="80"/>
      <c r="BJ31" s="80"/>
      <c r="BK31" s="80">
        <v>35000</v>
      </c>
      <c r="BL31" s="80"/>
      <c r="BM31" s="80"/>
      <c r="BN31" s="80"/>
      <c r="BO31" s="80">
        <v>25000</v>
      </c>
      <c r="BP31" s="80"/>
      <c r="BQ31" s="80"/>
      <c r="BR31" s="80">
        <f>30000+5000</f>
        <v>35000</v>
      </c>
      <c r="BS31" s="80">
        <f>5000+5000+8500</f>
        <v>18500</v>
      </c>
      <c r="BT31" s="80">
        <v>-2800</v>
      </c>
      <c r="BU31" s="80"/>
      <c r="BV31" s="80">
        <f>5000+30000</f>
        <v>35000</v>
      </c>
      <c r="BW31" s="80"/>
      <c r="BX31" s="80"/>
      <c r="BY31" s="80"/>
      <c r="BZ31" s="80">
        <v>15000</v>
      </c>
      <c r="CA31" s="80"/>
      <c r="CB31" s="80"/>
    </row>
    <row r="32" spans="1:80" x14ac:dyDescent="0.2">
      <c r="A32" s="13" t="s">
        <v>71</v>
      </c>
      <c r="B32" s="8" t="s">
        <v>72</v>
      </c>
      <c r="C32" s="14">
        <f>SUM('Individual wise Details  '!K71:CM71)</f>
        <v>266495</v>
      </c>
      <c r="D32" s="9"/>
      <c r="E32" s="10" t="s">
        <v>157</v>
      </c>
      <c r="F32" s="11">
        <f t="shared" si="0"/>
        <v>380083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78"/>
      <c r="AB32" s="78"/>
      <c r="AC32" s="80"/>
      <c r="AD32" s="80"/>
      <c r="AE32" s="80"/>
      <c r="AF32" s="80"/>
      <c r="AG32" s="80"/>
      <c r="AH32" s="80"/>
      <c r="AI32" s="80"/>
      <c r="AJ32" s="80"/>
      <c r="AK32" s="80"/>
      <c r="AL32" s="80">
        <v>83233</v>
      </c>
      <c r="AM32" s="80">
        <f>17380+18850</f>
        <v>36230</v>
      </c>
      <c r="AN32" s="80">
        <f>6400+63000+27000</f>
        <v>96400</v>
      </c>
      <c r="AO32" s="80"/>
      <c r="AP32" s="80">
        <v>20000</v>
      </c>
      <c r="AQ32" s="80">
        <f>23000+27835+1610</f>
        <v>52445</v>
      </c>
      <c r="AR32" s="80">
        <v>22000</v>
      </c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>
        <v>45000</v>
      </c>
      <c r="BM32" s="80">
        <v>14885</v>
      </c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>
        <v>9890</v>
      </c>
      <c r="CB32" s="80"/>
    </row>
    <row r="33" spans="1:80" x14ac:dyDescent="0.2">
      <c r="A33" s="13" t="s">
        <v>73</v>
      </c>
      <c r="B33" s="8" t="s">
        <v>29</v>
      </c>
      <c r="C33" s="14">
        <f>SUM('Individual wise Details  '!K72:CM72)</f>
        <v>152725</v>
      </c>
      <c r="D33" s="9"/>
      <c r="E33" s="10" t="s">
        <v>185</v>
      </c>
      <c r="F33" s="11">
        <f t="shared" si="0"/>
        <v>4900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78"/>
      <c r="AB33" s="78"/>
      <c r="AC33" s="79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>
        <v>4900</v>
      </c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</row>
    <row r="34" spans="1:80" x14ac:dyDescent="0.2">
      <c r="A34" s="13" t="s">
        <v>74</v>
      </c>
      <c r="B34" s="8" t="s">
        <v>75</v>
      </c>
      <c r="C34" s="14">
        <f>SUM('Individual wise Details  '!K73:CM73)</f>
        <v>266475</v>
      </c>
      <c r="D34" s="9"/>
      <c r="E34" s="10"/>
      <c r="F34" s="11">
        <f t="shared" si="0"/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78"/>
      <c r="AB34" s="78"/>
      <c r="AC34" s="79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</row>
    <row r="35" spans="1:80" x14ac:dyDescent="0.2">
      <c r="A35" s="13" t="s">
        <v>76</v>
      </c>
      <c r="B35" s="8" t="s">
        <v>77</v>
      </c>
      <c r="C35" s="14">
        <f>SUM('Individual wise Details  '!K74:CM74)</f>
        <v>241004</v>
      </c>
      <c r="D35" s="9"/>
      <c r="E35" s="10"/>
      <c r="F35" s="11">
        <f t="shared" si="0"/>
        <v>0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78"/>
      <c r="AB35" s="78"/>
      <c r="AC35" s="79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</row>
    <row r="36" spans="1:80" x14ac:dyDescent="0.2">
      <c r="A36" s="13" t="s">
        <v>78</v>
      </c>
      <c r="B36" s="8" t="s">
        <v>79</v>
      </c>
      <c r="C36" s="14">
        <f>SUM('Individual wise Details  '!K75:CM75)</f>
        <v>246211</v>
      </c>
      <c r="D36" s="9"/>
      <c r="E36" s="10"/>
      <c r="F36" s="11">
        <f t="shared" si="0"/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78"/>
      <c r="AB36" s="78"/>
      <c r="AC36" s="79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</row>
    <row r="37" spans="1:80" x14ac:dyDescent="0.2">
      <c r="A37" s="13" t="s">
        <v>80</v>
      </c>
      <c r="B37" s="8" t="s">
        <v>81</v>
      </c>
      <c r="C37" s="14">
        <f>SUM('Individual wise Details  '!K76:CM76)</f>
        <v>243998.5</v>
      </c>
      <c r="D37" s="9"/>
      <c r="E37" s="10"/>
      <c r="F37" s="11">
        <f t="shared" si="0"/>
        <v>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78"/>
      <c r="AB37" s="78"/>
      <c r="AC37" s="79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</row>
    <row r="38" spans="1:80" x14ac:dyDescent="0.2">
      <c r="A38" s="13" t="s">
        <v>82</v>
      </c>
      <c r="B38" s="8" t="s">
        <v>83</v>
      </c>
      <c r="C38" s="14">
        <f>SUM('Individual wise Details  '!K77:CM77)</f>
        <v>244281</v>
      </c>
      <c r="D38" s="9"/>
      <c r="E38" s="10"/>
      <c r="F38" s="11">
        <f t="shared" si="0"/>
        <v>0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78"/>
      <c r="AB38" s="78"/>
      <c r="AC38" s="8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</row>
    <row r="39" spans="1:80" x14ac:dyDescent="0.2">
      <c r="A39" s="13" t="s">
        <v>84</v>
      </c>
      <c r="B39" s="8" t="s">
        <v>85</v>
      </c>
      <c r="C39" s="14">
        <f>SUM('Individual wise Details  '!K78:CM78)</f>
        <v>280727</v>
      </c>
      <c r="D39" s="9"/>
      <c r="E39" s="10"/>
      <c r="F39" s="11">
        <f t="shared" si="0"/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78"/>
      <c r="AB39" s="78"/>
      <c r="AC39" s="8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</row>
    <row r="40" spans="1:80" x14ac:dyDescent="0.2">
      <c r="A40" s="13" t="s">
        <v>86</v>
      </c>
      <c r="B40" s="8" t="s">
        <v>87</v>
      </c>
      <c r="C40" s="14">
        <f>SUM('Individual wise Details  '!K79:CM79)</f>
        <v>281855</v>
      </c>
      <c r="D40" s="9"/>
      <c r="E40" s="10"/>
      <c r="F40" s="11">
        <f t="shared" si="0"/>
        <v>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78"/>
      <c r="AB40" s="78"/>
      <c r="AC40" s="8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</row>
    <row r="41" spans="1:80" x14ac:dyDescent="0.2">
      <c r="A41" s="13" t="s">
        <v>88</v>
      </c>
      <c r="B41" s="8" t="s">
        <v>89</v>
      </c>
      <c r="C41" s="14">
        <f>SUM('Individual wise Details  '!K80:CM80)</f>
        <v>282755</v>
      </c>
      <c r="D41" s="9"/>
      <c r="E41" s="10"/>
      <c r="F41" s="11">
        <f t="shared" si="0"/>
        <v>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78"/>
      <c r="AB41" s="78"/>
      <c r="AC41" s="8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</row>
    <row r="42" spans="1:80" x14ac:dyDescent="0.2">
      <c r="A42" s="13" t="s">
        <v>90</v>
      </c>
      <c r="B42" s="8" t="s">
        <v>91</v>
      </c>
      <c r="C42" s="14">
        <f>SUM('Individual wise Details  '!K81:CM81)</f>
        <v>257171</v>
      </c>
      <c r="D42" s="9"/>
      <c r="E42" s="10"/>
      <c r="F42" s="11">
        <f t="shared" si="0"/>
        <v>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78"/>
      <c r="AC42" s="8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</row>
    <row r="43" spans="1:80" ht="13.5" customHeight="1" thickBot="1" x14ac:dyDescent="0.25">
      <c r="A43" s="15"/>
      <c r="B43" s="16" t="s">
        <v>182</v>
      </c>
      <c r="C43" s="14">
        <f>SUM('Individual wise Details  '!K82:CM82)+'Individual wise Details  '!G40</f>
        <v>211382</v>
      </c>
      <c r="D43" s="17"/>
      <c r="E43" s="18"/>
      <c r="F43" s="11">
        <f t="shared" si="0"/>
        <v>0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4"/>
      <c r="U43" s="14"/>
      <c r="V43" s="14"/>
      <c r="W43" s="14"/>
      <c r="X43" s="14"/>
      <c r="Y43" s="14"/>
      <c r="Z43" s="14"/>
      <c r="AA43" s="8"/>
      <c r="AB43" s="78"/>
      <c r="AC43" s="8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</row>
    <row r="44" spans="1:80" ht="16" thickTop="1" thickBot="1" x14ac:dyDescent="0.25">
      <c r="A44" s="19"/>
      <c r="B44" s="20" t="s">
        <v>92</v>
      </c>
      <c r="C44" s="21">
        <f>SUM(C6:C43)</f>
        <v>8865709.5</v>
      </c>
      <c r="D44" s="22"/>
      <c r="E44" s="23" t="s">
        <v>92</v>
      </c>
      <c r="F44" s="11">
        <f>SUM(I44:CM44)</f>
        <v>7117115.5</v>
      </c>
      <c r="I44" s="68">
        <f>SUM(I6:I43)</f>
        <v>57124</v>
      </c>
      <c r="J44" s="68">
        <f t="shared" ref="J44:BI44" si="1">SUM(J6:J43)</f>
        <v>50975</v>
      </c>
      <c r="K44" s="68">
        <f t="shared" si="1"/>
        <v>48150</v>
      </c>
      <c r="L44" s="68">
        <f t="shared" si="1"/>
        <v>47620</v>
      </c>
      <c r="M44" s="68">
        <f t="shared" si="1"/>
        <v>81193</v>
      </c>
      <c r="N44" s="68">
        <f t="shared" si="1"/>
        <v>82882</v>
      </c>
      <c r="O44" s="68">
        <f t="shared" si="1"/>
        <v>84430</v>
      </c>
      <c r="P44" s="68">
        <f t="shared" si="1"/>
        <v>73220</v>
      </c>
      <c r="Q44" s="68">
        <f t="shared" si="1"/>
        <v>77350</v>
      </c>
      <c r="R44" s="68">
        <f t="shared" si="1"/>
        <v>80406</v>
      </c>
      <c r="S44" s="68">
        <f t="shared" si="1"/>
        <v>66410</v>
      </c>
      <c r="T44" s="68">
        <f t="shared" si="1"/>
        <v>108386</v>
      </c>
      <c r="U44" s="68">
        <f t="shared" si="1"/>
        <v>65212</v>
      </c>
      <c r="V44" s="68">
        <f t="shared" si="1"/>
        <v>64517</v>
      </c>
      <c r="W44" s="68">
        <f t="shared" si="1"/>
        <v>55202</v>
      </c>
      <c r="X44" s="68">
        <f t="shared" si="1"/>
        <v>76104</v>
      </c>
      <c r="Y44" s="68">
        <f t="shared" si="1"/>
        <v>69970</v>
      </c>
      <c r="Z44" s="68">
        <f t="shared" si="1"/>
        <v>70631</v>
      </c>
      <c r="AA44" s="68">
        <f t="shared" si="1"/>
        <v>138372</v>
      </c>
      <c r="AB44" s="68">
        <f t="shared" si="1"/>
        <v>69488</v>
      </c>
      <c r="AC44" s="68">
        <f t="shared" si="1"/>
        <v>72599</v>
      </c>
      <c r="AD44" s="68">
        <f t="shared" si="1"/>
        <v>90796</v>
      </c>
      <c r="AE44" s="68">
        <f t="shared" si="1"/>
        <v>68876</v>
      </c>
      <c r="AF44" s="68">
        <f t="shared" si="1"/>
        <v>69292</v>
      </c>
      <c r="AG44" s="68">
        <f t="shared" si="1"/>
        <v>81713</v>
      </c>
      <c r="AH44" s="68">
        <f t="shared" si="1"/>
        <v>171371</v>
      </c>
      <c r="AI44" s="68">
        <f t="shared" si="1"/>
        <v>162518</v>
      </c>
      <c r="AJ44" s="68">
        <f t="shared" si="1"/>
        <v>80783</v>
      </c>
      <c r="AK44" s="68">
        <f t="shared" si="1"/>
        <v>79560</v>
      </c>
      <c r="AL44" s="68">
        <f t="shared" si="1"/>
        <v>204851</v>
      </c>
      <c r="AM44" s="68">
        <f t="shared" si="1"/>
        <v>124909</v>
      </c>
      <c r="AN44" s="68">
        <f t="shared" si="1"/>
        <v>352902</v>
      </c>
      <c r="AO44" s="68">
        <f t="shared" si="1"/>
        <v>102797</v>
      </c>
      <c r="AP44" s="68">
        <f t="shared" si="1"/>
        <v>109651</v>
      </c>
      <c r="AQ44" s="68">
        <f t="shared" si="1"/>
        <v>147205</v>
      </c>
      <c r="AR44" s="68">
        <f t="shared" si="1"/>
        <v>114142</v>
      </c>
      <c r="AS44" s="68">
        <f t="shared" si="1"/>
        <v>144647</v>
      </c>
      <c r="AT44" s="68">
        <f t="shared" si="1"/>
        <v>104828</v>
      </c>
      <c r="AU44" s="68">
        <f t="shared" si="1"/>
        <v>111953</v>
      </c>
      <c r="AV44" s="68">
        <f t="shared" si="1"/>
        <v>80858</v>
      </c>
      <c r="AW44" s="68">
        <f t="shared" si="1"/>
        <v>84261</v>
      </c>
      <c r="AX44" s="68">
        <f t="shared" si="1"/>
        <v>82048</v>
      </c>
      <c r="AY44" s="68">
        <f t="shared" si="1"/>
        <v>145907</v>
      </c>
      <c r="AZ44" s="68">
        <f t="shared" si="1"/>
        <v>108318</v>
      </c>
      <c r="BA44" s="68">
        <f t="shared" si="1"/>
        <v>71172</v>
      </c>
      <c r="BB44" s="68">
        <f t="shared" si="1"/>
        <v>56951</v>
      </c>
      <c r="BC44" s="68">
        <f t="shared" si="1"/>
        <v>73656</v>
      </c>
      <c r="BD44" s="68">
        <f t="shared" si="1"/>
        <v>75915</v>
      </c>
      <c r="BE44" s="68">
        <f t="shared" si="1"/>
        <v>138894</v>
      </c>
      <c r="BF44" s="68">
        <f t="shared" si="1"/>
        <v>93311</v>
      </c>
      <c r="BG44" s="68">
        <f t="shared" si="1"/>
        <v>79894</v>
      </c>
      <c r="BH44" s="68">
        <f t="shared" si="1"/>
        <v>112460</v>
      </c>
      <c r="BI44" s="68">
        <f t="shared" si="1"/>
        <v>64177</v>
      </c>
      <c r="BJ44" s="68">
        <f t="shared" ref="BJ44:BU44" si="2">SUM(BJ6:BJ43)</f>
        <v>68340</v>
      </c>
      <c r="BK44" s="164">
        <f t="shared" si="2"/>
        <v>134660</v>
      </c>
      <c r="BL44" s="164">
        <f t="shared" si="2"/>
        <v>129047</v>
      </c>
      <c r="BM44" s="164">
        <f t="shared" si="2"/>
        <v>162110</v>
      </c>
      <c r="BN44" s="164">
        <f t="shared" si="2"/>
        <v>102696</v>
      </c>
      <c r="BO44" s="164">
        <f t="shared" si="2"/>
        <v>103238.5</v>
      </c>
      <c r="BP44" s="164">
        <f t="shared" si="2"/>
        <v>76757</v>
      </c>
      <c r="BQ44" s="164">
        <f t="shared" si="2"/>
        <v>99269</v>
      </c>
      <c r="BR44" s="164">
        <f t="shared" si="2"/>
        <v>158357</v>
      </c>
      <c r="BS44" s="164">
        <f t="shared" si="2"/>
        <v>98934</v>
      </c>
      <c r="BT44" s="164">
        <f t="shared" ref="BT44" si="3">SUM(BT6:BT43)</f>
        <v>95651</v>
      </c>
      <c r="BU44" s="164">
        <f t="shared" si="2"/>
        <v>144908</v>
      </c>
      <c r="BV44" s="164">
        <f t="shared" ref="BV44:BW44" si="4">SUM(BV6:BV43)</f>
        <v>128189</v>
      </c>
      <c r="BW44" s="164">
        <f t="shared" si="4"/>
        <v>86300</v>
      </c>
      <c r="BX44" s="164">
        <f t="shared" ref="BX44:CB44" si="5">SUM(BX6:BX43)</f>
        <v>96274</v>
      </c>
      <c r="BY44" s="164">
        <f t="shared" si="5"/>
        <v>89059</v>
      </c>
      <c r="BZ44" s="164">
        <f t="shared" si="5"/>
        <v>113631</v>
      </c>
      <c r="CA44" s="164">
        <f t="shared" si="5"/>
        <v>91438</v>
      </c>
      <c r="CB44" s="164">
        <f t="shared" si="5"/>
        <v>7400</v>
      </c>
    </row>
    <row r="46" spans="1:80" x14ac:dyDescent="0.2">
      <c r="E46" s="26" t="s">
        <v>100</v>
      </c>
      <c r="F46" s="27">
        <f>C44-F44</f>
        <v>1748594</v>
      </c>
    </row>
    <row r="49" spans="2:6" x14ac:dyDescent="0.2">
      <c r="C49" s="25"/>
      <c r="F49" s="25"/>
    </row>
    <row r="51" spans="2:6" x14ac:dyDescent="0.2">
      <c r="B51" s="25"/>
      <c r="E51" s="25"/>
      <c r="F51" s="25"/>
    </row>
    <row r="52" spans="2:6" x14ac:dyDescent="0.2">
      <c r="B52" s="25"/>
    </row>
    <row r="54" spans="2:6" x14ac:dyDescent="0.2">
      <c r="B54" s="25"/>
    </row>
    <row r="66" spans="63:63" x14ac:dyDescent="0.2">
      <c r="BK66" s="2">
        <f>SUM(BK49:BK65)</f>
        <v>0</v>
      </c>
    </row>
  </sheetData>
  <mergeCells count="5">
    <mergeCell ref="A1:F1"/>
    <mergeCell ref="A2:F2"/>
    <mergeCell ref="A3:F3"/>
    <mergeCell ref="A4:C5"/>
    <mergeCell ref="E4:F5"/>
  </mergeCells>
  <pageMargins left="0.25" right="0.25" top="0.75" bottom="0.75" header="0.3" footer="0.3"/>
  <pageSetup paperSize="9" scale="76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T132"/>
  <sheetViews>
    <sheetView zoomScale="110" zoomScaleNormal="110" zoomScalePageLayoutView="110" workbookViewId="0">
      <pane xSplit="8" ySplit="2" topLeftCell="CE46" activePane="bottomRight" state="frozen"/>
      <selection pane="topRight" activeCell="I1" sqref="I1"/>
      <selection pane="bottomLeft" activeCell="A3" sqref="A3"/>
      <selection pane="bottomRight" activeCell="CM70" sqref="CM70"/>
    </sheetView>
  </sheetViews>
  <sheetFormatPr baseColWidth="10" defaultColWidth="9.1640625" defaultRowHeight="12" x14ac:dyDescent="0.15"/>
  <cols>
    <col min="1" max="1" width="4.5" style="38" customWidth="1"/>
    <col min="2" max="2" width="5.6640625" style="38" bestFit="1" customWidth="1"/>
    <col min="3" max="3" width="6.1640625" style="38" bestFit="1" customWidth="1"/>
    <col min="4" max="4" width="23.83203125" style="50" bestFit="1" customWidth="1"/>
    <col min="5" max="5" width="8" style="50" bestFit="1" customWidth="1"/>
    <col min="6" max="6" width="10.5" style="50" bestFit="1" customWidth="1"/>
    <col min="7" max="7" width="11.1640625" style="50" customWidth="1"/>
    <col min="8" max="8" width="9" style="50" bestFit="1" customWidth="1"/>
    <col min="9" max="9" width="5.5" style="38" customWidth="1"/>
    <col min="10" max="10" width="5.1640625" style="38" customWidth="1"/>
    <col min="11" max="11" width="8.6640625" style="38" customWidth="1"/>
    <col min="12" max="19" width="8" style="38" bestFit="1" customWidth="1"/>
    <col min="20" max="20" width="8.1640625" style="38" customWidth="1"/>
    <col min="21" max="22" width="7.5" style="38" customWidth="1"/>
    <col min="23" max="23" width="8" style="38" customWidth="1"/>
    <col min="24" max="24" width="8.6640625" style="38" customWidth="1"/>
    <col min="25" max="25" width="9" style="38" bestFit="1" customWidth="1"/>
    <col min="26" max="26" width="9.5" style="38" customWidth="1"/>
    <col min="27" max="30" width="8" style="38" customWidth="1"/>
    <col min="31" max="31" width="8" style="72" customWidth="1"/>
    <col min="32" max="45" width="8" style="38" customWidth="1"/>
    <col min="46" max="46" width="8.5" style="38" customWidth="1"/>
    <col min="47" max="47" width="8" style="38" customWidth="1"/>
    <col min="48" max="69" width="9.1640625" style="38"/>
    <col min="70" max="70" width="9.83203125" style="38" bestFit="1" customWidth="1"/>
    <col min="71" max="16384" width="9.1640625" style="38"/>
  </cols>
  <sheetData>
    <row r="1" spans="1:91" s="28" customFormat="1" x14ac:dyDescent="0.15">
      <c r="A1" s="196" t="s">
        <v>94</v>
      </c>
      <c r="B1" s="198" t="s">
        <v>4</v>
      </c>
      <c r="C1" s="196" t="s">
        <v>95</v>
      </c>
      <c r="D1" s="200" t="s">
        <v>96</v>
      </c>
      <c r="E1" s="200" t="s">
        <v>97</v>
      </c>
      <c r="F1" s="193" t="s">
        <v>127</v>
      </c>
      <c r="G1" s="194"/>
      <c r="H1" s="195"/>
      <c r="K1" s="29" t="s">
        <v>93</v>
      </c>
      <c r="L1" s="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69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</row>
    <row r="2" spans="1:91" s="28" customFormat="1" x14ac:dyDescent="0.15">
      <c r="A2" s="197"/>
      <c r="B2" s="199"/>
      <c r="C2" s="197"/>
      <c r="D2" s="201"/>
      <c r="E2" s="201"/>
      <c r="F2" s="31" t="s">
        <v>98</v>
      </c>
      <c r="G2" s="31" t="s">
        <v>99</v>
      </c>
      <c r="H2" s="32" t="s">
        <v>100</v>
      </c>
      <c r="K2" s="33">
        <v>40483</v>
      </c>
      <c r="L2" s="33">
        <v>40513</v>
      </c>
      <c r="M2" s="33">
        <v>40544</v>
      </c>
      <c r="N2" s="33">
        <v>40575</v>
      </c>
      <c r="O2" s="33">
        <v>40603</v>
      </c>
      <c r="P2" s="33">
        <v>40634</v>
      </c>
      <c r="Q2" s="33">
        <v>40664</v>
      </c>
      <c r="R2" s="33">
        <v>40695</v>
      </c>
      <c r="S2" s="33">
        <v>40725</v>
      </c>
      <c r="T2" s="33">
        <v>40756</v>
      </c>
      <c r="U2" s="33">
        <v>40787</v>
      </c>
      <c r="V2" s="33">
        <v>40817</v>
      </c>
      <c r="W2" s="33">
        <v>40848</v>
      </c>
      <c r="X2" s="34" t="s">
        <v>101</v>
      </c>
      <c r="Y2" s="34" t="s">
        <v>102</v>
      </c>
      <c r="Z2" s="34" t="s">
        <v>113</v>
      </c>
      <c r="AA2" s="33">
        <v>40878</v>
      </c>
      <c r="AB2" s="33">
        <v>40909</v>
      </c>
      <c r="AC2" s="33">
        <v>40940</v>
      </c>
      <c r="AD2" s="33">
        <v>40969</v>
      </c>
      <c r="AE2" s="75" t="s">
        <v>117</v>
      </c>
      <c r="AF2" s="33">
        <v>41030</v>
      </c>
      <c r="AG2" s="33" t="s">
        <v>101</v>
      </c>
      <c r="AH2" s="33">
        <v>41061</v>
      </c>
      <c r="AI2" s="33">
        <v>41091</v>
      </c>
      <c r="AJ2" s="33">
        <v>41122</v>
      </c>
      <c r="AK2" s="33">
        <v>41153</v>
      </c>
      <c r="AL2" s="33">
        <v>41183</v>
      </c>
      <c r="AM2" s="33">
        <v>41214</v>
      </c>
      <c r="AN2" s="33">
        <v>41244</v>
      </c>
      <c r="AO2" s="33">
        <v>41275</v>
      </c>
      <c r="AP2" s="33" t="s">
        <v>121</v>
      </c>
      <c r="AQ2" s="33">
        <v>41306</v>
      </c>
      <c r="AR2" s="33">
        <v>41334</v>
      </c>
      <c r="AS2" s="33">
        <v>41365</v>
      </c>
      <c r="AT2" s="90" t="s">
        <v>123</v>
      </c>
      <c r="AU2" s="89" t="s">
        <v>122</v>
      </c>
      <c r="AV2" s="33">
        <v>41407</v>
      </c>
      <c r="AW2" s="33">
        <v>41438</v>
      </c>
      <c r="AX2" s="33">
        <v>41468</v>
      </c>
      <c r="AY2" s="33">
        <v>41499</v>
      </c>
      <c r="AZ2" s="33">
        <v>41530</v>
      </c>
      <c r="BA2" s="33">
        <v>41560</v>
      </c>
      <c r="BB2" s="33">
        <v>41591</v>
      </c>
      <c r="BC2" s="33">
        <v>41621</v>
      </c>
      <c r="BD2" s="33">
        <v>41652</v>
      </c>
      <c r="BE2" s="33">
        <v>41683</v>
      </c>
      <c r="BF2" s="33">
        <v>41711</v>
      </c>
      <c r="BG2" s="33">
        <v>41742</v>
      </c>
      <c r="BH2" s="33">
        <v>41772</v>
      </c>
      <c r="BI2" s="33">
        <v>41803</v>
      </c>
      <c r="BJ2" s="33">
        <v>41833</v>
      </c>
      <c r="BK2" s="33">
        <v>41864</v>
      </c>
      <c r="BL2" s="33">
        <v>41896</v>
      </c>
      <c r="BM2" s="33">
        <v>41926</v>
      </c>
      <c r="BN2" s="33">
        <v>41957</v>
      </c>
      <c r="BO2" s="33">
        <v>41987</v>
      </c>
      <c r="BP2" s="121" t="s">
        <v>137</v>
      </c>
      <c r="BQ2" s="33">
        <v>42019</v>
      </c>
      <c r="BR2" s="33">
        <v>42050</v>
      </c>
      <c r="BS2" s="155">
        <v>42078</v>
      </c>
      <c r="BT2" s="33">
        <v>42109</v>
      </c>
      <c r="BU2" s="33">
        <v>42139</v>
      </c>
      <c r="BV2" s="33">
        <v>42170</v>
      </c>
      <c r="BW2" s="33">
        <v>42200</v>
      </c>
      <c r="BX2" s="33">
        <v>42231</v>
      </c>
      <c r="BY2" s="33">
        <v>42262</v>
      </c>
      <c r="BZ2" s="33">
        <v>42292</v>
      </c>
      <c r="CA2" s="33">
        <v>42323</v>
      </c>
      <c r="CB2" s="33">
        <v>42353</v>
      </c>
      <c r="CC2" s="33">
        <v>42384</v>
      </c>
      <c r="CD2" s="33">
        <v>42415</v>
      </c>
      <c r="CE2" s="33">
        <v>42444</v>
      </c>
      <c r="CF2" s="33">
        <v>42475</v>
      </c>
      <c r="CG2" s="33">
        <v>42505</v>
      </c>
      <c r="CH2" s="33">
        <v>42536</v>
      </c>
      <c r="CI2" s="33">
        <v>42566</v>
      </c>
      <c r="CJ2" s="33">
        <v>42597</v>
      </c>
      <c r="CK2" s="33">
        <v>42628</v>
      </c>
      <c r="CL2" s="33">
        <v>42658</v>
      </c>
      <c r="CM2" s="91"/>
    </row>
    <row r="3" spans="1:91" x14ac:dyDescent="0.15">
      <c r="A3" s="35">
        <v>1</v>
      </c>
      <c r="B3" s="36" t="s">
        <v>7</v>
      </c>
      <c r="C3" s="35" t="s">
        <v>103</v>
      </c>
      <c r="D3" s="37" t="s">
        <v>8</v>
      </c>
      <c r="E3" s="37">
        <v>1367</v>
      </c>
      <c r="F3" s="37">
        <f t="shared" ref="F3:F38" si="0">SUM(K3:CM3)+SUM(K89:CM89)</f>
        <v>254514</v>
      </c>
      <c r="G3" s="37">
        <f>SUM(K46:CM46)</f>
        <v>246885</v>
      </c>
      <c r="H3" s="37">
        <f>F3-G3</f>
        <v>7629</v>
      </c>
      <c r="K3" s="39">
        <v>2000</v>
      </c>
      <c r="L3" s="39">
        <v>1618</v>
      </c>
      <c r="M3" s="39">
        <v>1473</v>
      </c>
      <c r="N3" s="39">
        <v>1391</v>
      </c>
      <c r="O3" s="39">
        <v>1342</v>
      </c>
      <c r="P3" s="39">
        <v>2361</v>
      </c>
      <c r="Q3" s="39">
        <v>2419</v>
      </c>
      <c r="R3" s="39">
        <v>1820</v>
      </c>
      <c r="S3" s="39">
        <v>1820</v>
      </c>
      <c r="T3" s="39">
        <v>1820</v>
      </c>
      <c r="U3" s="39">
        <v>1820</v>
      </c>
      <c r="V3" s="39">
        <v>1820</v>
      </c>
      <c r="W3" s="39">
        <v>1820</v>
      </c>
      <c r="X3" s="39">
        <v>5000</v>
      </c>
      <c r="Y3" s="39">
        <v>1700</v>
      </c>
      <c r="Z3" s="39">
        <v>1000</v>
      </c>
      <c r="AA3" s="39">
        <v>1820</v>
      </c>
      <c r="AB3" s="39">
        <v>1820</v>
      </c>
      <c r="AC3" s="39">
        <v>1820</v>
      </c>
      <c r="AD3" s="39">
        <v>1820</v>
      </c>
      <c r="AE3" s="70">
        <v>2210</v>
      </c>
      <c r="AF3" s="70">
        <v>2210</v>
      </c>
      <c r="AG3" s="39">
        <v>5000</v>
      </c>
      <c r="AH3" s="70">
        <v>2210</v>
      </c>
      <c r="AI3" s="70">
        <v>2210</v>
      </c>
      <c r="AJ3" s="70">
        <v>2210</v>
      </c>
      <c r="AK3" s="70">
        <v>2210</v>
      </c>
      <c r="AL3" s="70">
        <v>2210</v>
      </c>
      <c r="AM3" s="70">
        <v>2210</v>
      </c>
      <c r="AN3" s="70">
        <v>2210</v>
      </c>
      <c r="AO3" s="39">
        <v>2510</v>
      </c>
      <c r="AP3" s="39">
        <v>10000</v>
      </c>
      <c r="AQ3" s="39">
        <v>2510</v>
      </c>
      <c r="AR3" s="39">
        <v>2510</v>
      </c>
      <c r="AS3" s="39">
        <v>2510</v>
      </c>
      <c r="AT3" s="91">
        <v>10000</v>
      </c>
      <c r="AU3" s="91">
        <v>30000</v>
      </c>
      <c r="AV3" s="39">
        <v>2510</v>
      </c>
      <c r="AW3" s="39">
        <v>2510</v>
      </c>
      <c r="AX3" s="39">
        <v>2510</v>
      </c>
      <c r="AY3" s="91">
        <v>3050</v>
      </c>
      <c r="AZ3" s="91">
        <v>3050</v>
      </c>
      <c r="BA3" s="91">
        <v>3050</v>
      </c>
      <c r="BB3" s="91">
        <v>3050</v>
      </c>
      <c r="BC3" s="91">
        <v>3050</v>
      </c>
      <c r="BD3" s="91">
        <v>3050</v>
      </c>
      <c r="BE3" s="91">
        <v>3050</v>
      </c>
      <c r="BF3" s="91">
        <v>3050</v>
      </c>
      <c r="BG3" s="91">
        <v>3050</v>
      </c>
      <c r="BH3" s="91">
        <v>3050</v>
      </c>
      <c r="BI3" s="91">
        <v>3050</v>
      </c>
      <c r="BJ3" s="91">
        <v>3050</v>
      </c>
      <c r="BK3" s="91">
        <v>3050</v>
      </c>
      <c r="BL3" s="91">
        <v>3050</v>
      </c>
      <c r="BM3" s="91">
        <v>3050</v>
      </c>
      <c r="BN3" s="91">
        <v>3050</v>
      </c>
      <c r="BO3" s="91">
        <v>3050</v>
      </c>
      <c r="BP3" s="91">
        <v>1200</v>
      </c>
      <c r="BQ3" s="91">
        <v>3050</v>
      </c>
      <c r="BR3" s="91">
        <v>3050</v>
      </c>
      <c r="BS3" s="156">
        <v>3050</v>
      </c>
      <c r="BT3" s="91">
        <v>3050</v>
      </c>
      <c r="BU3" s="91">
        <v>3050</v>
      </c>
      <c r="BV3" s="91">
        <v>3250</v>
      </c>
      <c r="BW3" s="91">
        <v>3250</v>
      </c>
      <c r="BX3" s="91">
        <v>3250</v>
      </c>
      <c r="BY3" s="91">
        <v>3250</v>
      </c>
      <c r="BZ3" s="91">
        <v>3250</v>
      </c>
      <c r="CA3" s="91">
        <v>3250</v>
      </c>
      <c r="CB3" s="91">
        <v>3250</v>
      </c>
      <c r="CC3" s="91">
        <v>3250</v>
      </c>
      <c r="CD3" s="91">
        <v>3250</v>
      </c>
      <c r="CE3" s="91">
        <v>3250</v>
      </c>
      <c r="CF3" s="91">
        <v>3250</v>
      </c>
      <c r="CG3" s="91">
        <v>3250</v>
      </c>
      <c r="CH3" s="91">
        <v>3250</v>
      </c>
      <c r="CI3" s="91">
        <v>3250</v>
      </c>
      <c r="CJ3" s="91">
        <v>3250</v>
      </c>
      <c r="CK3" s="91">
        <v>3250</v>
      </c>
      <c r="CL3" s="91">
        <v>3250</v>
      </c>
      <c r="CM3" s="91"/>
    </row>
    <row r="4" spans="1:91" x14ac:dyDescent="0.15">
      <c r="A4" s="35">
        <v>2</v>
      </c>
      <c r="B4" s="36" t="s">
        <v>10</v>
      </c>
      <c r="C4" s="35" t="s">
        <v>103</v>
      </c>
      <c r="D4" s="37" t="s">
        <v>11</v>
      </c>
      <c r="E4" s="37">
        <v>1673</v>
      </c>
      <c r="F4" s="37">
        <f t="shared" si="0"/>
        <v>283221</v>
      </c>
      <c r="G4" s="37">
        <f>SUM(K47:CM47)</f>
        <v>284597</v>
      </c>
      <c r="H4" s="40">
        <f t="shared" ref="H4:H40" si="1">F4-G4</f>
        <v>-1376</v>
      </c>
      <c r="K4" s="39">
        <v>2000</v>
      </c>
      <c r="L4" s="39">
        <v>1981</v>
      </c>
      <c r="M4" s="39">
        <v>1704</v>
      </c>
      <c r="N4" s="39">
        <v>1609</v>
      </c>
      <c r="O4" s="39">
        <v>1642</v>
      </c>
      <c r="P4" s="39">
        <v>2656</v>
      </c>
      <c r="Q4" s="39">
        <v>2699</v>
      </c>
      <c r="R4" s="39">
        <v>2120</v>
      </c>
      <c r="S4" s="39">
        <v>2120</v>
      </c>
      <c r="T4" s="39">
        <v>2120</v>
      </c>
      <c r="U4" s="39">
        <v>2120</v>
      </c>
      <c r="V4" s="39">
        <v>2120</v>
      </c>
      <c r="W4" s="39">
        <v>2120</v>
      </c>
      <c r="X4" s="39">
        <v>5000</v>
      </c>
      <c r="Y4" s="39">
        <v>1700</v>
      </c>
      <c r="Z4" s="39">
        <v>1000</v>
      </c>
      <c r="AA4" s="39">
        <v>2120</v>
      </c>
      <c r="AB4" s="39">
        <v>2120</v>
      </c>
      <c r="AC4" s="39">
        <v>2120</v>
      </c>
      <c r="AD4" s="39">
        <v>2120</v>
      </c>
      <c r="AE4" s="70">
        <v>2590</v>
      </c>
      <c r="AF4" s="70">
        <v>2590</v>
      </c>
      <c r="AG4" s="39">
        <v>5000</v>
      </c>
      <c r="AH4" s="70">
        <v>2590</v>
      </c>
      <c r="AI4" s="70">
        <v>2590</v>
      </c>
      <c r="AJ4" s="70">
        <v>2590</v>
      </c>
      <c r="AK4" s="70">
        <v>2590</v>
      </c>
      <c r="AL4" s="70">
        <v>2590</v>
      </c>
      <c r="AM4" s="70">
        <v>2590</v>
      </c>
      <c r="AN4" s="70">
        <v>2590</v>
      </c>
      <c r="AO4" s="39">
        <v>2890</v>
      </c>
      <c r="AP4" s="39">
        <v>10000</v>
      </c>
      <c r="AQ4" s="39">
        <v>2890</v>
      </c>
      <c r="AR4" s="39">
        <v>2890</v>
      </c>
      <c r="AS4" s="39">
        <v>2890</v>
      </c>
      <c r="AT4" s="91">
        <v>10000</v>
      </c>
      <c r="AU4" s="91">
        <v>30000</v>
      </c>
      <c r="AV4" s="39">
        <v>2890</v>
      </c>
      <c r="AW4" s="39">
        <v>2890</v>
      </c>
      <c r="AX4" s="39">
        <v>2890</v>
      </c>
      <c r="AY4" s="91">
        <v>3510</v>
      </c>
      <c r="AZ4" s="91">
        <v>3510</v>
      </c>
      <c r="BA4" s="91">
        <v>3510</v>
      </c>
      <c r="BB4" s="91">
        <v>3510</v>
      </c>
      <c r="BC4" s="91">
        <v>3510</v>
      </c>
      <c r="BD4" s="91">
        <v>3510</v>
      </c>
      <c r="BE4" s="91">
        <v>3510</v>
      </c>
      <c r="BF4" s="91">
        <v>3510</v>
      </c>
      <c r="BG4" s="91">
        <v>3510</v>
      </c>
      <c r="BH4" s="91">
        <v>3510</v>
      </c>
      <c r="BI4" s="91">
        <v>3510</v>
      </c>
      <c r="BJ4" s="91">
        <v>3510</v>
      </c>
      <c r="BK4" s="91">
        <v>3510</v>
      </c>
      <c r="BL4" s="91">
        <v>3510</v>
      </c>
      <c r="BM4" s="91">
        <v>3510</v>
      </c>
      <c r="BN4" s="91">
        <v>3510</v>
      </c>
      <c r="BO4" s="91">
        <v>3510</v>
      </c>
      <c r="BP4" s="91">
        <v>1200</v>
      </c>
      <c r="BQ4" s="91">
        <v>3510</v>
      </c>
      <c r="BR4" s="91">
        <v>3510</v>
      </c>
      <c r="BS4" s="156">
        <v>3510</v>
      </c>
      <c r="BT4" s="91">
        <v>3510</v>
      </c>
      <c r="BU4" s="91">
        <v>3510</v>
      </c>
      <c r="BV4" s="91">
        <v>3710</v>
      </c>
      <c r="BW4" s="91">
        <v>3710</v>
      </c>
      <c r="BX4" s="91">
        <v>3710</v>
      </c>
      <c r="BY4" s="91">
        <v>3710</v>
      </c>
      <c r="BZ4" s="91">
        <v>3710</v>
      </c>
      <c r="CA4" s="91">
        <v>3710</v>
      </c>
      <c r="CB4" s="91">
        <v>3710</v>
      </c>
      <c r="CC4" s="91">
        <v>3710</v>
      </c>
      <c r="CD4" s="91">
        <v>3710</v>
      </c>
      <c r="CE4" s="91">
        <v>3710</v>
      </c>
      <c r="CF4" s="91">
        <v>3710</v>
      </c>
      <c r="CG4" s="91">
        <v>3710</v>
      </c>
      <c r="CH4" s="91">
        <v>3710</v>
      </c>
      <c r="CI4" s="91">
        <v>3710</v>
      </c>
      <c r="CJ4" s="91">
        <v>3710</v>
      </c>
      <c r="CK4" s="91">
        <v>3710</v>
      </c>
      <c r="CL4" s="91">
        <v>3710</v>
      </c>
      <c r="CM4" s="91"/>
    </row>
    <row r="5" spans="1:91" x14ac:dyDescent="0.15">
      <c r="A5" s="35">
        <v>3</v>
      </c>
      <c r="B5" s="36">
        <v>201</v>
      </c>
      <c r="C5" s="35" t="s">
        <v>103</v>
      </c>
      <c r="D5" s="37" t="s">
        <v>13</v>
      </c>
      <c r="E5" s="37">
        <v>1673</v>
      </c>
      <c r="F5" s="37">
        <f t="shared" si="0"/>
        <v>283821</v>
      </c>
      <c r="G5" s="37">
        <f>SUM(K48:CM48)</f>
        <v>280112</v>
      </c>
      <c r="H5" s="40">
        <f t="shared" si="1"/>
        <v>3709</v>
      </c>
      <c r="K5" s="39">
        <v>2000</v>
      </c>
      <c r="L5" s="39">
        <v>1981</v>
      </c>
      <c r="M5" s="39">
        <v>1704</v>
      </c>
      <c r="N5" s="39">
        <v>1609</v>
      </c>
      <c r="O5" s="39">
        <v>1642</v>
      </c>
      <c r="P5" s="39">
        <v>2656</v>
      </c>
      <c r="Q5" s="39">
        <v>2699</v>
      </c>
      <c r="R5" s="39">
        <v>2120</v>
      </c>
      <c r="S5" s="39">
        <v>2120</v>
      </c>
      <c r="T5" s="39">
        <v>2120</v>
      </c>
      <c r="U5" s="39">
        <v>2120</v>
      </c>
      <c r="V5" s="39">
        <v>2120</v>
      </c>
      <c r="W5" s="39">
        <v>2120</v>
      </c>
      <c r="X5" s="39">
        <v>5000</v>
      </c>
      <c r="Y5" s="39">
        <v>1700</v>
      </c>
      <c r="Z5" s="39">
        <v>1000</v>
      </c>
      <c r="AA5" s="39">
        <v>2120</v>
      </c>
      <c r="AB5" s="39">
        <v>2120</v>
      </c>
      <c r="AC5" s="39">
        <v>2120</v>
      </c>
      <c r="AD5" s="39">
        <v>2120</v>
      </c>
      <c r="AE5" s="70">
        <v>2590</v>
      </c>
      <c r="AF5" s="70">
        <v>2590</v>
      </c>
      <c r="AG5" s="39">
        <v>5000</v>
      </c>
      <c r="AH5" s="70">
        <v>2590</v>
      </c>
      <c r="AI5" s="70">
        <v>2590</v>
      </c>
      <c r="AJ5" s="70">
        <v>2590</v>
      </c>
      <c r="AK5" s="70">
        <v>2590</v>
      </c>
      <c r="AL5" s="70">
        <v>2590</v>
      </c>
      <c r="AM5" s="70">
        <v>2590</v>
      </c>
      <c r="AN5" s="70">
        <v>2590</v>
      </c>
      <c r="AO5" s="39">
        <v>2890</v>
      </c>
      <c r="AP5" s="39">
        <v>10000</v>
      </c>
      <c r="AQ5" s="39">
        <v>2890</v>
      </c>
      <c r="AR5" s="39">
        <v>2890</v>
      </c>
      <c r="AS5" s="39">
        <v>2890</v>
      </c>
      <c r="AT5" s="91">
        <v>10000</v>
      </c>
      <c r="AU5" s="91">
        <v>30000</v>
      </c>
      <c r="AV5" s="39">
        <v>2890</v>
      </c>
      <c r="AW5" s="39">
        <v>2890</v>
      </c>
      <c r="AX5" s="39">
        <v>2890</v>
      </c>
      <c r="AY5" s="91">
        <v>3510</v>
      </c>
      <c r="AZ5" s="91">
        <v>3510</v>
      </c>
      <c r="BA5" s="91">
        <v>3510</v>
      </c>
      <c r="BB5" s="91">
        <v>3510</v>
      </c>
      <c r="BC5" s="91">
        <v>3510</v>
      </c>
      <c r="BD5" s="91">
        <v>3510</v>
      </c>
      <c r="BE5" s="91">
        <v>3510</v>
      </c>
      <c r="BF5" s="91">
        <v>3510</v>
      </c>
      <c r="BG5" s="91">
        <v>3510</v>
      </c>
      <c r="BH5" s="91">
        <v>3510</v>
      </c>
      <c r="BI5" s="91">
        <v>3510</v>
      </c>
      <c r="BJ5" s="91">
        <v>3510</v>
      </c>
      <c r="BK5" s="91">
        <v>3510</v>
      </c>
      <c r="BL5" s="91">
        <v>3510</v>
      </c>
      <c r="BM5" s="91">
        <v>3510</v>
      </c>
      <c r="BN5" s="91">
        <v>3510</v>
      </c>
      <c r="BO5" s="91">
        <v>3510</v>
      </c>
      <c r="BP5" s="91">
        <v>1200</v>
      </c>
      <c r="BQ5" s="91">
        <v>3510</v>
      </c>
      <c r="BR5" s="91">
        <v>3510</v>
      </c>
      <c r="BS5" s="156">
        <v>3510</v>
      </c>
      <c r="BT5" s="91">
        <v>3510</v>
      </c>
      <c r="BU5" s="91">
        <v>3510</v>
      </c>
      <c r="BV5" s="91">
        <v>3710</v>
      </c>
      <c r="BW5" s="91">
        <v>3710</v>
      </c>
      <c r="BX5" s="91">
        <v>3710</v>
      </c>
      <c r="BY5" s="91">
        <v>3710</v>
      </c>
      <c r="BZ5" s="91">
        <v>3710</v>
      </c>
      <c r="CA5" s="91">
        <v>3710</v>
      </c>
      <c r="CB5" s="91">
        <v>3710</v>
      </c>
      <c r="CC5" s="91">
        <v>3710</v>
      </c>
      <c r="CD5" s="91">
        <v>3710</v>
      </c>
      <c r="CE5" s="91">
        <v>3710</v>
      </c>
      <c r="CF5" s="91">
        <v>3710</v>
      </c>
      <c r="CG5" s="91">
        <v>3710</v>
      </c>
      <c r="CH5" s="91">
        <v>3710</v>
      </c>
      <c r="CI5" s="91">
        <v>3710</v>
      </c>
      <c r="CJ5" s="91">
        <v>3710</v>
      </c>
      <c r="CK5" s="91">
        <v>3710</v>
      </c>
      <c r="CL5" s="91">
        <v>3710</v>
      </c>
      <c r="CM5" s="91"/>
    </row>
    <row r="6" spans="1:91" x14ac:dyDescent="0.15">
      <c r="A6" s="35">
        <v>4</v>
      </c>
      <c r="B6" s="36">
        <v>301</v>
      </c>
      <c r="C6" s="35" t="s">
        <v>103</v>
      </c>
      <c r="D6" s="37" t="s">
        <v>15</v>
      </c>
      <c r="E6" s="37">
        <v>1673</v>
      </c>
      <c r="F6" s="37">
        <f t="shared" si="0"/>
        <v>283321</v>
      </c>
      <c r="G6" s="37">
        <f t="shared" ref="G6:G39" si="2">SUM(K49:CM49)</f>
        <v>280181</v>
      </c>
      <c r="H6" s="40">
        <f t="shared" si="1"/>
        <v>3140</v>
      </c>
      <c r="K6" s="39">
        <v>2000</v>
      </c>
      <c r="L6" s="39">
        <v>1981</v>
      </c>
      <c r="M6" s="39">
        <v>1704</v>
      </c>
      <c r="N6" s="39">
        <v>1609</v>
      </c>
      <c r="O6" s="39">
        <v>1642</v>
      </c>
      <c r="P6" s="39">
        <v>2656</v>
      </c>
      <c r="Q6" s="39">
        <v>2699</v>
      </c>
      <c r="R6" s="39">
        <v>2120</v>
      </c>
      <c r="S6" s="39">
        <v>2120</v>
      </c>
      <c r="T6" s="39">
        <v>2120</v>
      </c>
      <c r="U6" s="39">
        <v>2120</v>
      </c>
      <c r="V6" s="39">
        <v>2120</v>
      </c>
      <c r="W6" s="39">
        <v>2120</v>
      </c>
      <c r="X6" s="39">
        <v>5000</v>
      </c>
      <c r="Y6" s="39">
        <v>1700</v>
      </c>
      <c r="Z6" s="39">
        <v>1000</v>
      </c>
      <c r="AA6" s="39">
        <v>2120</v>
      </c>
      <c r="AB6" s="39">
        <v>2120</v>
      </c>
      <c r="AC6" s="39">
        <v>2120</v>
      </c>
      <c r="AD6" s="39">
        <v>2120</v>
      </c>
      <c r="AE6" s="70">
        <v>2590</v>
      </c>
      <c r="AF6" s="70">
        <v>2590</v>
      </c>
      <c r="AG6" s="39">
        <v>5000</v>
      </c>
      <c r="AH6" s="70">
        <v>2590</v>
      </c>
      <c r="AI6" s="70">
        <v>2590</v>
      </c>
      <c r="AJ6" s="70">
        <v>2590</v>
      </c>
      <c r="AK6" s="70">
        <v>2590</v>
      </c>
      <c r="AL6" s="70">
        <v>2590</v>
      </c>
      <c r="AM6" s="70">
        <v>2590</v>
      </c>
      <c r="AN6" s="70">
        <v>2590</v>
      </c>
      <c r="AO6" s="39">
        <v>2890</v>
      </c>
      <c r="AP6" s="39">
        <v>10000</v>
      </c>
      <c r="AQ6" s="39">
        <v>2890</v>
      </c>
      <c r="AR6" s="39">
        <v>2890</v>
      </c>
      <c r="AS6" s="39">
        <v>2890</v>
      </c>
      <c r="AT6" s="91">
        <v>10000</v>
      </c>
      <c r="AU6" s="91">
        <v>30000</v>
      </c>
      <c r="AV6" s="39">
        <v>2890</v>
      </c>
      <c r="AW6" s="39">
        <v>2890</v>
      </c>
      <c r="AX6" s="39">
        <v>2890</v>
      </c>
      <c r="AY6" s="91">
        <v>3510</v>
      </c>
      <c r="AZ6" s="91">
        <v>3510</v>
      </c>
      <c r="BA6" s="91">
        <v>3510</v>
      </c>
      <c r="BB6" s="91">
        <v>3510</v>
      </c>
      <c r="BC6" s="91">
        <v>3510</v>
      </c>
      <c r="BD6" s="91">
        <v>3510</v>
      </c>
      <c r="BE6" s="91">
        <v>3510</v>
      </c>
      <c r="BF6" s="91">
        <v>3510</v>
      </c>
      <c r="BG6" s="91">
        <v>3510</v>
      </c>
      <c r="BH6" s="91">
        <v>3510</v>
      </c>
      <c r="BI6" s="91">
        <v>3510</v>
      </c>
      <c r="BJ6" s="91">
        <v>3510</v>
      </c>
      <c r="BK6" s="91">
        <v>3510</v>
      </c>
      <c r="BL6" s="91">
        <v>3510</v>
      </c>
      <c r="BM6" s="91">
        <v>3510</v>
      </c>
      <c r="BN6" s="91">
        <v>3510</v>
      </c>
      <c r="BO6" s="91">
        <v>3510</v>
      </c>
      <c r="BP6" s="91">
        <v>1200</v>
      </c>
      <c r="BQ6" s="91">
        <v>3510</v>
      </c>
      <c r="BR6" s="91">
        <v>3510</v>
      </c>
      <c r="BS6" s="156">
        <v>3510</v>
      </c>
      <c r="BT6" s="91">
        <v>3510</v>
      </c>
      <c r="BU6" s="91">
        <v>3510</v>
      </c>
      <c r="BV6" s="91">
        <v>3710</v>
      </c>
      <c r="BW6" s="91">
        <v>3710</v>
      </c>
      <c r="BX6" s="91">
        <v>3710</v>
      </c>
      <c r="BY6" s="91">
        <v>3710</v>
      </c>
      <c r="BZ6" s="91">
        <v>3710</v>
      </c>
      <c r="CA6" s="91">
        <v>3710</v>
      </c>
      <c r="CB6" s="91">
        <v>3710</v>
      </c>
      <c r="CC6" s="91">
        <v>3710</v>
      </c>
      <c r="CD6" s="91">
        <v>3710</v>
      </c>
      <c r="CE6" s="91">
        <v>3710</v>
      </c>
      <c r="CF6" s="91">
        <v>3710</v>
      </c>
      <c r="CG6" s="91">
        <v>3710</v>
      </c>
      <c r="CH6" s="91">
        <v>3710</v>
      </c>
      <c r="CI6" s="91">
        <v>3710</v>
      </c>
      <c r="CJ6" s="91">
        <v>3710</v>
      </c>
      <c r="CK6" s="91">
        <v>3710</v>
      </c>
      <c r="CL6" s="91">
        <v>3710</v>
      </c>
      <c r="CM6" s="91"/>
    </row>
    <row r="7" spans="1:91" x14ac:dyDescent="0.15">
      <c r="A7" s="35">
        <v>5</v>
      </c>
      <c r="B7" s="36" t="s">
        <v>17</v>
      </c>
      <c r="C7" s="35" t="s">
        <v>103</v>
      </c>
      <c r="D7" s="37" t="s">
        <v>108</v>
      </c>
      <c r="E7" s="37">
        <v>1302</v>
      </c>
      <c r="F7" s="37">
        <f t="shared" si="0"/>
        <v>241977</v>
      </c>
      <c r="G7" s="37">
        <f t="shared" si="2"/>
        <v>186227</v>
      </c>
      <c r="H7" s="40">
        <f t="shared" si="1"/>
        <v>55750</v>
      </c>
      <c r="K7" s="39">
        <v>2000</v>
      </c>
      <c r="L7" s="39">
        <v>1541</v>
      </c>
      <c r="M7" s="39">
        <f>1423-6398</f>
        <v>-4975</v>
      </c>
      <c r="N7" s="39">
        <v>1345</v>
      </c>
      <c r="O7" s="39">
        <v>1278</v>
      </c>
      <c r="P7" s="39">
        <v>2299</v>
      </c>
      <c r="Q7" s="39">
        <v>2359</v>
      </c>
      <c r="R7" s="39">
        <v>1750</v>
      </c>
      <c r="S7" s="39">
        <v>1750</v>
      </c>
      <c r="T7" s="39">
        <v>1750</v>
      </c>
      <c r="U7" s="39">
        <v>1750</v>
      </c>
      <c r="V7" s="39">
        <v>1750</v>
      </c>
      <c r="W7" s="39">
        <v>1750</v>
      </c>
      <c r="X7" s="39">
        <v>5000</v>
      </c>
      <c r="Y7" s="39">
        <v>1700</v>
      </c>
      <c r="Z7" s="39">
        <v>1000</v>
      </c>
      <c r="AA7" s="39">
        <v>1750</v>
      </c>
      <c r="AB7" s="39">
        <v>1750</v>
      </c>
      <c r="AC7" s="39">
        <v>1750</v>
      </c>
      <c r="AD7" s="39">
        <v>1750</v>
      </c>
      <c r="AE7" s="70">
        <v>2130</v>
      </c>
      <c r="AF7" s="70">
        <v>2130</v>
      </c>
      <c r="AG7" s="39">
        <v>5000</v>
      </c>
      <c r="AH7" s="70">
        <v>2130</v>
      </c>
      <c r="AI7" s="70">
        <v>2130</v>
      </c>
      <c r="AJ7" s="70">
        <v>2130</v>
      </c>
      <c r="AK7" s="70">
        <v>2130</v>
      </c>
      <c r="AL7" s="70">
        <v>2130</v>
      </c>
      <c r="AM7" s="70">
        <v>2130</v>
      </c>
      <c r="AN7" s="70">
        <v>2130</v>
      </c>
      <c r="AO7" s="39">
        <v>2430</v>
      </c>
      <c r="AP7" s="39">
        <v>10000</v>
      </c>
      <c r="AQ7" s="39">
        <v>2430</v>
      </c>
      <c r="AR7" s="39">
        <v>2430</v>
      </c>
      <c r="AS7" s="39">
        <v>2430</v>
      </c>
      <c r="AT7" s="91">
        <v>10000</v>
      </c>
      <c r="AU7" s="91">
        <v>30000</v>
      </c>
      <c r="AV7" s="39">
        <v>2430</v>
      </c>
      <c r="AW7" s="39">
        <v>2430</v>
      </c>
      <c r="AX7" s="39">
        <v>2430</v>
      </c>
      <c r="AY7" s="91">
        <v>2950</v>
      </c>
      <c r="AZ7" s="91">
        <v>2950</v>
      </c>
      <c r="BA7" s="91">
        <v>2950</v>
      </c>
      <c r="BB7" s="91">
        <v>2950</v>
      </c>
      <c r="BC7" s="91">
        <v>2950</v>
      </c>
      <c r="BD7" s="91">
        <v>2950</v>
      </c>
      <c r="BE7" s="91">
        <v>2950</v>
      </c>
      <c r="BF7" s="91">
        <v>2950</v>
      </c>
      <c r="BG7" s="91">
        <v>2950</v>
      </c>
      <c r="BH7" s="91">
        <v>2950</v>
      </c>
      <c r="BI7" s="91">
        <v>2950</v>
      </c>
      <c r="BJ7" s="91">
        <v>2950</v>
      </c>
      <c r="BK7" s="91">
        <v>2950</v>
      </c>
      <c r="BL7" s="91">
        <v>2950</v>
      </c>
      <c r="BM7" s="91">
        <v>2950</v>
      </c>
      <c r="BN7" s="91">
        <v>2950</v>
      </c>
      <c r="BO7" s="91">
        <v>2950</v>
      </c>
      <c r="BP7" s="91">
        <v>1200</v>
      </c>
      <c r="BQ7" s="91">
        <v>2950</v>
      </c>
      <c r="BR7" s="91">
        <v>2950</v>
      </c>
      <c r="BS7" s="156">
        <v>2950</v>
      </c>
      <c r="BT7" s="91">
        <v>2950</v>
      </c>
      <c r="BU7" s="91">
        <v>2950</v>
      </c>
      <c r="BV7" s="91">
        <v>3150</v>
      </c>
      <c r="BW7" s="91">
        <v>3150</v>
      </c>
      <c r="BX7" s="91">
        <v>3150</v>
      </c>
      <c r="BY7" s="91">
        <v>3150</v>
      </c>
      <c r="BZ7" s="91">
        <v>3150</v>
      </c>
      <c r="CA7" s="91">
        <v>3150</v>
      </c>
      <c r="CB7" s="91">
        <v>3150</v>
      </c>
      <c r="CC7" s="91">
        <v>3150</v>
      </c>
      <c r="CD7" s="91">
        <v>3150</v>
      </c>
      <c r="CE7" s="91">
        <v>3150</v>
      </c>
      <c r="CF7" s="91">
        <v>3150</v>
      </c>
      <c r="CG7" s="91">
        <v>3150</v>
      </c>
      <c r="CH7" s="91">
        <v>3150</v>
      </c>
      <c r="CI7" s="91">
        <v>3150</v>
      </c>
      <c r="CJ7" s="91">
        <v>3150</v>
      </c>
      <c r="CK7" s="91">
        <v>3150</v>
      </c>
      <c r="CL7" s="91">
        <v>3150</v>
      </c>
      <c r="CM7" s="91"/>
    </row>
    <row r="8" spans="1:91" x14ac:dyDescent="0.15">
      <c r="A8" s="35">
        <v>6</v>
      </c>
      <c r="B8" s="36" t="s">
        <v>19</v>
      </c>
      <c r="C8" s="35" t="s">
        <v>103</v>
      </c>
      <c r="D8" s="37" t="s">
        <v>20</v>
      </c>
      <c r="E8" s="37">
        <v>1302</v>
      </c>
      <c r="F8" s="37">
        <f t="shared" si="0"/>
        <v>248275</v>
      </c>
      <c r="G8" s="37">
        <f t="shared" si="2"/>
        <v>245077</v>
      </c>
      <c r="H8" s="40">
        <f t="shared" si="1"/>
        <v>3198</v>
      </c>
      <c r="K8" s="39">
        <v>2000</v>
      </c>
      <c r="L8" s="39">
        <v>1541</v>
      </c>
      <c r="M8" s="39">
        <v>1423</v>
      </c>
      <c r="N8" s="39">
        <v>1345</v>
      </c>
      <c r="O8" s="39">
        <v>1278</v>
      </c>
      <c r="P8" s="39">
        <v>2299</v>
      </c>
      <c r="Q8" s="39">
        <v>2359</v>
      </c>
      <c r="R8" s="39">
        <v>1750</v>
      </c>
      <c r="S8" s="39">
        <v>1750</v>
      </c>
      <c r="T8" s="39">
        <v>1750</v>
      </c>
      <c r="U8" s="39">
        <v>1750</v>
      </c>
      <c r="V8" s="39">
        <v>1750</v>
      </c>
      <c r="W8" s="39">
        <v>1750</v>
      </c>
      <c r="X8" s="39">
        <v>5000</v>
      </c>
      <c r="Y8" s="39">
        <v>1700</v>
      </c>
      <c r="Z8" s="39">
        <v>1000</v>
      </c>
      <c r="AA8" s="39">
        <v>1750</v>
      </c>
      <c r="AB8" s="39">
        <v>1750</v>
      </c>
      <c r="AC8" s="39">
        <v>1750</v>
      </c>
      <c r="AD8" s="39">
        <v>1750</v>
      </c>
      <c r="AE8" s="70">
        <v>2130</v>
      </c>
      <c r="AF8" s="70">
        <v>2130</v>
      </c>
      <c r="AG8" s="39">
        <v>5000</v>
      </c>
      <c r="AH8" s="70">
        <v>2130</v>
      </c>
      <c r="AI8" s="70">
        <v>2130</v>
      </c>
      <c r="AJ8" s="70">
        <v>2130</v>
      </c>
      <c r="AK8" s="70">
        <v>2130</v>
      </c>
      <c r="AL8" s="70">
        <v>2130</v>
      </c>
      <c r="AM8" s="70">
        <v>2130</v>
      </c>
      <c r="AN8" s="70">
        <v>2130</v>
      </c>
      <c r="AO8" s="39">
        <v>2430</v>
      </c>
      <c r="AP8" s="39">
        <v>10000</v>
      </c>
      <c r="AQ8" s="39">
        <v>2430</v>
      </c>
      <c r="AR8" s="39">
        <v>2430</v>
      </c>
      <c r="AS8" s="39">
        <v>2430</v>
      </c>
      <c r="AT8" s="91">
        <v>10000</v>
      </c>
      <c r="AU8" s="91">
        <v>30000</v>
      </c>
      <c r="AV8" s="39">
        <v>2430</v>
      </c>
      <c r="AW8" s="39">
        <v>2430</v>
      </c>
      <c r="AX8" s="39">
        <v>2430</v>
      </c>
      <c r="AY8" s="91">
        <v>2950</v>
      </c>
      <c r="AZ8" s="91">
        <v>2950</v>
      </c>
      <c r="BA8" s="91">
        <v>2950</v>
      </c>
      <c r="BB8" s="91">
        <v>2950</v>
      </c>
      <c r="BC8" s="91">
        <v>2950</v>
      </c>
      <c r="BD8" s="91">
        <v>2950</v>
      </c>
      <c r="BE8" s="91">
        <v>2950</v>
      </c>
      <c r="BF8" s="91">
        <v>2950</v>
      </c>
      <c r="BG8" s="91">
        <v>2950</v>
      </c>
      <c r="BH8" s="91">
        <v>2950</v>
      </c>
      <c r="BI8" s="91">
        <v>2950</v>
      </c>
      <c r="BJ8" s="91">
        <v>2950</v>
      </c>
      <c r="BK8" s="91">
        <v>2950</v>
      </c>
      <c r="BL8" s="91">
        <v>2950</v>
      </c>
      <c r="BM8" s="91">
        <v>2950</v>
      </c>
      <c r="BN8" s="91">
        <v>2950</v>
      </c>
      <c r="BO8" s="91">
        <v>2950</v>
      </c>
      <c r="BP8" s="91">
        <v>1200</v>
      </c>
      <c r="BQ8" s="91">
        <v>2950</v>
      </c>
      <c r="BR8" s="91">
        <v>2950</v>
      </c>
      <c r="BS8" s="156">
        <v>2950</v>
      </c>
      <c r="BT8" s="91">
        <v>2950</v>
      </c>
      <c r="BU8" s="91">
        <v>2950</v>
      </c>
      <c r="BV8" s="91">
        <v>3150</v>
      </c>
      <c r="BW8" s="91">
        <v>3150</v>
      </c>
      <c r="BX8" s="91">
        <v>3150</v>
      </c>
      <c r="BY8" s="91">
        <v>3150</v>
      </c>
      <c r="BZ8" s="91">
        <v>3150</v>
      </c>
      <c r="CA8" s="91">
        <v>3150</v>
      </c>
      <c r="CB8" s="91">
        <v>3150</v>
      </c>
      <c r="CC8" s="91">
        <v>3150</v>
      </c>
      <c r="CD8" s="91">
        <v>3150</v>
      </c>
      <c r="CE8" s="91">
        <v>3150</v>
      </c>
      <c r="CF8" s="91">
        <v>3150</v>
      </c>
      <c r="CG8" s="91">
        <v>3150</v>
      </c>
      <c r="CH8" s="91">
        <v>3150</v>
      </c>
      <c r="CI8" s="91">
        <v>3150</v>
      </c>
      <c r="CJ8" s="91">
        <v>3150</v>
      </c>
      <c r="CK8" s="91">
        <v>3150</v>
      </c>
      <c r="CL8" s="91">
        <v>3150</v>
      </c>
      <c r="CM8" s="91"/>
    </row>
    <row r="9" spans="1:91" ht="15" x14ac:dyDescent="0.2">
      <c r="A9" s="122">
        <v>7</v>
      </c>
      <c r="B9" s="123" t="s">
        <v>22</v>
      </c>
      <c r="C9" s="122" t="s">
        <v>103</v>
      </c>
      <c r="D9" s="41" t="s">
        <v>23</v>
      </c>
      <c r="E9" s="41">
        <v>1302</v>
      </c>
      <c r="F9" s="41">
        <f t="shared" si="0"/>
        <v>20319</v>
      </c>
      <c r="G9" s="41">
        <f t="shared" si="2"/>
        <v>20319</v>
      </c>
      <c r="H9" s="41">
        <f t="shared" si="1"/>
        <v>0</v>
      </c>
      <c r="K9" s="39">
        <v>2000</v>
      </c>
      <c r="L9" s="39">
        <v>1541</v>
      </c>
      <c r="M9" s="39">
        <v>1423</v>
      </c>
      <c r="N9" s="39">
        <v>1345</v>
      </c>
      <c r="O9" s="39">
        <v>1278</v>
      </c>
      <c r="P9" s="39">
        <v>2299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1750</v>
      </c>
      <c r="W9" s="39">
        <v>1750</v>
      </c>
      <c r="X9" s="39">
        <v>5000</v>
      </c>
      <c r="Y9" s="39">
        <v>1700</v>
      </c>
      <c r="Z9" s="39">
        <v>1000</v>
      </c>
      <c r="AA9" s="39">
        <v>1750</v>
      </c>
      <c r="AB9" s="39">
        <v>1750</v>
      </c>
      <c r="AC9" s="39">
        <v>1750</v>
      </c>
      <c r="AD9" s="39">
        <v>1750</v>
      </c>
      <c r="AE9" s="70">
        <v>2130</v>
      </c>
      <c r="AF9" s="70">
        <v>2130</v>
      </c>
      <c r="AG9" s="39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39"/>
      <c r="AP9" s="39">
        <v>0</v>
      </c>
      <c r="AQ9" s="122">
        <v>-12527</v>
      </c>
      <c r="AR9" s="39"/>
      <c r="AS9" s="39"/>
      <c r="AT9" s="91"/>
      <c r="AU9" s="91"/>
      <c r="AV9" s="39"/>
      <c r="AW9" s="39"/>
      <c r="AX9" s="39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159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</row>
    <row r="10" spans="1:91" x14ac:dyDescent="0.15">
      <c r="A10" s="35">
        <v>8</v>
      </c>
      <c r="B10" s="36" t="s">
        <v>25</v>
      </c>
      <c r="C10" s="35" t="s">
        <v>103</v>
      </c>
      <c r="D10" s="37" t="s">
        <v>26</v>
      </c>
      <c r="E10" s="37">
        <v>1302</v>
      </c>
      <c r="F10" s="37">
        <f t="shared" si="0"/>
        <v>248275</v>
      </c>
      <c r="G10" s="37">
        <f t="shared" si="2"/>
        <v>239760</v>
      </c>
      <c r="H10" s="37">
        <f t="shared" si="1"/>
        <v>8515</v>
      </c>
      <c r="K10" s="39">
        <v>2000</v>
      </c>
      <c r="L10" s="39">
        <v>1541</v>
      </c>
      <c r="M10" s="39">
        <v>1423</v>
      </c>
      <c r="N10" s="39">
        <v>1345</v>
      </c>
      <c r="O10" s="39">
        <v>1278</v>
      </c>
      <c r="P10" s="39">
        <v>2299</v>
      </c>
      <c r="Q10" s="39">
        <v>2359</v>
      </c>
      <c r="R10" s="39">
        <v>1750</v>
      </c>
      <c r="S10" s="39">
        <v>1750</v>
      </c>
      <c r="T10" s="39">
        <v>1750</v>
      </c>
      <c r="U10" s="39">
        <v>1750</v>
      </c>
      <c r="V10" s="39">
        <v>1750</v>
      </c>
      <c r="W10" s="39">
        <v>1750</v>
      </c>
      <c r="X10" s="39">
        <v>5000</v>
      </c>
      <c r="Y10" s="39">
        <v>1700</v>
      </c>
      <c r="Z10" s="39">
        <v>1000</v>
      </c>
      <c r="AA10" s="39">
        <v>1750</v>
      </c>
      <c r="AB10" s="39">
        <v>1750</v>
      </c>
      <c r="AC10" s="39">
        <v>1750</v>
      </c>
      <c r="AD10" s="39">
        <v>1750</v>
      </c>
      <c r="AE10" s="70">
        <v>2130</v>
      </c>
      <c r="AF10" s="70">
        <v>2130</v>
      </c>
      <c r="AG10" s="39">
        <v>5000</v>
      </c>
      <c r="AH10" s="70">
        <v>2130</v>
      </c>
      <c r="AI10" s="70">
        <v>2130</v>
      </c>
      <c r="AJ10" s="70">
        <v>2130</v>
      </c>
      <c r="AK10" s="70">
        <v>2130</v>
      </c>
      <c r="AL10" s="70">
        <v>2130</v>
      </c>
      <c r="AM10" s="70">
        <v>2130</v>
      </c>
      <c r="AN10" s="70">
        <v>2130</v>
      </c>
      <c r="AO10" s="39">
        <v>2430</v>
      </c>
      <c r="AP10" s="39">
        <v>10000</v>
      </c>
      <c r="AQ10" s="39">
        <v>2430</v>
      </c>
      <c r="AR10" s="39">
        <v>2430</v>
      </c>
      <c r="AS10" s="39">
        <v>2430</v>
      </c>
      <c r="AT10" s="91">
        <v>10000</v>
      </c>
      <c r="AU10" s="91">
        <v>30000</v>
      </c>
      <c r="AV10" s="39">
        <v>2430</v>
      </c>
      <c r="AW10" s="39">
        <v>2430</v>
      </c>
      <c r="AX10" s="39">
        <v>2430</v>
      </c>
      <c r="AY10" s="91">
        <v>2950</v>
      </c>
      <c r="AZ10" s="91">
        <v>2950</v>
      </c>
      <c r="BA10" s="91">
        <v>2950</v>
      </c>
      <c r="BB10" s="91">
        <v>2950</v>
      </c>
      <c r="BC10" s="91">
        <v>2950</v>
      </c>
      <c r="BD10" s="91">
        <v>2950</v>
      </c>
      <c r="BE10" s="91">
        <v>2950</v>
      </c>
      <c r="BF10" s="91">
        <v>2950</v>
      </c>
      <c r="BG10" s="91">
        <v>2950</v>
      </c>
      <c r="BH10" s="91">
        <v>2950</v>
      </c>
      <c r="BI10" s="91">
        <v>2950</v>
      </c>
      <c r="BJ10" s="91">
        <v>2950</v>
      </c>
      <c r="BK10" s="91">
        <v>2950</v>
      </c>
      <c r="BL10" s="91">
        <v>2950</v>
      </c>
      <c r="BM10" s="91">
        <v>2950</v>
      </c>
      <c r="BN10" s="91">
        <v>2950</v>
      </c>
      <c r="BO10" s="91">
        <v>2950</v>
      </c>
      <c r="BP10" s="91">
        <v>1200</v>
      </c>
      <c r="BQ10" s="91">
        <v>2950</v>
      </c>
      <c r="BR10" s="91">
        <v>2950</v>
      </c>
      <c r="BS10" s="156">
        <v>2950</v>
      </c>
      <c r="BT10" s="91">
        <v>2950</v>
      </c>
      <c r="BU10" s="91">
        <v>2950</v>
      </c>
      <c r="BV10" s="91">
        <v>3150</v>
      </c>
      <c r="BW10" s="91">
        <v>3150</v>
      </c>
      <c r="BX10" s="91">
        <v>3150</v>
      </c>
      <c r="BY10" s="91">
        <v>3150</v>
      </c>
      <c r="BZ10" s="91">
        <v>3150</v>
      </c>
      <c r="CA10" s="91">
        <v>3150</v>
      </c>
      <c r="CB10" s="91">
        <v>3150</v>
      </c>
      <c r="CC10" s="91">
        <v>3150</v>
      </c>
      <c r="CD10" s="91">
        <v>3150</v>
      </c>
      <c r="CE10" s="91">
        <v>3150</v>
      </c>
      <c r="CF10" s="91">
        <v>3150</v>
      </c>
      <c r="CG10" s="91">
        <v>3150</v>
      </c>
      <c r="CH10" s="91">
        <v>3150</v>
      </c>
      <c r="CI10" s="91">
        <v>3150</v>
      </c>
      <c r="CJ10" s="91">
        <v>3150</v>
      </c>
      <c r="CK10" s="91">
        <v>3150</v>
      </c>
      <c r="CL10" s="91">
        <v>3150</v>
      </c>
      <c r="CM10" s="91"/>
    </row>
    <row r="11" spans="1:91" x14ac:dyDescent="0.15">
      <c r="A11" s="35">
        <v>9</v>
      </c>
      <c r="B11" s="36" t="s">
        <v>28</v>
      </c>
      <c r="C11" s="35" t="s">
        <v>103</v>
      </c>
      <c r="D11" s="37" t="s">
        <v>130</v>
      </c>
      <c r="E11" s="37">
        <v>1293</v>
      </c>
      <c r="F11" s="37">
        <f t="shared" si="0"/>
        <v>194200</v>
      </c>
      <c r="G11" s="37">
        <f t="shared" si="2"/>
        <v>172000</v>
      </c>
      <c r="H11" s="37">
        <f t="shared" si="1"/>
        <v>22200</v>
      </c>
      <c r="K11" s="39">
        <v>2000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5000</v>
      </c>
      <c r="Y11" s="39">
        <v>0</v>
      </c>
      <c r="Z11" s="39">
        <v>1000</v>
      </c>
      <c r="AA11" s="39">
        <v>0</v>
      </c>
      <c r="AB11" s="39">
        <v>0</v>
      </c>
      <c r="AC11" s="39">
        <v>0</v>
      </c>
      <c r="AD11" s="39">
        <v>0</v>
      </c>
      <c r="AE11" s="70">
        <v>0</v>
      </c>
      <c r="AF11" s="70">
        <v>0</v>
      </c>
      <c r="AG11" s="39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39">
        <v>2420</v>
      </c>
      <c r="AP11" s="39">
        <v>10000</v>
      </c>
      <c r="AQ11" s="39">
        <v>2420</v>
      </c>
      <c r="AR11" s="39">
        <v>2420</v>
      </c>
      <c r="AS11" s="39">
        <v>2420</v>
      </c>
      <c r="AT11" s="91">
        <v>10000</v>
      </c>
      <c r="AU11" s="91">
        <v>30000</v>
      </c>
      <c r="AV11" s="39">
        <v>2420</v>
      </c>
      <c r="AW11" s="39">
        <v>2420</v>
      </c>
      <c r="AX11" s="39">
        <v>2420</v>
      </c>
      <c r="AY11" s="91">
        <v>2940</v>
      </c>
      <c r="AZ11" s="91">
        <v>2940</v>
      </c>
      <c r="BA11" s="91">
        <v>2940</v>
      </c>
      <c r="BB11" s="91">
        <v>2940</v>
      </c>
      <c r="BC11" s="91">
        <v>2940</v>
      </c>
      <c r="BD11" s="91">
        <v>2940</v>
      </c>
      <c r="BE11" s="91">
        <v>2940</v>
      </c>
      <c r="BF11" s="91">
        <v>2940</v>
      </c>
      <c r="BG11" s="91">
        <v>2940</v>
      </c>
      <c r="BH11" s="91">
        <v>2940</v>
      </c>
      <c r="BI11" s="91">
        <v>2940</v>
      </c>
      <c r="BJ11" s="91">
        <v>2940</v>
      </c>
      <c r="BK11" s="91">
        <v>2940</v>
      </c>
      <c r="BL11" s="91">
        <v>2940</v>
      </c>
      <c r="BM11" s="91">
        <v>2940</v>
      </c>
      <c r="BN11" s="91">
        <v>2940</v>
      </c>
      <c r="BO11" s="91">
        <v>2940</v>
      </c>
      <c r="BP11" s="91">
        <v>1200</v>
      </c>
      <c r="BQ11" s="91">
        <v>2940</v>
      </c>
      <c r="BR11" s="91">
        <v>2940</v>
      </c>
      <c r="BS11" s="156">
        <v>2940</v>
      </c>
      <c r="BT11" s="91">
        <v>2940</v>
      </c>
      <c r="BU11" s="91">
        <v>2940</v>
      </c>
      <c r="BV11" s="91">
        <v>3140</v>
      </c>
      <c r="BW11" s="91">
        <v>3140</v>
      </c>
      <c r="BX11" s="91">
        <v>3140</v>
      </c>
      <c r="BY11" s="91">
        <v>3140</v>
      </c>
      <c r="BZ11" s="91">
        <v>3140</v>
      </c>
      <c r="CA11" s="91">
        <v>3140</v>
      </c>
      <c r="CB11" s="91">
        <v>3140</v>
      </c>
      <c r="CC11" s="91">
        <v>3140</v>
      </c>
      <c r="CD11" s="91">
        <v>3140</v>
      </c>
      <c r="CE11" s="91">
        <v>3140</v>
      </c>
      <c r="CF11" s="91">
        <v>3140</v>
      </c>
      <c r="CG11" s="91">
        <v>3140</v>
      </c>
      <c r="CH11" s="91">
        <v>3140</v>
      </c>
      <c r="CI11" s="91">
        <v>3140</v>
      </c>
      <c r="CJ11" s="91">
        <v>3140</v>
      </c>
      <c r="CK11" s="91">
        <v>3140</v>
      </c>
      <c r="CL11" s="91">
        <v>3140</v>
      </c>
      <c r="CM11" s="91"/>
    </row>
    <row r="12" spans="1:91" x14ac:dyDescent="0.15">
      <c r="A12" s="35">
        <v>10</v>
      </c>
      <c r="B12" s="36" t="s">
        <v>31</v>
      </c>
      <c r="C12" s="35" t="s">
        <v>103</v>
      </c>
      <c r="D12" s="37" t="s">
        <v>32</v>
      </c>
      <c r="E12" s="37">
        <v>1293</v>
      </c>
      <c r="F12" s="37">
        <f t="shared" si="0"/>
        <v>247676</v>
      </c>
      <c r="G12" s="37">
        <f t="shared" si="2"/>
        <v>250438</v>
      </c>
      <c r="H12" s="37">
        <f t="shared" si="1"/>
        <v>-2762</v>
      </c>
      <c r="K12" s="39">
        <v>2000</v>
      </c>
      <c r="L12" s="39">
        <v>1531</v>
      </c>
      <c r="M12" s="39">
        <v>1417</v>
      </c>
      <c r="N12" s="39">
        <v>1338</v>
      </c>
      <c r="O12" s="39">
        <v>1269</v>
      </c>
      <c r="P12" s="39">
        <v>2290</v>
      </c>
      <c r="Q12" s="39">
        <v>2351</v>
      </c>
      <c r="R12" s="39">
        <v>1740</v>
      </c>
      <c r="S12" s="39">
        <v>1740</v>
      </c>
      <c r="T12" s="39">
        <v>1740</v>
      </c>
      <c r="U12" s="39">
        <v>1740</v>
      </c>
      <c r="V12" s="39">
        <v>1740</v>
      </c>
      <c r="W12" s="39">
        <v>1740</v>
      </c>
      <c r="X12" s="39">
        <v>5000</v>
      </c>
      <c r="Y12" s="39">
        <v>1700</v>
      </c>
      <c r="Z12" s="39">
        <v>1000</v>
      </c>
      <c r="AA12" s="39">
        <v>1740</v>
      </c>
      <c r="AB12" s="39">
        <v>1740</v>
      </c>
      <c r="AC12" s="39">
        <v>1740</v>
      </c>
      <c r="AD12" s="39">
        <v>1740</v>
      </c>
      <c r="AE12" s="70">
        <v>2120</v>
      </c>
      <c r="AF12" s="70">
        <v>2120</v>
      </c>
      <c r="AG12" s="39">
        <v>5000</v>
      </c>
      <c r="AH12" s="70">
        <v>2120</v>
      </c>
      <c r="AI12" s="70">
        <v>2120</v>
      </c>
      <c r="AJ12" s="70">
        <v>2120</v>
      </c>
      <c r="AK12" s="70">
        <v>2120</v>
      </c>
      <c r="AL12" s="70">
        <v>2120</v>
      </c>
      <c r="AM12" s="70">
        <v>2120</v>
      </c>
      <c r="AN12" s="70">
        <v>2120</v>
      </c>
      <c r="AO12" s="39">
        <v>2420</v>
      </c>
      <c r="AP12" s="39">
        <v>10000</v>
      </c>
      <c r="AQ12" s="39">
        <v>2420</v>
      </c>
      <c r="AR12" s="39">
        <v>2420</v>
      </c>
      <c r="AS12" s="39">
        <v>2420</v>
      </c>
      <c r="AT12" s="91">
        <v>10000</v>
      </c>
      <c r="AU12" s="91">
        <v>30000</v>
      </c>
      <c r="AV12" s="39">
        <v>2420</v>
      </c>
      <c r="AW12" s="39">
        <v>2420</v>
      </c>
      <c r="AX12" s="39">
        <v>2420</v>
      </c>
      <c r="AY12" s="91">
        <v>2940</v>
      </c>
      <c r="AZ12" s="91">
        <v>2940</v>
      </c>
      <c r="BA12" s="91">
        <v>2940</v>
      </c>
      <c r="BB12" s="91">
        <v>2940</v>
      </c>
      <c r="BC12" s="91">
        <v>2940</v>
      </c>
      <c r="BD12" s="91">
        <v>2940</v>
      </c>
      <c r="BE12" s="91">
        <v>2940</v>
      </c>
      <c r="BF12" s="91">
        <v>2940</v>
      </c>
      <c r="BG12" s="91">
        <v>2940</v>
      </c>
      <c r="BH12" s="91">
        <v>2940</v>
      </c>
      <c r="BI12" s="91">
        <v>2940</v>
      </c>
      <c r="BJ12" s="91">
        <v>2940</v>
      </c>
      <c r="BK12" s="91">
        <v>2940</v>
      </c>
      <c r="BL12" s="91">
        <v>2940</v>
      </c>
      <c r="BM12" s="91">
        <v>2940</v>
      </c>
      <c r="BN12" s="91">
        <v>2940</v>
      </c>
      <c r="BO12" s="91">
        <v>2940</v>
      </c>
      <c r="BP12" s="91">
        <v>1200</v>
      </c>
      <c r="BQ12" s="91">
        <v>2940</v>
      </c>
      <c r="BR12" s="91">
        <v>2940</v>
      </c>
      <c r="BS12" s="156">
        <v>2940</v>
      </c>
      <c r="BT12" s="91">
        <v>2940</v>
      </c>
      <c r="BU12" s="91">
        <v>2940</v>
      </c>
      <c r="BV12" s="91">
        <v>3140</v>
      </c>
      <c r="BW12" s="91">
        <v>3140</v>
      </c>
      <c r="BX12" s="91">
        <v>3140</v>
      </c>
      <c r="BY12" s="91">
        <v>3140</v>
      </c>
      <c r="BZ12" s="91">
        <v>3140</v>
      </c>
      <c r="CA12" s="91">
        <v>3140</v>
      </c>
      <c r="CB12" s="91">
        <v>3140</v>
      </c>
      <c r="CC12" s="91">
        <v>3140</v>
      </c>
      <c r="CD12" s="91">
        <v>3140</v>
      </c>
      <c r="CE12" s="91">
        <v>3140</v>
      </c>
      <c r="CF12" s="91">
        <v>3140</v>
      </c>
      <c r="CG12" s="91">
        <v>3140</v>
      </c>
      <c r="CH12" s="91">
        <v>3140</v>
      </c>
      <c r="CI12" s="91">
        <v>3140</v>
      </c>
      <c r="CJ12" s="91">
        <v>3140</v>
      </c>
      <c r="CK12" s="91">
        <v>3140</v>
      </c>
      <c r="CL12" s="91">
        <v>3140</v>
      </c>
      <c r="CM12" s="91"/>
    </row>
    <row r="13" spans="1:91" x14ac:dyDescent="0.15">
      <c r="A13" s="35">
        <v>11</v>
      </c>
      <c r="B13" s="36" t="s">
        <v>34</v>
      </c>
      <c r="C13" s="35" t="s">
        <v>103</v>
      </c>
      <c r="D13" s="37" t="s">
        <v>35</v>
      </c>
      <c r="E13" s="37">
        <v>1293</v>
      </c>
      <c r="F13" s="37">
        <f t="shared" si="0"/>
        <v>250376</v>
      </c>
      <c r="G13" s="37">
        <f t="shared" si="2"/>
        <v>245556</v>
      </c>
      <c r="H13" s="40">
        <f t="shared" si="1"/>
        <v>4820</v>
      </c>
      <c r="K13" s="39">
        <v>2000</v>
      </c>
      <c r="L13" s="39">
        <v>1531</v>
      </c>
      <c r="M13" s="39">
        <v>1417</v>
      </c>
      <c r="N13" s="39">
        <v>1338</v>
      </c>
      <c r="O13" s="39">
        <v>1269</v>
      </c>
      <c r="P13" s="39">
        <v>2290</v>
      </c>
      <c r="Q13" s="39">
        <v>2351</v>
      </c>
      <c r="R13" s="39">
        <v>1740</v>
      </c>
      <c r="S13" s="39">
        <v>1740</v>
      </c>
      <c r="T13" s="39">
        <v>1740</v>
      </c>
      <c r="U13" s="39">
        <v>1740</v>
      </c>
      <c r="V13" s="39">
        <v>1740</v>
      </c>
      <c r="W13" s="39">
        <v>1740</v>
      </c>
      <c r="X13" s="39">
        <v>5000</v>
      </c>
      <c r="Y13" s="39">
        <v>1700</v>
      </c>
      <c r="Z13" s="39">
        <v>1000</v>
      </c>
      <c r="AA13" s="39">
        <v>1740</v>
      </c>
      <c r="AB13" s="39">
        <v>1740</v>
      </c>
      <c r="AC13" s="39">
        <v>1740</v>
      </c>
      <c r="AD13" s="39">
        <v>1740</v>
      </c>
      <c r="AE13" s="70">
        <v>2120</v>
      </c>
      <c r="AF13" s="70">
        <v>2120</v>
      </c>
      <c r="AG13" s="39">
        <v>5000</v>
      </c>
      <c r="AH13" s="70">
        <v>2120</v>
      </c>
      <c r="AI13" s="70">
        <v>2120</v>
      </c>
      <c r="AJ13" s="70">
        <v>2120</v>
      </c>
      <c r="AK13" s="70">
        <v>2120</v>
      </c>
      <c r="AL13" s="70">
        <v>2120</v>
      </c>
      <c r="AM13" s="70">
        <v>2120</v>
      </c>
      <c r="AN13" s="70">
        <v>2120</v>
      </c>
      <c r="AO13" s="39">
        <v>2420</v>
      </c>
      <c r="AP13" s="39">
        <v>10000</v>
      </c>
      <c r="AQ13" s="39">
        <v>2420</v>
      </c>
      <c r="AR13" s="39">
        <v>2420</v>
      </c>
      <c r="AS13" s="39">
        <v>2420</v>
      </c>
      <c r="AT13" s="91">
        <v>10000</v>
      </c>
      <c r="AU13" s="91">
        <v>30000</v>
      </c>
      <c r="AV13" s="39">
        <v>2420</v>
      </c>
      <c r="AW13" s="39">
        <v>2420</v>
      </c>
      <c r="AX13" s="39">
        <v>2420</v>
      </c>
      <c r="AY13" s="91">
        <v>2940</v>
      </c>
      <c r="AZ13" s="91">
        <v>2940</v>
      </c>
      <c r="BA13" s="91">
        <v>2940</v>
      </c>
      <c r="BB13" s="91">
        <v>2940</v>
      </c>
      <c r="BC13" s="91">
        <v>2940</v>
      </c>
      <c r="BD13" s="91">
        <v>2940</v>
      </c>
      <c r="BE13" s="91">
        <v>2940</v>
      </c>
      <c r="BF13" s="91">
        <v>2940</v>
      </c>
      <c r="BG13" s="91">
        <v>2940</v>
      </c>
      <c r="BH13" s="91">
        <v>2940</v>
      </c>
      <c r="BI13" s="91">
        <v>2940</v>
      </c>
      <c r="BJ13" s="91">
        <v>2940</v>
      </c>
      <c r="BK13" s="91">
        <v>2940</v>
      </c>
      <c r="BL13" s="91">
        <v>2940</v>
      </c>
      <c r="BM13" s="91">
        <v>2940</v>
      </c>
      <c r="BN13" s="91">
        <v>2940</v>
      </c>
      <c r="BO13" s="91">
        <v>2940</v>
      </c>
      <c r="BP13" s="91">
        <v>1200</v>
      </c>
      <c r="BQ13" s="91">
        <v>2940</v>
      </c>
      <c r="BR13" s="91">
        <v>2940</v>
      </c>
      <c r="BS13" s="156">
        <v>2940</v>
      </c>
      <c r="BT13" s="91">
        <v>2940</v>
      </c>
      <c r="BU13" s="91">
        <v>2940</v>
      </c>
      <c r="BV13" s="91">
        <v>3140</v>
      </c>
      <c r="BW13" s="91">
        <v>3140</v>
      </c>
      <c r="BX13" s="91">
        <v>3140</v>
      </c>
      <c r="BY13" s="91">
        <v>3140</v>
      </c>
      <c r="BZ13" s="91">
        <v>3140</v>
      </c>
      <c r="CA13" s="91">
        <v>3140</v>
      </c>
      <c r="CB13" s="91">
        <v>3140</v>
      </c>
      <c r="CC13" s="91">
        <v>3140</v>
      </c>
      <c r="CD13" s="91">
        <v>3140</v>
      </c>
      <c r="CE13" s="91">
        <v>3140</v>
      </c>
      <c r="CF13" s="91">
        <v>3140</v>
      </c>
      <c r="CG13" s="91">
        <v>3140</v>
      </c>
      <c r="CH13" s="91">
        <v>3140</v>
      </c>
      <c r="CI13" s="91">
        <v>3140</v>
      </c>
      <c r="CJ13" s="91">
        <v>3140</v>
      </c>
      <c r="CK13" s="91">
        <v>3140</v>
      </c>
      <c r="CL13" s="91">
        <v>3140</v>
      </c>
      <c r="CM13" s="91"/>
    </row>
    <row r="14" spans="1:91" ht="15" x14ac:dyDescent="0.2">
      <c r="A14" s="122">
        <v>12</v>
      </c>
      <c r="B14" s="123" t="s">
        <v>37</v>
      </c>
      <c r="C14" s="122" t="s">
        <v>103</v>
      </c>
      <c r="D14" s="41" t="s">
        <v>38</v>
      </c>
      <c r="E14" s="41">
        <v>1293</v>
      </c>
      <c r="F14" s="41">
        <f t="shared" si="0"/>
        <v>56458</v>
      </c>
      <c r="G14" s="41">
        <f t="shared" si="2"/>
        <v>56458</v>
      </c>
      <c r="H14" s="41">
        <f t="shared" si="1"/>
        <v>0</v>
      </c>
      <c r="K14" s="39">
        <v>2000</v>
      </c>
      <c r="L14" s="39">
        <v>1531</v>
      </c>
      <c r="M14" s="39">
        <v>1417</v>
      </c>
      <c r="N14" s="39">
        <v>1338</v>
      </c>
      <c r="O14" s="39">
        <v>1269</v>
      </c>
      <c r="P14" s="39">
        <v>2290</v>
      </c>
      <c r="Q14" s="39">
        <v>2351</v>
      </c>
      <c r="R14" s="39">
        <v>1740</v>
      </c>
      <c r="S14" s="39">
        <v>1740</v>
      </c>
      <c r="T14" s="39">
        <v>1740</v>
      </c>
      <c r="U14" s="39">
        <v>1740</v>
      </c>
      <c r="V14" s="39">
        <v>1740</v>
      </c>
      <c r="W14" s="39">
        <v>1740</v>
      </c>
      <c r="X14" s="39">
        <v>5000</v>
      </c>
      <c r="Y14" s="39">
        <v>1700</v>
      </c>
      <c r="Z14" s="39">
        <v>1000</v>
      </c>
      <c r="AA14" s="39">
        <v>1740</v>
      </c>
      <c r="AB14" s="39">
        <v>1740</v>
      </c>
      <c r="AC14" s="39">
        <v>1740</v>
      </c>
      <c r="AD14" s="39">
        <v>1740</v>
      </c>
      <c r="AE14" s="70">
        <v>2120</v>
      </c>
      <c r="AF14" s="70">
        <v>2120</v>
      </c>
      <c r="AG14" s="39">
        <v>5000</v>
      </c>
      <c r="AH14" s="70">
        <v>2120</v>
      </c>
      <c r="AI14" s="70">
        <v>2120</v>
      </c>
      <c r="AJ14" s="70">
        <v>2120</v>
      </c>
      <c r="AK14" s="70">
        <v>2120</v>
      </c>
      <c r="AL14" s="70">
        <v>2120</v>
      </c>
      <c r="AM14" s="70">
        <v>2120</v>
      </c>
      <c r="AN14" s="70">
        <v>2120</v>
      </c>
      <c r="AO14" s="39"/>
      <c r="AP14" s="39"/>
      <c r="AQ14" s="122">
        <v>-5018</v>
      </c>
      <c r="AR14" s="39"/>
      <c r="AS14" s="39"/>
      <c r="AT14" s="91"/>
      <c r="AU14" s="91"/>
      <c r="AV14" s="39"/>
      <c r="AW14" s="39"/>
      <c r="AX14" s="39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159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</row>
    <row r="15" spans="1:91" x14ac:dyDescent="0.15">
      <c r="A15" s="35">
        <v>13</v>
      </c>
      <c r="B15" s="36" t="s">
        <v>40</v>
      </c>
      <c r="C15" s="35" t="s">
        <v>103</v>
      </c>
      <c r="D15" s="37" t="s">
        <v>41</v>
      </c>
      <c r="E15" s="37">
        <v>1190</v>
      </c>
      <c r="F15" s="37">
        <f t="shared" si="0"/>
        <v>238859</v>
      </c>
      <c r="G15" s="37">
        <f t="shared" si="2"/>
        <v>231153</v>
      </c>
      <c r="H15" s="37">
        <f t="shared" si="1"/>
        <v>7706</v>
      </c>
      <c r="K15" s="39">
        <v>2000</v>
      </c>
      <c r="L15" s="39">
        <v>1409</v>
      </c>
      <c r="M15" s="39">
        <v>1339</v>
      </c>
      <c r="N15" s="39">
        <v>1265</v>
      </c>
      <c r="O15" s="39">
        <v>1309</v>
      </c>
      <c r="P15" s="39">
        <v>2330</v>
      </c>
      <c r="Q15" s="39">
        <v>2257</v>
      </c>
      <c r="R15" s="39">
        <v>1640</v>
      </c>
      <c r="S15" s="39">
        <v>1640</v>
      </c>
      <c r="T15" s="39">
        <v>1640</v>
      </c>
      <c r="U15" s="39">
        <v>1640</v>
      </c>
      <c r="V15" s="39">
        <v>1640</v>
      </c>
      <c r="W15" s="39">
        <v>1640</v>
      </c>
      <c r="X15" s="39">
        <v>5000</v>
      </c>
      <c r="Y15" s="39">
        <v>1700</v>
      </c>
      <c r="Z15" s="39">
        <v>1000</v>
      </c>
      <c r="AA15" s="39">
        <v>1640</v>
      </c>
      <c r="AB15" s="39">
        <v>1640</v>
      </c>
      <c r="AC15" s="39">
        <v>1640</v>
      </c>
      <c r="AD15" s="39">
        <v>1640</v>
      </c>
      <c r="AE15" s="70">
        <v>1990</v>
      </c>
      <c r="AF15" s="70">
        <v>1990</v>
      </c>
      <c r="AG15" s="39">
        <v>5000</v>
      </c>
      <c r="AH15" s="70">
        <v>1990</v>
      </c>
      <c r="AI15" s="70">
        <v>1990</v>
      </c>
      <c r="AJ15" s="70">
        <v>1990</v>
      </c>
      <c r="AK15" s="70">
        <v>1990</v>
      </c>
      <c r="AL15" s="70">
        <v>1990</v>
      </c>
      <c r="AM15" s="70">
        <v>1990</v>
      </c>
      <c r="AN15" s="70">
        <v>1990</v>
      </c>
      <c r="AO15" s="39">
        <v>2290</v>
      </c>
      <c r="AP15" s="39">
        <v>10000</v>
      </c>
      <c r="AQ15" s="39">
        <v>2290</v>
      </c>
      <c r="AR15" s="39">
        <v>2290</v>
      </c>
      <c r="AS15" s="39">
        <v>2290</v>
      </c>
      <c r="AT15" s="91">
        <v>10000</v>
      </c>
      <c r="AU15" s="91">
        <v>30000</v>
      </c>
      <c r="AV15" s="39">
        <v>2290</v>
      </c>
      <c r="AW15" s="39">
        <v>2290</v>
      </c>
      <c r="AX15" s="39">
        <v>2290</v>
      </c>
      <c r="AY15" s="91">
        <v>2790</v>
      </c>
      <c r="AZ15" s="91">
        <v>2790</v>
      </c>
      <c r="BA15" s="91">
        <v>2790</v>
      </c>
      <c r="BB15" s="91">
        <v>2790</v>
      </c>
      <c r="BC15" s="91">
        <v>2790</v>
      </c>
      <c r="BD15" s="91">
        <v>2790</v>
      </c>
      <c r="BE15" s="91">
        <v>2790</v>
      </c>
      <c r="BF15" s="91">
        <v>2790</v>
      </c>
      <c r="BG15" s="91">
        <v>2790</v>
      </c>
      <c r="BH15" s="91">
        <v>2790</v>
      </c>
      <c r="BI15" s="91">
        <v>2790</v>
      </c>
      <c r="BJ15" s="91">
        <v>2790</v>
      </c>
      <c r="BK15" s="91">
        <v>2790</v>
      </c>
      <c r="BL15" s="91">
        <v>2790</v>
      </c>
      <c r="BM15" s="91">
        <v>2790</v>
      </c>
      <c r="BN15" s="91">
        <v>2790</v>
      </c>
      <c r="BO15" s="91">
        <v>2790</v>
      </c>
      <c r="BP15" s="91">
        <v>1200</v>
      </c>
      <c r="BQ15" s="91">
        <v>2790</v>
      </c>
      <c r="BR15" s="91">
        <v>2790</v>
      </c>
      <c r="BS15" s="156">
        <v>2790</v>
      </c>
      <c r="BT15" s="91">
        <v>2790</v>
      </c>
      <c r="BU15" s="91">
        <v>2790</v>
      </c>
      <c r="BV15" s="91">
        <v>2990</v>
      </c>
      <c r="BW15" s="91">
        <v>2990</v>
      </c>
      <c r="BX15" s="91">
        <v>2990</v>
      </c>
      <c r="BY15" s="91">
        <v>2990</v>
      </c>
      <c r="BZ15" s="91">
        <v>2990</v>
      </c>
      <c r="CA15" s="91">
        <v>2990</v>
      </c>
      <c r="CB15" s="91">
        <v>2990</v>
      </c>
      <c r="CC15" s="91">
        <v>2990</v>
      </c>
      <c r="CD15" s="91">
        <v>2990</v>
      </c>
      <c r="CE15" s="91">
        <v>2990</v>
      </c>
      <c r="CF15" s="91">
        <v>2990</v>
      </c>
      <c r="CG15" s="91">
        <v>2990</v>
      </c>
      <c r="CH15" s="91">
        <v>2990</v>
      </c>
      <c r="CI15" s="91">
        <v>2990</v>
      </c>
      <c r="CJ15" s="91">
        <v>2990</v>
      </c>
      <c r="CK15" s="91">
        <v>2990</v>
      </c>
      <c r="CL15" s="91">
        <v>2990</v>
      </c>
      <c r="CM15" s="91"/>
    </row>
    <row r="16" spans="1:91" x14ac:dyDescent="0.15">
      <c r="A16" s="35">
        <v>14</v>
      </c>
      <c r="B16" s="36" t="s">
        <v>43</v>
      </c>
      <c r="C16" s="35" t="s">
        <v>103</v>
      </c>
      <c r="D16" s="37" t="s">
        <v>44</v>
      </c>
      <c r="E16" s="37">
        <v>1334</v>
      </c>
      <c r="F16" s="37">
        <f t="shared" si="0"/>
        <v>251343</v>
      </c>
      <c r="G16" s="37">
        <f t="shared" si="2"/>
        <v>251343</v>
      </c>
      <c r="H16" s="40">
        <f t="shared" si="1"/>
        <v>0</v>
      </c>
      <c r="K16" s="39">
        <v>2000</v>
      </c>
      <c r="L16" s="39">
        <v>1579</v>
      </c>
      <c r="M16" s="39">
        <v>1448</v>
      </c>
      <c r="N16" s="39">
        <v>1368</v>
      </c>
      <c r="O16" s="39">
        <v>1309</v>
      </c>
      <c r="P16" s="39">
        <v>2330</v>
      </c>
      <c r="Q16" s="39">
        <v>2389</v>
      </c>
      <c r="R16" s="39">
        <v>1780</v>
      </c>
      <c r="S16" s="39">
        <v>1780</v>
      </c>
      <c r="T16" s="39">
        <v>1780</v>
      </c>
      <c r="U16" s="39">
        <v>1780</v>
      </c>
      <c r="V16" s="39">
        <v>1780</v>
      </c>
      <c r="W16" s="39">
        <v>1780</v>
      </c>
      <c r="X16" s="39">
        <v>5000</v>
      </c>
      <c r="Y16" s="39">
        <v>1700</v>
      </c>
      <c r="Z16" s="39">
        <v>1000</v>
      </c>
      <c r="AA16" s="39">
        <v>1780</v>
      </c>
      <c r="AB16" s="39">
        <v>1780</v>
      </c>
      <c r="AC16" s="39">
        <v>1780</v>
      </c>
      <c r="AD16" s="39">
        <v>1780</v>
      </c>
      <c r="AE16" s="70">
        <v>2170</v>
      </c>
      <c r="AF16" s="70">
        <v>2170</v>
      </c>
      <c r="AG16" s="39">
        <v>5000</v>
      </c>
      <c r="AH16" s="70">
        <v>2170</v>
      </c>
      <c r="AI16" s="70">
        <v>2170</v>
      </c>
      <c r="AJ16" s="70">
        <v>2170</v>
      </c>
      <c r="AK16" s="70">
        <v>2170</v>
      </c>
      <c r="AL16" s="70">
        <v>2170</v>
      </c>
      <c r="AM16" s="70">
        <v>2170</v>
      </c>
      <c r="AN16" s="70">
        <v>2170</v>
      </c>
      <c r="AO16" s="39">
        <v>2470</v>
      </c>
      <c r="AP16" s="39">
        <v>10000</v>
      </c>
      <c r="AQ16" s="39">
        <v>2470</v>
      </c>
      <c r="AR16" s="39">
        <v>2470</v>
      </c>
      <c r="AS16" s="39">
        <v>2470</v>
      </c>
      <c r="AT16" s="91">
        <v>10000</v>
      </c>
      <c r="AU16" s="91">
        <v>30000</v>
      </c>
      <c r="AV16" s="39">
        <v>2470</v>
      </c>
      <c r="AW16" s="39">
        <v>2470</v>
      </c>
      <c r="AX16" s="39">
        <v>2470</v>
      </c>
      <c r="AY16" s="91">
        <v>3000</v>
      </c>
      <c r="AZ16" s="91">
        <v>3000</v>
      </c>
      <c r="BA16" s="91">
        <v>3000</v>
      </c>
      <c r="BB16" s="91">
        <v>3000</v>
      </c>
      <c r="BC16" s="91">
        <v>3000</v>
      </c>
      <c r="BD16" s="91">
        <v>3000</v>
      </c>
      <c r="BE16" s="91">
        <v>3000</v>
      </c>
      <c r="BF16" s="91">
        <v>3000</v>
      </c>
      <c r="BG16" s="91">
        <v>3000</v>
      </c>
      <c r="BH16" s="91">
        <v>3000</v>
      </c>
      <c r="BI16" s="91">
        <v>3000</v>
      </c>
      <c r="BJ16" s="91">
        <v>3000</v>
      </c>
      <c r="BK16" s="91">
        <v>3000</v>
      </c>
      <c r="BL16" s="91">
        <v>3000</v>
      </c>
      <c r="BM16" s="91">
        <v>3000</v>
      </c>
      <c r="BN16" s="91">
        <v>3000</v>
      </c>
      <c r="BO16" s="91">
        <v>3000</v>
      </c>
      <c r="BP16" s="91">
        <v>1200</v>
      </c>
      <c r="BQ16" s="91">
        <v>3000</v>
      </c>
      <c r="BR16" s="91">
        <v>3000</v>
      </c>
      <c r="BS16" s="156">
        <v>3000</v>
      </c>
      <c r="BT16" s="91">
        <v>3000</v>
      </c>
      <c r="BU16" s="91">
        <v>3000</v>
      </c>
      <c r="BV16" s="91">
        <v>3200</v>
      </c>
      <c r="BW16" s="91">
        <v>3200</v>
      </c>
      <c r="BX16" s="91">
        <v>3200</v>
      </c>
      <c r="BY16" s="91">
        <v>3200</v>
      </c>
      <c r="BZ16" s="91">
        <v>3200</v>
      </c>
      <c r="CA16" s="91">
        <v>3200</v>
      </c>
      <c r="CB16" s="91">
        <v>3200</v>
      </c>
      <c r="CC16" s="91">
        <v>3200</v>
      </c>
      <c r="CD16" s="91">
        <v>3200</v>
      </c>
      <c r="CE16" s="91">
        <v>3200</v>
      </c>
      <c r="CF16" s="91">
        <v>3200</v>
      </c>
      <c r="CG16" s="91">
        <v>3200</v>
      </c>
      <c r="CH16" s="91">
        <v>3200</v>
      </c>
      <c r="CI16" s="91">
        <v>3200</v>
      </c>
      <c r="CJ16" s="91">
        <v>3200</v>
      </c>
      <c r="CK16" s="91">
        <v>3200</v>
      </c>
      <c r="CL16" s="91">
        <v>3200</v>
      </c>
      <c r="CM16" s="91"/>
    </row>
    <row r="17" spans="1:91" x14ac:dyDescent="0.15">
      <c r="A17" s="35">
        <v>15</v>
      </c>
      <c r="B17" s="36" t="s">
        <v>46</v>
      </c>
      <c r="C17" s="35" t="s">
        <v>103</v>
      </c>
      <c r="D17" s="37" t="s">
        <v>47</v>
      </c>
      <c r="E17" s="37">
        <v>1334</v>
      </c>
      <c r="F17" s="37">
        <f t="shared" si="0"/>
        <v>251343</v>
      </c>
      <c r="G17" s="37">
        <f t="shared" si="2"/>
        <v>251715</v>
      </c>
      <c r="H17" s="40">
        <f t="shared" si="1"/>
        <v>-372</v>
      </c>
      <c r="K17" s="39">
        <v>2000</v>
      </c>
      <c r="L17" s="39">
        <v>1579</v>
      </c>
      <c r="M17" s="39">
        <v>1448</v>
      </c>
      <c r="N17" s="39">
        <v>1368</v>
      </c>
      <c r="O17" s="39">
        <v>1309</v>
      </c>
      <c r="P17" s="39">
        <v>2330</v>
      </c>
      <c r="Q17" s="39">
        <v>2389</v>
      </c>
      <c r="R17" s="39">
        <v>1780</v>
      </c>
      <c r="S17" s="39">
        <v>1780</v>
      </c>
      <c r="T17" s="39">
        <v>1780</v>
      </c>
      <c r="U17" s="39">
        <v>1780</v>
      </c>
      <c r="V17" s="39">
        <v>1780</v>
      </c>
      <c r="W17" s="39">
        <v>1780</v>
      </c>
      <c r="X17" s="39">
        <v>5000</v>
      </c>
      <c r="Y17" s="39">
        <v>1700</v>
      </c>
      <c r="Z17" s="39">
        <v>1000</v>
      </c>
      <c r="AA17" s="39">
        <v>1780</v>
      </c>
      <c r="AB17" s="39">
        <v>1780</v>
      </c>
      <c r="AC17" s="39">
        <v>1780</v>
      </c>
      <c r="AD17" s="39">
        <v>1780</v>
      </c>
      <c r="AE17" s="70">
        <v>2170</v>
      </c>
      <c r="AF17" s="70">
        <v>2170</v>
      </c>
      <c r="AG17" s="39">
        <v>5000</v>
      </c>
      <c r="AH17" s="70">
        <v>2170</v>
      </c>
      <c r="AI17" s="70">
        <v>2170</v>
      </c>
      <c r="AJ17" s="70">
        <v>2170</v>
      </c>
      <c r="AK17" s="70">
        <v>2170</v>
      </c>
      <c r="AL17" s="70">
        <v>2170</v>
      </c>
      <c r="AM17" s="70">
        <v>2170</v>
      </c>
      <c r="AN17" s="70">
        <v>2170</v>
      </c>
      <c r="AO17" s="39">
        <v>2470</v>
      </c>
      <c r="AP17" s="39">
        <v>10000</v>
      </c>
      <c r="AQ17" s="39">
        <v>2470</v>
      </c>
      <c r="AR17" s="39">
        <v>2470</v>
      </c>
      <c r="AS17" s="39">
        <v>2470</v>
      </c>
      <c r="AT17" s="91">
        <v>10000</v>
      </c>
      <c r="AU17" s="91">
        <v>30000</v>
      </c>
      <c r="AV17" s="39">
        <v>2470</v>
      </c>
      <c r="AW17" s="39">
        <v>2470</v>
      </c>
      <c r="AX17" s="39">
        <v>2470</v>
      </c>
      <c r="AY17" s="91">
        <v>3000</v>
      </c>
      <c r="AZ17" s="91">
        <v>3000</v>
      </c>
      <c r="BA17" s="91">
        <v>3000</v>
      </c>
      <c r="BB17" s="91">
        <v>3000</v>
      </c>
      <c r="BC17" s="91">
        <v>3000</v>
      </c>
      <c r="BD17" s="91">
        <v>3000</v>
      </c>
      <c r="BE17" s="91">
        <v>3000</v>
      </c>
      <c r="BF17" s="91">
        <v>3000</v>
      </c>
      <c r="BG17" s="91">
        <v>3000</v>
      </c>
      <c r="BH17" s="91">
        <v>3000</v>
      </c>
      <c r="BI17" s="91">
        <v>3000</v>
      </c>
      <c r="BJ17" s="91">
        <v>3000</v>
      </c>
      <c r="BK17" s="91">
        <v>3000</v>
      </c>
      <c r="BL17" s="91">
        <v>3000</v>
      </c>
      <c r="BM17" s="91">
        <v>3000</v>
      </c>
      <c r="BN17" s="91">
        <v>3000</v>
      </c>
      <c r="BO17" s="91">
        <v>3000</v>
      </c>
      <c r="BP17" s="91">
        <v>1200</v>
      </c>
      <c r="BQ17" s="91">
        <v>3000</v>
      </c>
      <c r="BR17" s="91">
        <v>3000</v>
      </c>
      <c r="BS17" s="156">
        <v>3000</v>
      </c>
      <c r="BT17" s="91">
        <v>3000</v>
      </c>
      <c r="BU17" s="91">
        <v>3000</v>
      </c>
      <c r="BV17" s="91">
        <v>3200</v>
      </c>
      <c r="BW17" s="91">
        <v>3200</v>
      </c>
      <c r="BX17" s="91">
        <v>3200</v>
      </c>
      <c r="BY17" s="91">
        <v>3200</v>
      </c>
      <c r="BZ17" s="91">
        <v>3200</v>
      </c>
      <c r="CA17" s="91">
        <v>3200</v>
      </c>
      <c r="CB17" s="91">
        <v>3200</v>
      </c>
      <c r="CC17" s="91">
        <v>3200</v>
      </c>
      <c r="CD17" s="91">
        <v>3200</v>
      </c>
      <c r="CE17" s="91">
        <v>3200</v>
      </c>
      <c r="CF17" s="91">
        <v>3200</v>
      </c>
      <c r="CG17" s="91">
        <v>3200</v>
      </c>
      <c r="CH17" s="91">
        <v>3200</v>
      </c>
      <c r="CI17" s="91">
        <v>3200</v>
      </c>
      <c r="CJ17" s="91">
        <v>3200</v>
      </c>
      <c r="CK17" s="91">
        <v>3200</v>
      </c>
      <c r="CL17" s="91">
        <v>3200</v>
      </c>
      <c r="CM17" s="91"/>
    </row>
    <row r="18" spans="1:91" x14ac:dyDescent="0.15">
      <c r="A18" s="35">
        <v>16</v>
      </c>
      <c r="B18" s="36" t="s">
        <v>49</v>
      </c>
      <c r="C18" s="35" t="s">
        <v>103</v>
      </c>
      <c r="D18" s="37" t="s">
        <v>50</v>
      </c>
      <c r="E18" s="37">
        <v>1334</v>
      </c>
      <c r="F18" s="37">
        <f t="shared" si="0"/>
        <v>251643</v>
      </c>
      <c r="G18" s="37">
        <f t="shared" si="2"/>
        <v>248443</v>
      </c>
      <c r="H18" s="40">
        <f t="shared" si="1"/>
        <v>3200</v>
      </c>
      <c r="K18" s="39">
        <v>2000</v>
      </c>
      <c r="L18" s="39">
        <v>1579</v>
      </c>
      <c r="M18" s="39">
        <v>1448</v>
      </c>
      <c r="N18" s="39">
        <v>1368</v>
      </c>
      <c r="O18" s="39">
        <v>1309</v>
      </c>
      <c r="P18" s="39">
        <v>2330</v>
      </c>
      <c r="Q18" s="39">
        <v>2389</v>
      </c>
      <c r="R18" s="39">
        <v>1780</v>
      </c>
      <c r="S18" s="39">
        <v>1780</v>
      </c>
      <c r="T18" s="39">
        <v>1780</v>
      </c>
      <c r="U18" s="39">
        <v>1780</v>
      </c>
      <c r="V18" s="39">
        <v>1780</v>
      </c>
      <c r="W18" s="39">
        <v>1780</v>
      </c>
      <c r="X18" s="39">
        <v>5000</v>
      </c>
      <c r="Y18" s="39">
        <v>1700</v>
      </c>
      <c r="Z18" s="39">
        <v>1000</v>
      </c>
      <c r="AA18" s="39">
        <v>1780</v>
      </c>
      <c r="AB18" s="39">
        <v>1780</v>
      </c>
      <c r="AC18" s="39">
        <v>1780</v>
      </c>
      <c r="AD18" s="39">
        <v>1780</v>
      </c>
      <c r="AE18" s="70">
        <v>2170</v>
      </c>
      <c r="AF18" s="70">
        <v>2170</v>
      </c>
      <c r="AG18" s="39">
        <v>5000</v>
      </c>
      <c r="AH18" s="70">
        <v>2170</v>
      </c>
      <c r="AI18" s="70">
        <v>2170</v>
      </c>
      <c r="AJ18" s="70">
        <v>2170</v>
      </c>
      <c r="AK18" s="70">
        <v>2170</v>
      </c>
      <c r="AL18" s="70">
        <v>2170</v>
      </c>
      <c r="AM18" s="70">
        <v>2170</v>
      </c>
      <c r="AN18" s="70">
        <v>2170</v>
      </c>
      <c r="AO18" s="39">
        <v>2470</v>
      </c>
      <c r="AP18" s="39">
        <v>10000</v>
      </c>
      <c r="AQ18" s="39">
        <v>2470</v>
      </c>
      <c r="AR18" s="39">
        <v>2470</v>
      </c>
      <c r="AS18" s="39">
        <v>2470</v>
      </c>
      <c r="AT18" s="91">
        <v>10000</v>
      </c>
      <c r="AU18" s="91">
        <v>30000</v>
      </c>
      <c r="AV18" s="39">
        <v>2470</v>
      </c>
      <c r="AW18" s="39">
        <v>2470</v>
      </c>
      <c r="AX18" s="39">
        <v>2470</v>
      </c>
      <c r="AY18" s="91">
        <v>3000</v>
      </c>
      <c r="AZ18" s="91">
        <v>3000</v>
      </c>
      <c r="BA18" s="91">
        <v>3000</v>
      </c>
      <c r="BB18" s="91">
        <v>3000</v>
      </c>
      <c r="BC18" s="91">
        <v>3000</v>
      </c>
      <c r="BD18" s="91">
        <v>3000</v>
      </c>
      <c r="BE18" s="91">
        <v>3000</v>
      </c>
      <c r="BF18" s="91">
        <v>3000</v>
      </c>
      <c r="BG18" s="91">
        <v>3000</v>
      </c>
      <c r="BH18" s="91">
        <v>3000</v>
      </c>
      <c r="BI18" s="91">
        <v>3000</v>
      </c>
      <c r="BJ18" s="91">
        <v>3000</v>
      </c>
      <c r="BK18" s="91">
        <v>3000</v>
      </c>
      <c r="BL18" s="91">
        <v>3000</v>
      </c>
      <c r="BM18" s="91">
        <v>3000</v>
      </c>
      <c r="BN18" s="91">
        <v>3000</v>
      </c>
      <c r="BO18" s="91">
        <v>3000</v>
      </c>
      <c r="BP18" s="91">
        <v>1200</v>
      </c>
      <c r="BQ18" s="91">
        <v>3000</v>
      </c>
      <c r="BR18" s="91">
        <v>3000</v>
      </c>
      <c r="BS18" s="156">
        <v>3000</v>
      </c>
      <c r="BT18" s="91">
        <v>3000</v>
      </c>
      <c r="BU18" s="91">
        <v>3000</v>
      </c>
      <c r="BV18" s="91">
        <v>3200</v>
      </c>
      <c r="BW18" s="91">
        <v>3200</v>
      </c>
      <c r="BX18" s="91">
        <v>3200</v>
      </c>
      <c r="BY18" s="91">
        <v>3200</v>
      </c>
      <c r="BZ18" s="91">
        <v>3200</v>
      </c>
      <c r="CA18" s="91">
        <v>3200</v>
      </c>
      <c r="CB18" s="91">
        <v>3200</v>
      </c>
      <c r="CC18" s="91">
        <v>3200</v>
      </c>
      <c r="CD18" s="91">
        <v>3200</v>
      </c>
      <c r="CE18" s="91">
        <v>3200</v>
      </c>
      <c r="CF18" s="91">
        <v>3200</v>
      </c>
      <c r="CG18" s="91">
        <v>3200</v>
      </c>
      <c r="CH18" s="91">
        <v>3200</v>
      </c>
      <c r="CI18" s="91">
        <v>3200</v>
      </c>
      <c r="CJ18" s="91">
        <v>3200</v>
      </c>
      <c r="CK18" s="91">
        <v>3200</v>
      </c>
      <c r="CL18" s="91">
        <v>3200</v>
      </c>
      <c r="CM18" s="91"/>
    </row>
    <row r="19" spans="1:91" x14ac:dyDescent="0.15">
      <c r="A19" s="35">
        <v>17</v>
      </c>
      <c r="B19" s="36" t="s">
        <v>51</v>
      </c>
      <c r="C19" s="35" t="s">
        <v>104</v>
      </c>
      <c r="D19" s="37" t="s">
        <v>115</v>
      </c>
      <c r="E19" s="37">
        <v>1840</v>
      </c>
      <c r="F19" s="37">
        <f t="shared" si="0"/>
        <v>272000</v>
      </c>
      <c r="G19" s="37">
        <f t="shared" si="2"/>
        <v>272200</v>
      </c>
      <c r="H19" s="40">
        <f t="shared" si="1"/>
        <v>-200</v>
      </c>
      <c r="K19" s="39">
        <v>2000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5000</v>
      </c>
      <c r="Y19" s="39">
        <v>1700</v>
      </c>
      <c r="Z19" s="39">
        <v>1000</v>
      </c>
      <c r="AA19" s="39">
        <v>2290</v>
      </c>
      <c r="AB19" s="39">
        <v>2290</v>
      </c>
      <c r="AC19" s="39">
        <v>2290</v>
      </c>
      <c r="AD19" s="39">
        <v>2290</v>
      </c>
      <c r="AE19" s="70">
        <v>2800</v>
      </c>
      <c r="AF19" s="70">
        <v>2800</v>
      </c>
      <c r="AG19" s="39">
        <v>5000</v>
      </c>
      <c r="AH19" s="70">
        <v>2800</v>
      </c>
      <c r="AI19" s="70">
        <v>2800</v>
      </c>
      <c r="AJ19" s="70">
        <v>2800</v>
      </c>
      <c r="AK19" s="70">
        <v>2800</v>
      </c>
      <c r="AL19" s="70">
        <v>2800</v>
      </c>
      <c r="AM19" s="70">
        <v>2800</v>
      </c>
      <c r="AN19" s="70">
        <v>2800</v>
      </c>
      <c r="AO19" s="39">
        <v>3100</v>
      </c>
      <c r="AP19" s="39">
        <v>10000</v>
      </c>
      <c r="AQ19" s="39">
        <v>3100</v>
      </c>
      <c r="AR19" s="39">
        <v>3100</v>
      </c>
      <c r="AS19" s="39">
        <v>3100</v>
      </c>
      <c r="AT19" s="91">
        <v>10000</v>
      </c>
      <c r="AU19" s="91">
        <v>30000</v>
      </c>
      <c r="AV19" s="39">
        <v>3100</v>
      </c>
      <c r="AW19" s="39">
        <v>3100</v>
      </c>
      <c r="AX19" s="39">
        <v>3100</v>
      </c>
      <c r="AY19" s="91">
        <v>3760</v>
      </c>
      <c r="AZ19" s="91">
        <v>3760</v>
      </c>
      <c r="BA19" s="91">
        <v>3760</v>
      </c>
      <c r="BB19" s="91">
        <v>3760</v>
      </c>
      <c r="BC19" s="91">
        <v>3760</v>
      </c>
      <c r="BD19" s="91">
        <v>3760</v>
      </c>
      <c r="BE19" s="91">
        <v>3760</v>
      </c>
      <c r="BF19" s="91">
        <v>3760</v>
      </c>
      <c r="BG19" s="91">
        <v>3760</v>
      </c>
      <c r="BH19" s="91">
        <v>3760</v>
      </c>
      <c r="BI19" s="91">
        <v>3760</v>
      </c>
      <c r="BJ19" s="91">
        <v>3760</v>
      </c>
      <c r="BK19" s="91">
        <v>3760</v>
      </c>
      <c r="BL19" s="91">
        <v>3760</v>
      </c>
      <c r="BM19" s="91">
        <v>3760</v>
      </c>
      <c r="BN19" s="91">
        <v>3760</v>
      </c>
      <c r="BO19" s="91">
        <v>3760</v>
      </c>
      <c r="BP19" s="91">
        <v>1200</v>
      </c>
      <c r="BQ19" s="91">
        <v>3760</v>
      </c>
      <c r="BR19" s="91">
        <v>3760</v>
      </c>
      <c r="BS19" s="156">
        <v>3760</v>
      </c>
      <c r="BT19" s="91">
        <v>3760</v>
      </c>
      <c r="BU19" s="91">
        <v>3760</v>
      </c>
      <c r="BV19" s="91">
        <v>3960</v>
      </c>
      <c r="BW19" s="91">
        <v>3960</v>
      </c>
      <c r="BX19" s="91">
        <v>3960</v>
      </c>
      <c r="BY19" s="91">
        <v>3960</v>
      </c>
      <c r="BZ19" s="91">
        <v>3960</v>
      </c>
      <c r="CA19" s="91">
        <v>3960</v>
      </c>
      <c r="CB19" s="91">
        <v>3960</v>
      </c>
      <c r="CC19" s="91">
        <v>3960</v>
      </c>
      <c r="CD19" s="91">
        <v>3960</v>
      </c>
      <c r="CE19" s="91">
        <v>3960</v>
      </c>
      <c r="CF19" s="91">
        <v>3960</v>
      </c>
      <c r="CG19" s="91">
        <v>3960</v>
      </c>
      <c r="CH19" s="91">
        <v>3960</v>
      </c>
      <c r="CI19" s="91">
        <v>3960</v>
      </c>
      <c r="CJ19" s="91">
        <v>3960</v>
      </c>
      <c r="CK19" s="91">
        <v>3960</v>
      </c>
      <c r="CL19" s="91">
        <v>3960</v>
      </c>
      <c r="CM19" s="91"/>
    </row>
    <row r="20" spans="1:91" x14ac:dyDescent="0.15">
      <c r="A20" s="35">
        <v>18</v>
      </c>
      <c r="B20" s="36" t="s">
        <v>53</v>
      </c>
      <c r="C20" s="35" t="s">
        <v>104</v>
      </c>
      <c r="D20" s="37" t="s">
        <v>54</v>
      </c>
      <c r="E20" s="37">
        <v>1840</v>
      </c>
      <c r="F20" s="37">
        <f t="shared" si="0"/>
        <v>298950</v>
      </c>
      <c r="G20" s="37">
        <f t="shared" si="2"/>
        <v>293180</v>
      </c>
      <c r="H20" s="37">
        <f t="shared" si="1"/>
        <v>5770</v>
      </c>
      <c r="K20" s="39">
        <v>2000</v>
      </c>
      <c r="L20" s="39">
        <v>2178</v>
      </c>
      <c r="M20" s="39">
        <v>1830</v>
      </c>
      <c r="N20" s="39">
        <v>1728</v>
      </c>
      <c r="O20" s="39">
        <v>1806</v>
      </c>
      <c r="P20" s="39">
        <v>2816</v>
      </c>
      <c r="Q20" s="39">
        <v>2852</v>
      </c>
      <c r="R20" s="39">
        <v>2290</v>
      </c>
      <c r="S20" s="39">
        <v>2290</v>
      </c>
      <c r="T20" s="39">
        <v>2290</v>
      </c>
      <c r="U20" s="39">
        <v>2290</v>
      </c>
      <c r="V20" s="39">
        <v>2290</v>
      </c>
      <c r="W20" s="39">
        <v>2290</v>
      </c>
      <c r="X20" s="39">
        <v>5000</v>
      </c>
      <c r="Y20" s="39">
        <v>1700</v>
      </c>
      <c r="Z20" s="39">
        <v>1000</v>
      </c>
      <c r="AA20" s="39">
        <v>2290</v>
      </c>
      <c r="AB20" s="39">
        <v>2290</v>
      </c>
      <c r="AC20" s="39">
        <v>2290</v>
      </c>
      <c r="AD20" s="39">
        <v>2290</v>
      </c>
      <c r="AE20" s="70">
        <v>2800</v>
      </c>
      <c r="AF20" s="70">
        <v>2800</v>
      </c>
      <c r="AG20" s="39">
        <v>5000</v>
      </c>
      <c r="AH20" s="70">
        <v>2800</v>
      </c>
      <c r="AI20" s="70">
        <v>2800</v>
      </c>
      <c r="AJ20" s="70">
        <v>2800</v>
      </c>
      <c r="AK20" s="70">
        <v>2800</v>
      </c>
      <c r="AL20" s="70">
        <v>2800</v>
      </c>
      <c r="AM20" s="70">
        <v>2800</v>
      </c>
      <c r="AN20" s="70">
        <v>2800</v>
      </c>
      <c r="AO20" s="39">
        <v>3100</v>
      </c>
      <c r="AP20" s="39">
        <v>10000</v>
      </c>
      <c r="AQ20" s="39">
        <v>3100</v>
      </c>
      <c r="AR20" s="39">
        <v>3100</v>
      </c>
      <c r="AS20" s="39">
        <v>3100</v>
      </c>
      <c r="AT20" s="91">
        <v>10000</v>
      </c>
      <c r="AU20" s="91">
        <v>30000</v>
      </c>
      <c r="AV20" s="39">
        <v>3100</v>
      </c>
      <c r="AW20" s="39">
        <v>3100</v>
      </c>
      <c r="AX20" s="39">
        <v>3100</v>
      </c>
      <c r="AY20" s="91">
        <v>3760</v>
      </c>
      <c r="AZ20" s="91">
        <v>3760</v>
      </c>
      <c r="BA20" s="91">
        <v>3760</v>
      </c>
      <c r="BB20" s="91">
        <v>3760</v>
      </c>
      <c r="BC20" s="91">
        <v>3760</v>
      </c>
      <c r="BD20" s="91">
        <v>3760</v>
      </c>
      <c r="BE20" s="91">
        <v>3760</v>
      </c>
      <c r="BF20" s="91">
        <v>3760</v>
      </c>
      <c r="BG20" s="91">
        <v>3760</v>
      </c>
      <c r="BH20" s="91">
        <v>3760</v>
      </c>
      <c r="BI20" s="91">
        <v>3760</v>
      </c>
      <c r="BJ20" s="91">
        <v>3760</v>
      </c>
      <c r="BK20" s="91">
        <v>3760</v>
      </c>
      <c r="BL20" s="91">
        <v>3760</v>
      </c>
      <c r="BM20" s="91">
        <v>3760</v>
      </c>
      <c r="BN20" s="91">
        <v>3760</v>
      </c>
      <c r="BO20" s="91">
        <v>3760</v>
      </c>
      <c r="BP20" s="91">
        <v>1200</v>
      </c>
      <c r="BQ20" s="91">
        <v>3760</v>
      </c>
      <c r="BR20" s="91">
        <v>3760</v>
      </c>
      <c r="BS20" s="156">
        <v>3760</v>
      </c>
      <c r="BT20" s="91">
        <v>3760</v>
      </c>
      <c r="BU20" s="91">
        <v>3760</v>
      </c>
      <c r="BV20" s="91">
        <v>3960</v>
      </c>
      <c r="BW20" s="91">
        <v>3960</v>
      </c>
      <c r="BX20" s="91">
        <v>3960</v>
      </c>
      <c r="BY20" s="91">
        <v>3960</v>
      </c>
      <c r="BZ20" s="91">
        <v>3960</v>
      </c>
      <c r="CA20" s="91">
        <v>3960</v>
      </c>
      <c r="CB20" s="91">
        <v>3960</v>
      </c>
      <c r="CC20" s="91">
        <v>3960</v>
      </c>
      <c r="CD20" s="91">
        <v>3960</v>
      </c>
      <c r="CE20" s="91">
        <v>3960</v>
      </c>
      <c r="CF20" s="91">
        <v>3960</v>
      </c>
      <c r="CG20" s="91">
        <v>3960</v>
      </c>
      <c r="CH20" s="91">
        <v>3960</v>
      </c>
      <c r="CI20" s="91">
        <v>3960</v>
      </c>
      <c r="CJ20" s="91">
        <v>3960</v>
      </c>
      <c r="CK20" s="91">
        <v>3960</v>
      </c>
      <c r="CL20" s="91">
        <v>3960</v>
      </c>
      <c r="CM20" s="91"/>
    </row>
    <row r="21" spans="1:91" x14ac:dyDescent="0.15">
      <c r="A21" s="35">
        <v>19</v>
      </c>
      <c r="B21" s="36" t="s">
        <v>56</v>
      </c>
      <c r="C21" s="35" t="s">
        <v>104</v>
      </c>
      <c r="D21" s="37" t="s">
        <v>57</v>
      </c>
      <c r="E21" s="37">
        <v>1840</v>
      </c>
      <c r="F21" s="37">
        <f t="shared" si="0"/>
        <v>298950</v>
      </c>
      <c r="G21" s="37">
        <f t="shared" si="2"/>
        <v>293490</v>
      </c>
      <c r="H21" s="37">
        <f t="shared" si="1"/>
        <v>5460</v>
      </c>
      <c r="K21" s="39">
        <v>2000</v>
      </c>
      <c r="L21" s="39">
        <v>2178</v>
      </c>
      <c r="M21" s="39">
        <v>1830</v>
      </c>
      <c r="N21" s="39">
        <v>1728</v>
      </c>
      <c r="O21" s="39">
        <v>1806</v>
      </c>
      <c r="P21" s="39">
        <v>2816</v>
      </c>
      <c r="Q21" s="39">
        <v>2852</v>
      </c>
      <c r="R21" s="39">
        <v>2290</v>
      </c>
      <c r="S21" s="39">
        <v>2290</v>
      </c>
      <c r="T21" s="39">
        <v>2290</v>
      </c>
      <c r="U21" s="39">
        <v>2290</v>
      </c>
      <c r="V21" s="39">
        <v>2290</v>
      </c>
      <c r="W21" s="39">
        <v>2290</v>
      </c>
      <c r="X21" s="39">
        <v>5000</v>
      </c>
      <c r="Y21" s="39">
        <v>1700</v>
      </c>
      <c r="Z21" s="39">
        <v>1000</v>
      </c>
      <c r="AA21" s="39">
        <v>2290</v>
      </c>
      <c r="AB21" s="39">
        <v>2290</v>
      </c>
      <c r="AC21" s="39">
        <v>2290</v>
      </c>
      <c r="AD21" s="39">
        <v>2290</v>
      </c>
      <c r="AE21" s="70">
        <v>2800</v>
      </c>
      <c r="AF21" s="70">
        <v>2800</v>
      </c>
      <c r="AG21" s="39">
        <v>5000</v>
      </c>
      <c r="AH21" s="70">
        <v>2800</v>
      </c>
      <c r="AI21" s="70">
        <v>2800</v>
      </c>
      <c r="AJ21" s="70">
        <v>2800</v>
      </c>
      <c r="AK21" s="70">
        <v>2800</v>
      </c>
      <c r="AL21" s="70">
        <v>2800</v>
      </c>
      <c r="AM21" s="70">
        <v>2800</v>
      </c>
      <c r="AN21" s="70">
        <v>2800</v>
      </c>
      <c r="AO21" s="39">
        <v>3100</v>
      </c>
      <c r="AP21" s="39">
        <v>10000</v>
      </c>
      <c r="AQ21" s="39">
        <v>3100</v>
      </c>
      <c r="AR21" s="39">
        <v>3100</v>
      </c>
      <c r="AS21" s="39">
        <v>3100</v>
      </c>
      <c r="AT21" s="91">
        <v>10000</v>
      </c>
      <c r="AU21" s="91">
        <v>30000</v>
      </c>
      <c r="AV21" s="39">
        <v>3100</v>
      </c>
      <c r="AW21" s="39">
        <v>3100</v>
      </c>
      <c r="AX21" s="39">
        <v>3100</v>
      </c>
      <c r="AY21" s="91">
        <v>3760</v>
      </c>
      <c r="AZ21" s="91">
        <v>3760</v>
      </c>
      <c r="BA21" s="91">
        <v>3760</v>
      </c>
      <c r="BB21" s="91">
        <v>3760</v>
      </c>
      <c r="BC21" s="91">
        <v>3760</v>
      </c>
      <c r="BD21" s="91">
        <v>3760</v>
      </c>
      <c r="BE21" s="91">
        <v>3760</v>
      </c>
      <c r="BF21" s="91">
        <v>3760</v>
      </c>
      <c r="BG21" s="91">
        <v>3760</v>
      </c>
      <c r="BH21" s="91">
        <v>3760</v>
      </c>
      <c r="BI21" s="91">
        <v>3760</v>
      </c>
      <c r="BJ21" s="91">
        <v>3760</v>
      </c>
      <c r="BK21" s="91">
        <v>3760</v>
      </c>
      <c r="BL21" s="91">
        <v>3760</v>
      </c>
      <c r="BM21" s="91">
        <v>3760</v>
      </c>
      <c r="BN21" s="91">
        <v>3760</v>
      </c>
      <c r="BO21" s="91">
        <v>3760</v>
      </c>
      <c r="BP21" s="91">
        <v>1200</v>
      </c>
      <c r="BQ21" s="91">
        <v>3760</v>
      </c>
      <c r="BR21" s="91">
        <v>3760</v>
      </c>
      <c r="BS21" s="156">
        <v>3760</v>
      </c>
      <c r="BT21" s="91">
        <v>3760</v>
      </c>
      <c r="BU21" s="91">
        <v>3760</v>
      </c>
      <c r="BV21" s="91">
        <v>3960</v>
      </c>
      <c r="BW21" s="91">
        <v>3960</v>
      </c>
      <c r="BX21" s="91">
        <v>3960</v>
      </c>
      <c r="BY21" s="91">
        <v>3960</v>
      </c>
      <c r="BZ21" s="91">
        <v>3960</v>
      </c>
      <c r="CA21" s="91">
        <v>3960</v>
      </c>
      <c r="CB21" s="91">
        <v>3960</v>
      </c>
      <c r="CC21" s="91">
        <v>3960</v>
      </c>
      <c r="CD21" s="91">
        <v>3960</v>
      </c>
      <c r="CE21" s="91">
        <v>3960</v>
      </c>
      <c r="CF21" s="91">
        <v>3960</v>
      </c>
      <c r="CG21" s="91">
        <v>3960</v>
      </c>
      <c r="CH21" s="91">
        <v>3960</v>
      </c>
      <c r="CI21" s="91">
        <v>3960</v>
      </c>
      <c r="CJ21" s="91">
        <v>3960</v>
      </c>
      <c r="CK21" s="91">
        <v>3960</v>
      </c>
      <c r="CL21" s="91">
        <v>3960</v>
      </c>
      <c r="CM21" s="91"/>
    </row>
    <row r="22" spans="1:91" x14ac:dyDescent="0.15">
      <c r="A22" s="42">
        <v>20</v>
      </c>
      <c r="B22" s="43" t="s">
        <v>59</v>
      </c>
      <c r="C22" s="42" t="s">
        <v>104</v>
      </c>
      <c r="D22" s="37" t="s">
        <v>60</v>
      </c>
      <c r="E22" s="37">
        <v>1840</v>
      </c>
      <c r="F22" s="37">
        <f t="shared" si="0"/>
        <v>298950</v>
      </c>
      <c r="G22" s="37">
        <f t="shared" si="2"/>
        <v>299960</v>
      </c>
      <c r="H22" s="37">
        <f t="shared" si="1"/>
        <v>-1010</v>
      </c>
      <c r="K22" s="39">
        <v>2000</v>
      </c>
      <c r="L22" s="39">
        <v>2178</v>
      </c>
      <c r="M22" s="39">
        <v>1830</v>
      </c>
      <c r="N22" s="39">
        <v>1728</v>
      </c>
      <c r="O22" s="39">
        <v>1806</v>
      </c>
      <c r="P22" s="39">
        <v>2816</v>
      </c>
      <c r="Q22" s="39">
        <v>2852</v>
      </c>
      <c r="R22" s="39">
        <v>2290</v>
      </c>
      <c r="S22" s="39">
        <v>2290</v>
      </c>
      <c r="T22" s="39">
        <v>2290</v>
      </c>
      <c r="U22" s="39">
        <v>2290</v>
      </c>
      <c r="V22" s="39">
        <v>2290</v>
      </c>
      <c r="W22" s="39">
        <v>2290</v>
      </c>
      <c r="X22" s="39">
        <v>5000</v>
      </c>
      <c r="Y22" s="39">
        <v>1700</v>
      </c>
      <c r="Z22" s="39">
        <v>1000</v>
      </c>
      <c r="AA22" s="39">
        <v>2290</v>
      </c>
      <c r="AB22" s="39">
        <v>2290</v>
      </c>
      <c r="AC22" s="39">
        <v>2290</v>
      </c>
      <c r="AD22" s="39">
        <v>2290</v>
      </c>
      <c r="AE22" s="70">
        <v>2800</v>
      </c>
      <c r="AF22" s="70">
        <v>2800</v>
      </c>
      <c r="AG22" s="39">
        <v>5000</v>
      </c>
      <c r="AH22" s="70">
        <v>2800</v>
      </c>
      <c r="AI22" s="70">
        <v>2800</v>
      </c>
      <c r="AJ22" s="70">
        <v>2800</v>
      </c>
      <c r="AK22" s="70">
        <v>2800</v>
      </c>
      <c r="AL22" s="70">
        <v>2800</v>
      </c>
      <c r="AM22" s="70">
        <v>2800</v>
      </c>
      <c r="AN22" s="70">
        <v>2800</v>
      </c>
      <c r="AO22" s="39">
        <v>3100</v>
      </c>
      <c r="AP22" s="39">
        <v>10000</v>
      </c>
      <c r="AQ22" s="39">
        <v>3100</v>
      </c>
      <c r="AR22" s="39">
        <v>3100</v>
      </c>
      <c r="AS22" s="39">
        <v>3100</v>
      </c>
      <c r="AT22" s="91">
        <v>10000</v>
      </c>
      <c r="AU22" s="91">
        <v>30000</v>
      </c>
      <c r="AV22" s="39">
        <v>3100</v>
      </c>
      <c r="AW22" s="39">
        <v>3100</v>
      </c>
      <c r="AX22" s="39">
        <v>3100</v>
      </c>
      <c r="AY22" s="91">
        <v>3760</v>
      </c>
      <c r="AZ22" s="91">
        <v>3760</v>
      </c>
      <c r="BA22" s="91">
        <v>3760</v>
      </c>
      <c r="BB22" s="91">
        <v>3760</v>
      </c>
      <c r="BC22" s="91">
        <v>3760</v>
      </c>
      <c r="BD22" s="91">
        <v>3760</v>
      </c>
      <c r="BE22" s="91">
        <v>3760</v>
      </c>
      <c r="BF22" s="91">
        <v>3760</v>
      </c>
      <c r="BG22" s="91">
        <v>3760</v>
      </c>
      <c r="BH22" s="91">
        <v>3760</v>
      </c>
      <c r="BI22" s="91">
        <v>3760</v>
      </c>
      <c r="BJ22" s="91">
        <v>3760</v>
      </c>
      <c r="BK22" s="91">
        <v>3760</v>
      </c>
      <c r="BL22" s="91">
        <v>3760</v>
      </c>
      <c r="BM22" s="91">
        <v>3760</v>
      </c>
      <c r="BN22" s="91">
        <v>3760</v>
      </c>
      <c r="BO22" s="91">
        <v>3760</v>
      </c>
      <c r="BP22" s="91">
        <v>1200</v>
      </c>
      <c r="BQ22" s="91">
        <v>3760</v>
      </c>
      <c r="BR22" s="91">
        <v>3760</v>
      </c>
      <c r="BS22" s="156">
        <v>3760</v>
      </c>
      <c r="BT22" s="91">
        <v>3760</v>
      </c>
      <c r="BU22" s="91">
        <v>3760</v>
      </c>
      <c r="BV22" s="91">
        <v>3960</v>
      </c>
      <c r="BW22" s="91">
        <v>3960</v>
      </c>
      <c r="BX22" s="91">
        <v>3960</v>
      </c>
      <c r="BY22" s="91">
        <v>3960</v>
      </c>
      <c r="BZ22" s="91">
        <v>3960</v>
      </c>
      <c r="CA22" s="91">
        <v>3960</v>
      </c>
      <c r="CB22" s="91">
        <v>3960</v>
      </c>
      <c r="CC22" s="91">
        <v>3960</v>
      </c>
      <c r="CD22" s="91">
        <v>3960</v>
      </c>
      <c r="CE22" s="91">
        <v>3960</v>
      </c>
      <c r="CF22" s="91">
        <v>3960</v>
      </c>
      <c r="CG22" s="91">
        <v>3960</v>
      </c>
      <c r="CH22" s="91">
        <v>3960</v>
      </c>
      <c r="CI22" s="91">
        <v>3960</v>
      </c>
      <c r="CJ22" s="91">
        <v>3960</v>
      </c>
      <c r="CK22" s="91">
        <v>3960</v>
      </c>
      <c r="CL22" s="91">
        <v>3960</v>
      </c>
      <c r="CM22" s="91"/>
    </row>
    <row r="23" spans="1:91" x14ac:dyDescent="0.15">
      <c r="A23" s="35">
        <v>21</v>
      </c>
      <c r="B23" s="36" t="s">
        <v>62</v>
      </c>
      <c r="C23" s="35" t="s">
        <v>104</v>
      </c>
      <c r="D23" s="37" t="s">
        <v>116</v>
      </c>
      <c r="E23" s="37">
        <v>1365</v>
      </c>
      <c r="F23" s="37">
        <f t="shared" si="0"/>
        <v>254664</v>
      </c>
      <c r="G23" s="37">
        <f t="shared" si="2"/>
        <v>241624</v>
      </c>
      <c r="H23" s="40">
        <f t="shared" si="1"/>
        <v>13040</v>
      </c>
      <c r="K23" s="39">
        <v>2000</v>
      </c>
      <c r="L23" s="39">
        <v>1616</v>
      </c>
      <c r="M23" s="39">
        <v>1471</v>
      </c>
      <c r="N23" s="39">
        <v>1390</v>
      </c>
      <c r="O23" s="39">
        <v>1421</v>
      </c>
      <c r="P23" s="39">
        <v>2439</v>
      </c>
      <c r="Q23" s="39">
        <v>2417</v>
      </c>
      <c r="R23" s="39">
        <v>1820</v>
      </c>
      <c r="S23" s="39">
        <v>1820</v>
      </c>
      <c r="T23" s="39">
        <v>1820</v>
      </c>
      <c r="U23" s="39">
        <v>1820</v>
      </c>
      <c r="V23" s="39">
        <v>1820</v>
      </c>
      <c r="W23" s="39">
        <v>1820</v>
      </c>
      <c r="X23" s="39">
        <v>5000</v>
      </c>
      <c r="Y23" s="39">
        <v>1700</v>
      </c>
      <c r="Z23" s="39">
        <v>1000</v>
      </c>
      <c r="AA23" s="39">
        <v>1820</v>
      </c>
      <c r="AB23" s="39">
        <v>1820</v>
      </c>
      <c r="AC23" s="39">
        <v>1820</v>
      </c>
      <c r="AD23" s="39">
        <v>1820</v>
      </c>
      <c r="AE23" s="70">
        <v>2210</v>
      </c>
      <c r="AF23" s="70">
        <v>2210</v>
      </c>
      <c r="AG23" s="39">
        <v>5000</v>
      </c>
      <c r="AH23" s="70">
        <v>2210</v>
      </c>
      <c r="AI23" s="70">
        <v>2210</v>
      </c>
      <c r="AJ23" s="70">
        <v>2210</v>
      </c>
      <c r="AK23" s="70">
        <v>2210</v>
      </c>
      <c r="AL23" s="70">
        <v>2210</v>
      </c>
      <c r="AM23" s="70">
        <v>2210</v>
      </c>
      <c r="AN23" s="70">
        <v>2210</v>
      </c>
      <c r="AO23" s="39">
        <v>2510</v>
      </c>
      <c r="AP23" s="39">
        <v>10000</v>
      </c>
      <c r="AQ23" s="39">
        <v>2510</v>
      </c>
      <c r="AR23" s="39">
        <v>2510</v>
      </c>
      <c r="AS23" s="39">
        <v>2510</v>
      </c>
      <c r="AT23" s="91">
        <v>10000</v>
      </c>
      <c r="AU23" s="91">
        <v>30000</v>
      </c>
      <c r="AV23" s="39">
        <v>2510</v>
      </c>
      <c r="AW23" s="39">
        <v>2510</v>
      </c>
      <c r="AX23" s="39">
        <v>2510</v>
      </c>
      <c r="AY23" s="91">
        <v>3050</v>
      </c>
      <c r="AZ23" s="91">
        <v>3050</v>
      </c>
      <c r="BA23" s="91">
        <v>3050</v>
      </c>
      <c r="BB23" s="91">
        <v>3050</v>
      </c>
      <c r="BC23" s="91">
        <v>3050</v>
      </c>
      <c r="BD23" s="91">
        <v>3050</v>
      </c>
      <c r="BE23" s="91">
        <v>3050</v>
      </c>
      <c r="BF23" s="91">
        <v>3050</v>
      </c>
      <c r="BG23" s="91">
        <v>3050</v>
      </c>
      <c r="BH23" s="91">
        <v>3050</v>
      </c>
      <c r="BI23" s="91">
        <v>3050</v>
      </c>
      <c r="BJ23" s="91">
        <v>3050</v>
      </c>
      <c r="BK23" s="91">
        <v>3050</v>
      </c>
      <c r="BL23" s="91">
        <v>3050</v>
      </c>
      <c r="BM23" s="91">
        <v>3050</v>
      </c>
      <c r="BN23" s="91">
        <v>3050</v>
      </c>
      <c r="BO23" s="91">
        <v>3050</v>
      </c>
      <c r="BP23" s="91">
        <v>1200</v>
      </c>
      <c r="BQ23" s="91">
        <v>3050</v>
      </c>
      <c r="BR23" s="91">
        <v>3050</v>
      </c>
      <c r="BS23" s="156">
        <v>3050</v>
      </c>
      <c r="BT23" s="91">
        <v>3050</v>
      </c>
      <c r="BU23" s="91">
        <v>3050</v>
      </c>
      <c r="BV23" s="91">
        <v>3250</v>
      </c>
      <c r="BW23" s="91">
        <v>3250</v>
      </c>
      <c r="BX23" s="91">
        <v>3250</v>
      </c>
      <c r="BY23" s="91">
        <v>3250</v>
      </c>
      <c r="BZ23" s="91">
        <v>3250</v>
      </c>
      <c r="CA23" s="91">
        <v>3250</v>
      </c>
      <c r="CB23" s="91">
        <v>3250</v>
      </c>
      <c r="CC23" s="91">
        <v>3250</v>
      </c>
      <c r="CD23" s="91">
        <v>3250</v>
      </c>
      <c r="CE23" s="91">
        <v>3250</v>
      </c>
      <c r="CF23" s="91">
        <v>3250</v>
      </c>
      <c r="CG23" s="91">
        <v>3250</v>
      </c>
      <c r="CH23" s="91">
        <v>3250</v>
      </c>
      <c r="CI23" s="91">
        <v>3250</v>
      </c>
      <c r="CJ23" s="91">
        <v>3250</v>
      </c>
      <c r="CK23" s="91">
        <v>3250</v>
      </c>
      <c r="CL23" s="91">
        <v>3250</v>
      </c>
      <c r="CM23" s="91"/>
    </row>
    <row r="24" spans="1:91" x14ac:dyDescent="0.15">
      <c r="A24" s="35">
        <v>22</v>
      </c>
      <c r="B24" s="36" t="s">
        <v>63</v>
      </c>
      <c r="C24" s="35" t="s">
        <v>104</v>
      </c>
      <c r="D24" s="37" t="s">
        <v>64</v>
      </c>
      <c r="E24" s="37">
        <v>1448</v>
      </c>
      <c r="F24" s="37">
        <f t="shared" si="0"/>
        <v>262040</v>
      </c>
      <c r="G24" s="37">
        <f t="shared" si="2"/>
        <v>251930</v>
      </c>
      <c r="H24" s="40">
        <f t="shared" si="1"/>
        <v>10110</v>
      </c>
      <c r="K24" s="39">
        <v>2000</v>
      </c>
      <c r="L24" s="39">
        <v>1714</v>
      </c>
      <c r="M24" s="39">
        <v>1534</v>
      </c>
      <c r="N24" s="39">
        <v>1449</v>
      </c>
      <c r="O24" s="39">
        <v>1421</v>
      </c>
      <c r="P24" s="39">
        <v>2439</v>
      </c>
      <c r="Q24" s="39">
        <v>2493</v>
      </c>
      <c r="R24" s="39">
        <v>1900</v>
      </c>
      <c r="S24" s="39">
        <v>1900</v>
      </c>
      <c r="T24" s="39">
        <v>1900</v>
      </c>
      <c r="U24" s="39">
        <v>1900</v>
      </c>
      <c r="V24" s="39">
        <v>1900</v>
      </c>
      <c r="W24" s="39">
        <v>1900</v>
      </c>
      <c r="X24" s="39">
        <v>5000</v>
      </c>
      <c r="Y24" s="39">
        <v>1700</v>
      </c>
      <c r="Z24" s="39">
        <v>1000</v>
      </c>
      <c r="AA24" s="39">
        <v>1900</v>
      </c>
      <c r="AB24" s="39">
        <v>1900</v>
      </c>
      <c r="AC24" s="39">
        <v>1900</v>
      </c>
      <c r="AD24" s="39">
        <v>1900</v>
      </c>
      <c r="AE24" s="70">
        <v>2310</v>
      </c>
      <c r="AF24" s="70">
        <v>2310</v>
      </c>
      <c r="AG24" s="39">
        <v>5000</v>
      </c>
      <c r="AH24" s="70">
        <v>2310</v>
      </c>
      <c r="AI24" s="70">
        <v>2310</v>
      </c>
      <c r="AJ24" s="70">
        <v>2310</v>
      </c>
      <c r="AK24" s="70">
        <v>2310</v>
      </c>
      <c r="AL24" s="70">
        <v>2310</v>
      </c>
      <c r="AM24" s="70">
        <v>2310</v>
      </c>
      <c r="AN24" s="70">
        <v>2310</v>
      </c>
      <c r="AO24" s="39">
        <v>2610</v>
      </c>
      <c r="AP24" s="39">
        <v>10000</v>
      </c>
      <c r="AQ24" s="39">
        <v>2610</v>
      </c>
      <c r="AR24" s="39">
        <v>2610</v>
      </c>
      <c r="AS24" s="39">
        <v>2610</v>
      </c>
      <c r="AT24" s="91">
        <v>10000</v>
      </c>
      <c r="AU24" s="91">
        <v>30000</v>
      </c>
      <c r="AV24" s="39">
        <v>2610</v>
      </c>
      <c r="AW24" s="39">
        <v>2610</v>
      </c>
      <c r="AX24" s="39">
        <v>2610</v>
      </c>
      <c r="AY24" s="91">
        <v>3170</v>
      </c>
      <c r="AZ24" s="91">
        <v>3170</v>
      </c>
      <c r="BA24" s="91">
        <v>3170</v>
      </c>
      <c r="BB24" s="91">
        <v>3170</v>
      </c>
      <c r="BC24" s="91">
        <v>3170</v>
      </c>
      <c r="BD24" s="91">
        <v>3170</v>
      </c>
      <c r="BE24" s="91">
        <v>3170</v>
      </c>
      <c r="BF24" s="91">
        <v>3170</v>
      </c>
      <c r="BG24" s="91">
        <v>3170</v>
      </c>
      <c r="BH24" s="91">
        <v>3170</v>
      </c>
      <c r="BI24" s="91">
        <v>3170</v>
      </c>
      <c r="BJ24" s="91">
        <v>3170</v>
      </c>
      <c r="BK24" s="91">
        <v>3170</v>
      </c>
      <c r="BL24" s="91">
        <v>3170</v>
      </c>
      <c r="BM24" s="91">
        <v>3170</v>
      </c>
      <c r="BN24" s="91">
        <v>3170</v>
      </c>
      <c r="BO24" s="91">
        <v>3170</v>
      </c>
      <c r="BP24" s="91">
        <v>1200</v>
      </c>
      <c r="BQ24" s="91">
        <v>3170</v>
      </c>
      <c r="BR24" s="91">
        <v>3170</v>
      </c>
      <c r="BS24" s="156">
        <v>3170</v>
      </c>
      <c r="BT24" s="91">
        <v>3170</v>
      </c>
      <c r="BU24" s="91">
        <v>3170</v>
      </c>
      <c r="BV24" s="91">
        <v>3370</v>
      </c>
      <c r="BW24" s="91">
        <v>3370</v>
      </c>
      <c r="BX24" s="91">
        <v>3370</v>
      </c>
      <c r="BY24" s="91">
        <v>3370</v>
      </c>
      <c r="BZ24" s="91">
        <v>3370</v>
      </c>
      <c r="CA24" s="91">
        <v>3370</v>
      </c>
      <c r="CB24" s="91">
        <v>3370</v>
      </c>
      <c r="CC24" s="91">
        <v>3370</v>
      </c>
      <c r="CD24" s="91">
        <v>3370</v>
      </c>
      <c r="CE24" s="91">
        <v>3370</v>
      </c>
      <c r="CF24" s="91">
        <v>3370</v>
      </c>
      <c r="CG24" s="91">
        <v>3370</v>
      </c>
      <c r="CH24" s="91">
        <v>3370</v>
      </c>
      <c r="CI24" s="91">
        <v>3370</v>
      </c>
      <c r="CJ24" s="91">
        <v>3370</v>
      </c>
      <c r="CK24" s="91">
        <v>3370</v>
      </c>
      <c r="CL24" s="91">
        <v>3370</v>
      </c>
      <c r="CM24" s="91"/>
    </row>
    <row r="25" spans="1:91" x14ac:dyDescent="0.15">
      <c r="A25" s="35">
        <v>23</v>
      </c>
      <c r="B25" s="36" t="s">
        <v>65</v>
      </c>
      <c r="C25" s="35" t="s">
        <v>104</v>
      </c>
      <c r="D25" s="37" t="s">
        <v>66</v>
      </c>
      <c r="E25" s="37">
        <v>1448</v>
      </c>
      <c r="F25" s="37">
        <f t="shared" si="0"/>
        <v>262340</v>
      </c>
      <c r="G25" s="37">
        <f t="shared" si="2"/>
        <v>260672</v>
      </c>
      <c r="H25" s="40">
        <f t="shared" si="1"/>
        <v>1668</v>
      </c>
      <c r="K25" s="39">
        <v>2000</v>
      </c>
      <c r="L25" s="39">
        <v>1714</v>
      </c>
      <c r="M25" s="39">
        <v>1534</v>
      </c>
      <c r="N25" s="39">
        <v>1449</v>
      </c>
      <c r="O25" s="39">
        <v>1421</v>
      </c>
      <c r="P25" s="39">
        <v>2439</v>
      </c>
      <c r="Q25" s="39">
        <v>2493</v>
      </c>
      <c r="R25" s="39">
        <v>1900</v>
      </c>
      <c r="S25" s="39">
        <v>1900</v>
      </c>
      <c r="T25" s="39">
        <v>1900</v>
      </c>
      <c r="U25" s="39">
        <v>1900</v>
      </c>
      <c r="V25" s="39">
        <v>1900</v>
      </c>
      <c r="W25" s="39">
        <v>1900</v>
      </c>
      <c r="X25" s="39">
        <v>5000</v>
      </c>
      <c r="Y25" s="39">
        <v>1700</v>
      </c>
      <c r="Z25" s="39">
        <v>1000</v>
      </c>
      <c r="AA25" s="39">
        <v>1900</v>
      </c>
      <c r="AB25" s="39">
        <v>1900</v>
      </c>
      <c r="AC25" s="39">
        <v>1900</v>
      </c>
      <c r="AD25" s="39">
        <v>1900</v>
      </c>
      <c r="AE25" s="70">
        <v>2310</v>
      </c>
      <c r="AF25" s="70">
        <v>2310</v>
      </c>
      <c r="AG25" s="39">
        <v>5000</v>
      </c>
      <c r="AH25" s="70">
        <v>2310</v>
      </c>
      <c r="AI25" s="70">
        <v>2310</v>
      </c>
      <c r="AJ25" s="70">
        <v>2310</v>
      </c>
      <c r="AK25" s="70">
        <v>2310</v>
      </c>
      <c r="AL25" s="70">
        <v>2310</v>
      </c>
      <c r="AM25" s="70">
        <v>2310</v>
      </c>
      <c r="AN25" s="70">
        <v>2310</v>
      </c>
      <c r="AO25" s="39">
        <v>2610</v>
      </c>
      <c r="AP25" s="39">
        <v>10000</v>
      </c>
      <c r="AQ25" s="39">
        <v>2610</v>
      </c>
      <c r="AR25" s="39">
        <v>2610</v>
      </c>
      <c r="AS25" s="39">
        <v>2610</v>
      </c>
      <c r="AT25" s="91">
        <v>10000</v>
      </c>
      <c r="AU25" s="91">
        <v>30000</v>
      </c>
      <c r="AV25" s="39">
        <v>2610</v>
      </c>
      <c r="AW25" s="39">
        <v>2610</v>
      </c>
      <c r="AX25" s="39">
        <v>2610</v>
      </c>
      <c r="AY25" s="91">
        <v>3170</v>
      </c>
      <c r="AZ25" s="91">
        <v>3170</v>
      </c>
      <c r="BA25" s="91">
        <v>3170</v>
      </c>
      <c r="BB25" s="91">
        <v>3170</v>
      </c>
      <c r="BC25" s="91">
        <v>3170</v>
      </c>
      <c r="BD25" s="91">
        <v>3170</v>
      </c>
      <c r="BE25" s="91">
        <v>3170</v>
      </c>
      <c r="BF25" s="91">
        <v>3170</v>
      </c>
      <c r="BG25" s="91">
        <v>3170</v>
      </c>
      <c r="BH25" s="91">
        <v>3170</v>
      </c>
      <c r="BI25" s="91">
        <v>3170</v>
      </c>
      <c r="BJ25" s="91">
        <v>3170</v>
      </c>
      <c r="BK25" s="91">
        <v>3170</v>
      </c>
      <c r="BL25" s="91">
        <v>3170</v>
      </c>
      <c r="BM25" s="91">
        <v>3170</v>
      </c>
      <c r="BN25" s="91">
        <v>3170</v>
      </c>
      <c r="BO25" s="91">
        <v>3170</v>
      </c>
      <c r="BP25" s="91">
        <v>1200</v>
      </c>
      <c r="BQ25" s="91">
        <v>3170</v>
      </c>
      <c r="BR25" s="91">
        <v>3170</v>
      </c>
      <c r="BS25" s="156">
        <v>3170</v>
      </c>
      <c r="BT25" s="91">
        <v>3170</v>
      </c>
      <c r="BU25" s="91">
        <v>3170</v>
      </c>
      <c r="BV25" s="91">
        <v>3370</v>
      </c>
      <c r="BW25" s="91">
        <v>3370</v>
      </c>
      <c r="BX25" s="91">
        <v>3370</v>
      </c>
      <c r="BY25" s="91">
        <v>3370</v>
      </c>
      <c r="BZ25" s="91">
        <v>3370</v>
      </c>
      <c r="CA25" s="91">
        <v>3370</v>
      </c>
      <c r="CB25" s="91">
        <v>3370</v>
      </c>
      <c r="CC25" s="91">
        <v>3370</v>
      </c>
      <c r="CD25" s="91">
        <v>3370</v>
      </c>
      <c r="CE25" s="91">
        <v>3370</v>
      </c>
      <c r="CF25" s="91">
        <v>3370</v>
      </c>
      <c r="CG25" s="91">
        <v>3370</v>
      </c>
      <c r="CH25" s="91">
        <v>3370</v>
      </c>
      <c r="CI25" s="91">
        <v>3370</v>
      </c>
      <c r="CJ25" s="91">
        <v>3370</v>
      </c>
      <c r="CK25" s="91">
        <v>3370</v>
      </c>
      <c r="CL25" s="91">
        <v>3370</v>
      </c>
      <c r="CM25" s="91"/>
    </row>
    <row r="26" spans="1:91" x14ac:dyDescent="0.15">
      <c r="A26" s="35">
        <v>24</v>
      </c>
      <c r="B26" s="36" t="s">
        <v>67</v>
      </c>
      <c r="C26" s="35" t="s">
        <v>104</v>
      </c>
      <c r="D26" s="37" t="s">
        <v>68</v>
      </c>
      <c r="E26" s="37">
        <v>1448</v>
      </c>
      <c r="F26" s="37">
        <f t="shared" si="0"/>
        <v>262040</v>
      </c>
      <c r="G26" s="37">
        <f t="shared" si="2"/>
        <v>258710</v>
      </c>
      <c r="H26" s="40">
        <f t="shared" si="1"/>
        <v>3330</v>
      </c>
      <c r="K26" s="39">
        <v>2000</v>
      </c>
      <c r="L26" s="39">
        <v>1714</v>
      </c>
      <c r="M26" s="39">
        <v>1534</v>
      </c>
      <c r="N26" s="39">
        <v>1449</v>
      </c>
      <c r="O26" s="39">
        <v>1421</v>
      </c>
      <c r="P26" s="39">
        <v>2439</v>
      </c>
      <c r="Q26" s="39">
        <v>2493</v>
      </c>
      <c r="R26" s="39">
        <v>1900</v>
      </c>
      <c r="S26" s="39">
        <v>1900</v>
      </c>
      <c r="T26" s="39">
        <v>1900</v>
      </c>
      <c r="U26" s="39">
        <v>1900</v>
      </c>
      <c r="V26" s="39">
        <v>1900</v>
      </c>
      <c r="W26" s="39">
        <v>1900</v>
      </c>
      <c r="X26" s="39">
        <v>5000</v>
      </c>
      <c r="Y26" s="39">
        <v>1700</v>
      </c>
      <c r="Z26" s="39">
        <v>1000</v>
      </c>
      <c r="AA26" s="39">
        <v>1900</v>
      </c>
      <c r="AB26" s="39">
        <v>1900</v>
      </c>
      <c r="AC26" s="39">
        <v>1900</v>
      </c>
      <c r="AD26" s="39">
        <v>1900</v>
      </c>
      <c r="AE26" s="70">
        <v>2310</v>
      </c>
      <c r="AF26" s="70">
        <v>2310</v>
      </c>
      <c r="AG26" s="39">
        <v>5000</v>
      </c>
      <c r="AH26" s="70">
        <v>2310</v>
      </c>
      <c r="AI26" s="70">
        <v>2310</v>
      </c>
      <c r="AJ26" s="70">
        <v>2310</v>
      </c>
      <c r="AK26" s="70">
        <v>2310</v>
      </c>
      <c r="AL26" s="70">
        <v>2310</v>
      </c>
      <c r="AM26" s="70">
        <v>2310</v>
      </c>
      <c r="AN26" s="70">
        <v>2310</v>
      </c>
      <c r="AO26" s="39">
        <v>2610</v>
      </c>
      <c r="AP26" s="39">
        <v>10000</v>
      </c>
      <c r="AQ26" s="39">
        <v>2610</v>
      </c>
      <c r="AR26" s="39">
        <v>2610</v>
      </c>
      <c r="AS26" s="39">
        <v>2610</v>
      </c>
      <c r="AT26" s="91">
        <v>10000</v>
      </c>
      <c r="AU26" s="91">
        <v>30000</v>
      </c>
      <c r="AV26" s="39">
        <v>2610</v>
      </c>
      <c r="AW26" s="39">
        <v>2610</v>
      </c>
      <c r="AX26" s="39">
        <v>2610</v>
      </c>
      <c r="AY26" s="91">
        <v>3170</v>
      </c>
      <c r="AZ26" s="91">
        <v>3170</v>
      </c>
      <c r="BA26" s="91">
        <v>3170</v>
      </c>
      <c r="BB26" s="91">
        <v>3170</v>
      </c>
      <c r="BC26" s="91">
        <v>3170</v>
      </c>
      <c r="BD26" s="91">
        <v>3170</v>
      </c>
      <c r="BE26" s="91">
        <v>3170</v>
      </c>
      <c r="BF26" s="91">
        <v>3170</v>
      </c>
      <c r="BG26" s="91">
        <v>3170</v>
      </c>
      <c r="BH26" s="91">
        <v>3170</v>
      </c>
      <c r="BI26" s="91">
        <v>3170</v>
      </c>
      <c r="BJ26" s="91">
        <v>3170</v>
      </c>
      <c r="BK26" s="91">
        <v>3170</v>
      </c>
      <c r="BL26" s="91">
        <v>3170</v>
      </c>
      <c r="BM26" s="91">
        <v>3170</v>
      </c>
      <c r="BN26" s="91">
        <v>3170</v>
      </c>
      <c r="BO26" s="91">
        <v>3170</v>
      </c>
      <c r="BP26" s="91">
        <v>1200</v>
      </c>
      <c r="BQ26" s="91">
        <v>3170</v>
      </c>
      <c r="BR26" s="91">
        <v>3170</v>
      </c>
      <c r="BS26" s="156">
        <v>3170</v>
      </c>
      <c r="BT26" s="91">
        <v>3170</v>
      </c>
      <c r="BU26" s="91">
        <v>3170</v>
      </c>
      <c r="BV26" s="91">
        <v>3370</v>
      </c>
      <c r="BW26" s="91">
        <v>3370</v>
      </c>
      <c r="BX26" s="91">
        <v>3370</v>
      </c>
      <c r="BY26" s="91">
        <v>3370</v>
      </c>
      <c r="BZ26" s="91">
        <v>3370</v>
      </c>
      <c r="CA26" s="91">
        <v>3370</v>
      </c>
      <c r="CB26" s="91">
        <v>3370</v>
      </c>
      <c r="CC26" s="91">
        <v>3370</v>
      </c>
      <c r="CD26" s="91">
        <v>3370</v>
      </c>
      <c r="CE26" s="91">
        <v>3370</v>
      </c>
      <c r="CF26" s="91">
        <v>3370</v>
      </c>
      <c r="CG26" s="91">
        <v>3370</v>
      </c>
      <c r="CH26" s="91">
        <v>3370</v>
      </c>
      <c r="CI26" s="91">
        <v>3370</v>
      </c>
      <c r="CJ26" s="91">
        <v>3370</v>
      </c>
      <c r="CK26" s="91">
        <v>3370</v>
      </c>
      <c r="CL26" s="91">
        <v>3370</v>
      </c>
      <c r="CM26" s="91"/>
    </row>
    <row r="27" spans="1:91" x14ac:dyDescent="0.15">
      <c r="A27" s="35">
        <v>25</v>
      </c>
      <c r="B27" s="36" t="s">
        <v>69</v>
      </c>
      <c r="C27" s="35" t="s">
        <v>104</v>
      </c>
      <c r="D27" s="37" t="s">
        <v>70</v>
      </c>
      <c r="E27" s="37">
        <v>1211</v>
      </c>
      <c r="F27" s="37">
        <f t="shared" si="0"/>
        <v>241655</v>
      </c>
      <c r="G27" s="37">
        <f t="shared" si="2"/>
        <v>228600</v>
      </c>
      <c r="H27" s="40">
        <f t="shared" si="1"/>
        <v>13055</v>
      </c>
      <c r="K27" s="39">
        <v>2000</v>
      </c>
      <c r="L27" s="39">
        <v>1771</v>
      </c>
      <c r="M27" s="39">
        <v>1570</v>
      </c>
      <c r="N27" s="39">
        <v>1483</v>
      </c>
      <c r="O27" s="39">
        <v>1469</v>
      </c>
      <c r="P27" s="39">
        <v>2485</v>
      </c>
      <c r="Q27" s="39">
        <v>2537</v>
      </c>
      <c r="R27" s="39">
        <v>1660</v>
      </c>
      <c r="S27" s="39">
        <v>1660</v>
      </c>
      <c r="T27" s="39">
        <v>1660</v>
      </c>
      <c r="U27" s="39">
        <v>1660</v>
      </c>
      <c r="V27" s="39">
        <v>1660</v>
      </c>
      <c r="W27" s="39">
        <v>1660</v>
      </c>
      <c r="X27" s="39">
        <v>5000</v>
      </c>
      <c r="Y27" s="39">
        <v>1700</v>
      </c>
      <c r="Z27" s="39">
        <v>1000</v>
      </c>
      <c r="AA27" s="39">
        <v>1660</v>
      </c>
      <c r="AB27" s="39">
        <v>1660</v>
      </c>
      <c r="AC27" s="39">
        <v>1660</v>
      </c>
      <c r="AD27" s="39">
        <v>1660</v>
      </c>
      <c r="AE27" s="70">
        <v>2010</v>
      </c>
      <c r="AF27" s="70">
        <v>2010</v>
      </c>
      <c r="AG27" s="39">
        <v>5000</v>
      </c>
      <c r="AH27" s="70">
        <v>2010</v>
      </c>
      <c r="AI27" s="70">
        <v>2010</v>
      </c>
      <c r="AJ27" s="70">
        <v>2010</v>
      </c>
      <c r="AK27" s="70">
        <v>2010</v>
      </c>
      <c r="AL27" s="70">
        <v>2010</v>
      </c>
      <c r="AM27" s="70">
        <v>2010</v>
      </c>
      <c r="AN27" s="70">
        <v>2010</v>
      </c>
      <c r="AO27" s="39">
        <v>2310</v>
      </c>
      <c r="AP27" s="39">
        <v>10000</v>
      </c>
      <c r="AQ27" s="39">
        <v>2310</v>
      </c>
      <c r="AR27" s="39">
        <v>2310</v>
      </c>
      <c r="AS27" s="39">
        <v>2310</v>
      </c>
      <c r="AT27" s="91">
        <v>10000</v>
      </c>
      <c r="AU27" s="91">
        <v>30000</v>
      </c>
      <c r="AV27" s="39">
        <v>2310</v>
      </c>
      <c r="AW27" s="39">
        <v>2310</v>
      </c>
      <c r="AX27" s="39">
        <v>2310</v>
      </c>
      <c r="AY27" s="91">
        <v>2820</v>
      </c>
      <c r="AZ27" s="91">
        <v>2820</v>
      </c>
      <c r="BA27" s="91">
        <v>2820</v>
      </c>
      <c r="BB27" s="91">
        <v>2820</v>
      </c>
      <c r="BC27" s="91">
        <v>2820</v>
      </c>
      <c r="BD27" s="91">
        <v>2820</v>
      </c>
      <c r="BE27" s="91">
        <v>2820</v>
      </c>
      <c r="BF27" s="91">
        <v>2820</v>
      </c>
      <c r="BG27" s="91">
        <v>2820</v>
      </c>
      <c r="BH27" s="91">
        <v>2820</v>
      </c>
      <c r="BI27" s="91">
        <v>2820</v>
      </c>
      <c r="BJ27" s="91">
        <v>2820</v>
      </c>
      <c r="BK27" s="91">
        <v>2820</v>
      </c>
      <c r="BL27" s="91">
        <v>2820</v>
      </c>
      <c r="BM27" s="91">
        <v>2820</v>
      </c>
      <c r="BN27" s="91">
        <v>2820</v>
      </c>
      <c r="BO27" s="91">
        <v>2820</v>
      </c>
      <c r="BP27" s="91">
        <v>1200</v>
      </c>
      <c r="BQ27" s="91">
        <v>2820</v>
      </c>
      <c r="BR27" s="91">
        <v>2820</v>
      </c>
      <c r="BS27" s="156">
        <v>2820</v>
      </c>
      <c r="BT27" s="91">
        <v>2820</v>
      </c>
      <c r="BU27" s="91">
        <v>2820</v>
      </c>
      <c r="BV27" s="91">
        <v>3020</v>
      </c>
      <c r="BW27" s="91">
        <v>3020</v>
      </c>
      <c r="BX27" s="91">
        <v>3020</v>
      </c>
      <c r="BY27" s="91">
        <v>3020</v>
      </c>
      <c r="BZ27" s="91">
        <v>3020</v>
      </c>
      <c r="CA27" s="91">
        <v>3020</v>
      </c>
      <c r="CB27" s="91">
        <v>3020</v>
      </c>
      <c r="CC27" s="91">
        <v>3020</v>
      </c>
      <c r="CD27" s="91">
        <v>3020</v>
      </c>
      <c r="CE27" s="91">
        <v>3020</v>
      </c>
      <c r="CF27" s="91">
        <v>3020</v>
      </c>
      <c r="CG27" s="91">
        <v>3020</v>
      </c>
      <c r="CH27" s="91">
        <v>3020</v>
      </c>
      <c r="CI27" s="91">
        <v>3020</v>
      </c>
      <c r="CJ27" s="91">
        <v>3020</v>
      </c>
      <c r="CK27" s="91">
        <v>3020</v>
      </c>
      <c r="CL27" s="91">
        <v>3020</v>
      </c>
      <c r="CM27" s="91"/>
    </row>
    <row r="28" spans="1:91" x14ac:dyDescent="0.15">
      <c r="A28" s="35">
        <v>26</v>
      </c>
      <c r="B28" s="36" t="s">
        <v>71</v>
      </c>
      <c r="C28" s="35" t="s">
        <v>104</v>
      </c>
      <c r="D28" s="37" t="s">
        <v>72</v>
      </c>
      <c r="E28" s="37">
        <v>1496</v>
      </c>
      <c r="F28" s="37">
        <f t="shared" si="0"/>
        <v>266495</v>
      </c>
      <c r="G28" s="37">
        <f t="shared" si="2"/>
        <v>266495</v>
      </c>
      <c r="H28" s="40">
        <f t="shared" si="1"/>
        <v>0</v>
      </c>
      <c r="K28" s="39">
        <v>2000</v>
      </c>
      <c r="L28" s="39">
        <v>1771</v>
      </c>
      <c r="M28" s="39">
        <v>1570</v>
      </c>
      <c r="N28" s="39">
        <v>1483</v>
      </c>
      <c r="O28" s="39">
        <v>1469</v>
      </c>
      <c r="P28" s="39">
        <v>2485</v>
      </c>
      <c r="Q28" s="39">
        <v>2537</v>
      </c>
      <c r="R28" s="39">
        <v>1950</v>
      </c>
      <c r="S28" s="39">
        <v>1950</v>
      </c>
      <c r="T28" s="39">
        <v>1950</v>
      </c>
      <c r="U28" s="39">
        <v>1950</v>
      </c>
      <c r="V28" s="39">
        <v>1950</v>
      </c>
      <c r="W28" s="39">
        <v>1950</v>
      </c>
      <c r="X28" s="39">
        <v>5000</v>
      </c>
      <c r="Y28" s="39">
        <v>1700</v>
      </c>
      <c r="Z28" s="39">
        <v>1000</v>
      </c>
      <c r="AA28" s="39">
        <v>1950</v>
      </c>
      <c r="AB28" s="39">
        <v>1950</v>
      </c>
      <c r="AC28" s="39">
        <v>1950</v>
      </c>
      <c r="AD28" s="39">
        <v>1950</v>
      </c>
      <c r="AE28" s="70">
        <v>2370</v>
      </c>
      <c r="AF28" s="70">
        <v>2370</v>
      </c>
      <c r="AG28" s="39">
        <v>5000</v>
      </c>
      <c r="AH28" s="70">
        <v>2370</v>
      </c>
      <c r="AI28" s="70">
        <v>2370</v>
      </c>
      <c r="AJ28" s="70">
        <v>2370</v>
      </c>
      <c r="AK28" s="70">
        <v>2370</v>
      </c>
      <c r="AL28" s="70">
        <v>2370</v>
      </c>
      <c r="AM28" s="70">
        <v>2370</v>
      </c>
      <c r="AN28" s="70">
        <v>2370</v>
      </c>
      <c r="AO28" s="39">
        <v>2670</v>
      </c>
      <c r="AP28" s="39">
        <v>10000</v>
      </c>
      <c r="AQ28" s="39">
        <v>2670</v>
      </c>
      <c r="AR28" s="39">
        <v>2670</v>
      </c>
      <c r="AS28" s="39">
        <v>2670</v>
      </c>
      <c r="AT28" s="91">
        <v>10000</v>
      </c>
      <c r="AU28" s="91">
        <v>30000</v>
      </c>
      <c r="AV28" s="39">
        <v>2670</v>
      </c>
      <c r="AW28" s="39">
        <v>2670</v>
      </c>
      <c r="AX28" s="39">
        <v>2670</v>
      </c>
      <c r="AY28" s="91">
        <v>3240</v>
      </c>
      <c r="AZ28" s="91">
        <v>3240</v>
      </c>
      <c r="BA28" s="91">
        <v>3240</v>
      </c>
      <c r="BB28" s="91">
        <v>3240</v>
      </c>
      <c r="BC28" s="91">
        <v>3240</v>
      </c>
      <c r="BD28" s="91">
        <v>3240</v>
      </c>
      <c r="BE28" s="91">
        <v>3240</v>
      </c>
      <c r="BF28" s="91">
        <v>3240</v>
      </c>
      <c r="BG28" s="91">
        <v>3240</v>
      </c>
      <c r="BH28" s="91">
        <v>3240</v>
      </c>
      <c r="BI28" s="91">
        <v>3240</v>
      </c>
      <c r="BJ28" s="91">
        <v>3240</v>
      </c>
      <c r="BK28" s="91">
        <v>3240</v>
      </c>
      <c r="BL28" s="91">
        <v>3240</v>
      </c>
      <c r="BM28" s="91">
        <v>3240</v>
      </c>
      <c r="BN28" s="91">
        <v>3240</v>
      </c>
      <c r="BO28" s="91">
        <v>3240</v>
      </c>
      <c r="BP28" s="91">
        <v>1200</v>
      </c>
      <c r="BQ28" s="91">
        <v>3240</v>
      </c>
      <c r="BR28" s="91">
        <v>3240</v>
      </c>
      <c r="BS28" s="156">
        <v>3240</v>
      </c>
      <c r="BT28" s="91">
        <v>3240</v>
      </c>
      <c r="BU28" s="91">
        <v>3240</v>
      </c>
      <c r="BV28" s="91">
        <v>3440</v>
      </c>
      <c r="BW28" s="91">
        <v>3440</v>
      </c>
      <c r="BX28" s="91">
        <v>3440</v>
      </c>
      <c r="BY28" s="91">
        <v>3440</v>
      </c>
      <c r="BZ28" s="91">
        <v>3440</v>
      </c>
      <c r="CA28" s="91">
        <v>3440</v>
      </c>
      <c r="CB28" s="91">
        <v>3440</v>
      </c>
      <c r="CC28" s="91">
        <v>3440</v>
      </c>
      <c r="CD28" s="91">
        <v>3440</v>
      </c>
      <c r="CE28" s="91">
        <v>3440</v>
      </c>
      <c r="CF28" s="91">
        <v>3440</v>
      </c>
      <c r="CG28" s="91">
        <v>3440</v>
      </c>
      <c r="CH28" s="91">
        <v>3440</v>
      </c>
      <c r="CI28" s="91">
        <v>3440</v>
      </c>
      <c r="CJ28" s="91">
        <v>3440</v>
      </c>
      <c r="CK28" s="91">
        <v>3440</v>
      </c>
      <c r="CL28" s="91">
        <v>3440</v>
      </c>
      <c r="CM28" s="91"/>
    </row>
    <row r="29" spans="1:91" x14ac:dyDescent="0.15">
      <c r="A29" s="35">
        <v>27</v>
      </c>
      <c r="B29" s="35" t="s">
        <v>73</v>
      </c>
      <c r="C29" s="35" t="s">
        <v>104</v>
      </c>
      <c r="D29" s="35" t="s">
        <v>195</v>
      </c>
      <c r="E29" s="35">
        <v>1496</v>
      </c>
      <c r="F29" s="35">
        <f t="shared" si="0"/>
        <v>175540</v>
      </c>
      <c r="G29" s="35">
        <f t="shared" si="2"/>
        <v>152725</v>
      </c>
      <c r="H29" s="35">
        <f t="shared" si="1"/>
        <v>22815</v>
      </c>
      <c r="K29" s="39">
        <v>2000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1130</v>
      </c>
      <c r="S29" s="39">
        <v>1950</v>
      </c>
      <c r="T29" s="39">
        <v>1950</v>
      </c>
      <c r="U29" s="39">
        <v>1950</v>
      </c>
      <c r="V29" s="39">
        <v>1950</v>
      </c>
      <c r="W29" s="39">
        <v>1950</v>
      </c>
      <c r="X29" s="39">
        <v>5000</v>
      </c>
      <c r="Y29" s="39">
        <v>1700</v>
      </c>
      <c r="Z29" s="39">
        <v>1000</v>
      </c>
      <c r="AA29" s="39">
        <v>1950</v>
      </c>
      <c r="AB29" s="39">
        <v>1950</v>
      </c>
      <c r="AC29" s="39">
        <v>1950</v>
      </c>
      <c r="AD29" s="39">
        <v>1950</v>
      </c>
      <c r="AE29" s="70">
        <v>2370</v>
      </c>
      <c r="AF29" s="70">
        <v>2370</v>
      </c>
      <c r="AG29" s="39">
        <v>5000</v>
      </c>
      <c r="AH29" s="70">
        <v>2370</v>
      </c>
      <c r="AI29" s="70">
        <v>2370</v>
      </c>
      <c r="AJ29" s="70">
        <v>2370</v>
      </c>
      <c r="AK29" s="70">
        <v>2370</v>
      </c>
      <c r="AL29" s="70">
        <v>2370</v>
      </c>
      <c r="AM29" s="70">
        <v>2370</v>
      </c>
      <c r="AN29" s="70">
        <v>2370</v>
      </c>
      <c r="AO29" s="39">
        <v>2670</v>
      </c>
      <c r="AP29" s="39">
        <v>10000</v>
      </c>
      <c r="AQ29" s="39">
        <v>2670</v>
      </c>
      <c r="AR29" s="39">
        <v>-2190</v>
      </c>
      <c r="AS29" s="39"/>
      <c r="AT29" s="91"/>
      <c r="AU29" s="91">
        <v>25000</v>
      </c>
      <c r="AV29" s="39"/>
      <c r="AW29" s="39"/>
      <c r="AX29" s="39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156"/>
      <c r="BT29" s="91"/>
      <c r="BU29" s="91"/>
      <c r="BV29" s="91"/>
      <c r="BW29" s="91"/>
      <c r="BX29" s="91"/>
      <c r="BY29" s="91"/>
      <c r="BZ29" s="91">
        <v>50000</v>
      </c>
      <c r="CA29" s="91">
        <v>3440</v>
      </c>
      <c r="CB29" s="91">
        <v>3440</v>
      </c>
      <c r="CC29" s="91">
        <v>3440</v>
      </c>
      <c r="CD29" s="91">
        <v>3440</v>
      </c>
      <c r="CE29" s="91">
        <v>3440</v>
      </c>
      <c r="CF29" s="91">
        <v>3440</v>
      </c>
      <c r="CG29" s="91">
        <v>3440</v>
      </c>
      <c r="CH29" s="91">
        <v>3440</v>
      </c>
      <c r="CI29" s="91">
        <v>3440</v>
      </c>
      <c r="CJ29" s="91">
        <v>3440</v>
      </c>
      <c r="CK29" s="173">
        <f>3440-10000</f>
        <v>-6560</v>
      </c>
      <c r="CL29" s="91">
        <v>3440</v>
      </c>
      <c r="CM29" s="91"/>
    </row>
    <row r="30" spans="1:91" x14ac:dyDescent="0.15">
      <c r="A30" s="35">
        <v>28</v>
      </c>
      <c r="B30" s="36" t="s">
        <v>74</v>
      </c>
      <c r="C30" s="35" t="s">
        <v>104</v>
      </c>
      <c r="D30" s="37" t="s">
        <v>75</v>
      </c>
      <c r="E30" s="37">
        <v>1496</v>
      </c>
      <c r="F30" s="37">
        <f t="shared" si="0"/>
        <v>266495</v>
      </c>
      <c r="G30" s="37">
        <f t="shared" si="2"/>
        <v>266475</v>
      </c>
      <c r="H30" s="40">
        <f t="shared" si="1"/>
        <v>20</v>
      </c>
      <c r="K30" s="39">
        <v>2000</v>
      </c>
      <c r="L30" s="39">
        <v>1771</v>
      </c>
      <c r="M30" s="39">
        <v>1570</v>
      </c>
      <c r="N30" s="39">
        <v>1483</v>
      </c>
      <c r="O30" s="39">
        <v>1469</v>
      </c>
      <c r="P30" s="39">
        <v>2485</v>
      </c>
      <c r="Q30" s="39">
        <v>2537</v>
      </c>
      <c r="R30" s="39">
        <v>1950</v>
      </c>
      <c r="S30" s="39">
        <v>1950</v>
      </c>
      <c r="T30" s="39">
        <v>1950</v>
      </c>
      <c r="U30" s="39">
        <v>1950</v>
      </c>
      <c r="V30" s="39">
        <v>1950</v>
      </c>
      <c r="W30" s="39">
        <v>1950</v>
      </c>
      <c r="X30" s="39">
        <v>5000</v>
      </c>
      <c r="Y30" s="39">
        <v>1700</v>
      </c>
      <c r="Z30" s="39">
        <v>1000</v>
      </c>
      <c r="AA30" s="39">
        <v>1950</v>
      </c>
      <c r="AB30" s="39">
        <v>1950</v>
      </c>
      <c r="AC30" s="39">
        <v>1950</v>
      </c>
      <c r="AD30" s="39">
        <v>1950</v>
      </c>
      <c r="AE30" s="70">
        <v>2370</v>
      </c>
      <c r="AF30" s="70">
        <v>2370</v>
      </c>
      <c r="AG30" s="39">
        <v>5000</v>
      </c>
      <c r="AH30" s="70">
        <v>2370</v>
      </c>
      <c r="AI30" s="70">
        <v>2370</v>
      </c>
      <c r="AJ30" s="70">
        <v>2370</v>
      </c>
      <c r="AK30" s="70">
        <v>2370</v>
      </c>
      <c r="AL30" s="70">
        <v>2370</v>
      </c>
      <c r="AM30" s="70">
        <v>2370</v>
      </c>
      <c r="AN30" s="70">
        <v>2370</v>
      </c>
      <c r="AO30" s="39">
        <v>2670</v>
      </c>
      <c r="AP30" s="39">
        <v>10000</v>
      </c>
      <c r="AQ30" s="39">
        <v>2670</v>
      </c>
      <c r="AR30" s="39">
        <v>2670</v>
      </c>
      <c r="AS30" s="39">
        <v>2670</v>
      </c>
      <c r="AT30" s="91">
        <v>10000</v>
      </c>
      <c r="AU30" s="91">
        <v>30000</v>
      </c>
      <c r="AV30" s="39">
        <v>2670</v>
      </c>
      <c r="AW30" s="39">
        <v>2670</v>
      </c>
      <c r="AX30" s="39">
        <v>2670</v>
      </c>
      <c r="AY30" s="91">
        <v>3240</v>
      </c>
      <c r="AZ30" s="91">
        <v>3240</v>
      </c>
      <c r="BA30" s="91">
        <v>3240</v>
      </c>
      <c r="BB30" s="91">
        <v>3240</v>
      </c>
      <c r="BC30" s="91">
        <v>3240</v>
      </c>
      <c r="BD30" s="91">
        <v>3240</v>
      </c>
      <c r="BE30" s="91">
        <v>3240</v>
      </c>
      <c r="BF30" s="91">
        <v>3240</v>
      </c>
      <c r="BG30" s="91">
        <v>3240</v>
      </c>
      <c r="BH30" s="91">
        <v>3240</v>
      </c>
      <c r="BI30" s="91">
        <v>3240</v>
      </c>
      <c r="BJ30" s="91">
        <v>3240</v>
      </c>
      <c r="BK30" s="91">
        <v>3240</v>
      </c>
      <c r="BL30" s="91">
        <v>3240</v>
      </c>
      <c r="BM30" s="91">
        <v>3240</v>
      </c>
      <c r="BN30" s="91">
        <v>3240</v>
      </c>
      <c r="BO30" s="91">
        <v>3240</v>
      </c>
      <c r="BP30" s="91">
        <v>1200</v>
      </c>
      <c r="BQ30" s="91">
        <v>3240</v>
      </c>
      <c r="BR30" s="91">
        <v>3240</v>
      </c>
      <c r="BS30" s="156">
        <v>3240</v>
      </c>
      <c r="BT30" s="91">
        <v>3240</v>
      </c>
      <c r="BU30" s="91">
        <v>3240</v>
      </c>
      <c r="BV30" s="91">
        <v>3440</v>
      </c>
      <c r="BW30" s="91">
        <v>3440</v>
      </c>
      <c r="BX30" s="91">
        <v>3440</v>
      </c>
      <c r="BY30" s="91">
        <v>3440</v>
      </c>
      <c r="BZ30" s="91">
        <v>3440</v>
      </c>
      <c r="CA30" s="91">
        <v>3440</v>
      </c>
      <c r="CB30" s="91">
        <v>3440</v>
      </c>
      <c r="CC30" s="91">
        <v>3440</v>
      </c>
      <c r="CD30" s="91">
        <v>3440</v>
      </c>
      <c r="CE30" s="91">
        <v>3440</v>
      </c>
      <c r="CF30" s="91">
        <v>3440</v>
      </c>
      <c r="CG30" s="91">
        <v>3440</v>
      </c>
      <c r="CH30" s="91">
        <v>3440</v>
      </c>
      <c r="CI30" s="91">
        <v>3440</v>
      </c>
      <c r="CJ30" s="91">
        <v>3440</v>
      </c>
      <c r="CK30" s="91">
        <v>3440</v>
      </c>
      <c r="CL30" s="91">
        <v>3440</v>
      </c>
      <c r="CM30" s="91"/>
    </row>
    <row r="31" spans="1:91" x14ac:dyDescent="0.15">
      <c r="A31" s="35">
        <v>29</v>
      </c>
      <c r="B31" s="36" t="s">
        <v>76</v>
      </c>
      <c r="C31" s="35" t="s">
        <v>104</v>
      </c>
      <c r="D31" s="37" t="s">
        <v>77</v>
      </c>
      <c r="E31" s="37">
        <v>1200</v>
      </c>
      <c r="F31" s="37">
        <f t="shared" si="0"/>
        <v>239384</v>
      </c>
      <c r="G31" s="37">
        <f t="shared" si="2"/>
        <v>241004</v>
      </c>
      <c r="H31" s="40">
        <f t="shared" si="1"/>
        <v>-1620</v>
      </c>
      <c r="K31" s="39">
        <v>2000</v>
      </c>
      <c r="L31" s="39">
        <v>1421</v>
      </c>
      <c r="M31" s="39">
        <v>1346</v>
      </c>
      <c r="N31" s="39">
        <v>1272</v>
      </c>
      <c r="O31" s="39">
        <v>1178</v>
      </c>
      <c r="P31" s="39">
        <v>2201</v>
      </c>
      <c r="Q31" s="39">
        <v>2266</v>
      </c>
      <c r="R31" s="39">
        <v>1650</v>
      </c>
      <c r="S31" s="39">
        <v>1650</v>
      </c>
      <c r="T31" s="39">
        <v>1650</v>
      </c>
      <c r="U31" s="39">
        <v>1650</v>
      </c>
      <c r="V31" s="39">
        <v>1650</v>
      </c>
      <c r="W31" s="39">
        <v>1650</v>
      </c>
      <c r="X31" s="39">
        <v>5000</v>
      </c>
      <c r="Y31" s="39">
        <v>1700</v>
      </c>
      <c r="Z31" s="39">
        <v>1000</v>
      </c>
      <c r="AA31" s="39">
        <v>1650</v>
      </c>
      <c r="AB31" s="39">
        <v>1650</v>
      </c>
      <c r="AC31" s="39">
        <v>1650</v>
      </c>
      <c r="AD31" s="39">
        <v>1650</v>
      </c>
      <c r="AE31" s="70">
        <v>2000</v>
      </c>
      <c r="AF31" s="70">
        <v>2000</v>
      </c>
      <c r="AG31" s="39">
        <v>5000</v>
      </c>
      <c r="AH31" s="70">
        <v>2000</v>
      </c>
      <c r="AI31" s="70">
        <v>2000</v>
      </c>
      <c r="AJ31" s="70">
        <v>2000</v>
      </c>
      <c r="AK31" s="70">
        <v>2000</v>
      </c>
      <c r="AL31" s="70">
        <v>2000</v>
      </c>
      <c r="AM31" s="70">
        <v>2000</v>
      </c>
      <c r="AN31" s="70">
        <v>2000</v>
      </c>
      <c r="AO31" s="39">
        <v>2300</v>
      </c>
      <c r="AP31" s="39">
        <v>10000</v>
      </c>
      <c r="AQ31" s="39">
        <v>2300</v>
      </c>
      <c r="AR31" s="39">
        <v>2300</v>
      </c>
      <c r="AS31" s="39">
        <v>2300</v>
      </c>
      <c r="AT31" s="91">
        <v>10000</v>
      </c>
      <c r="AU31" s="91">
        <v>30000</v>
      </c>
      <c r="AV31" s="39">
        <v>2300</v>
      </c>
      <c r="AW31" s="39">
        <v>2300</v>
      </c>
      <c r="AX31" s="39">
        <v>2300</v>
      </c>
      <c r="AY31" s="91">
        <v>2800</v>
      </c>
      <c r="AZ31" s="91">
        <v>2800</v>
      </c>
      <c r="BA31" s="91">
        <v>2800</v>
      </c>
      <c r="BB31" s="91">
        <v>2800</v>
      </c>
      <c r="BC31" s="91">
        <v>2800</v>
      </c>
      <c r="BD31" s="91">
        <v>2800</v>
      </c>
      <c r="BE31" s="91">
        <v>2800</v>
      </c>
      <c r="BF31" s="91">
        <v>2800</v>
      </c>
      <c r="BG31" s="91">
        <v>2800</v>
      </c>
      <c r="BH31" s="91">
        <v>2800</v>
      </c>
      <c r="BI31" s="91">
        <v>2800</v>
      </c>
      <c r="BJ31" s="91">
        <v>2800</v>
      </c>
      <c r="BK31" s="91">
        <v>2800</v>
      </c>
      <c r="BL31" s="91">
        <v>2800</v>
      </c>
      <c r="BM31" s="91">
        <v>2800</v>
      </c>
      <c r="BN31" s="91">
        <v>2800</v>
      </c>
      <c r="BO31" s="91">
        <v>2800</v>
      </c>
      <c r="BP31" s="91">
        <v>1200</v>
      </c>
      <c r="BQ31" s="91">
        <v>2800</v>
      </c>
      <c r="BR31" s="91">
        <v>2800</v>
      </c>
      <c r="BS31" s="156">
        <v>2800</v>
      </c>
      <c r="BT31" s="91">
        <v>2800</v>
      </c>
      <c r="BU31" s="91">
        <v>2800</v>
      </c>
      <c r="BV31" s="91">
        <v>3000</v>
      </c>
      <c r="BW31" s="91">
        <v>3000</v>
      </c>
      <c r="BX31" s="91">
        <v>3000</v>
      </c>
      <c r="BY31" s="91">
        <v>3000</v>
      </c>
      <c r="BZ31" s="91">
        <v>3000</v>
      </c>
      <c r="CA31" s="91">
        <v>3000</v>
      </c>
      <c r="CB31" s="91">
        <v>3000</v>
      </c>
      <c r="CC31" s="91">
        <v>3000</v>
      </c>
      <c r="CD31" s="91">
        <v>3000</v>
      </c>
      <c r="CE31" s="91">
        <v>3000</v>
      </c>
      <c r="CF31" s="91">
        <v>3000</v>
      </c>
      <c r="CG31" s="91">
        <v>3000</v>
      </c>
      <c r="CH31" s="91">
        <v>3000</v>
      </c>
      <c r="CI31" s="91">
        <v>3000</v>
      </c>
      <c r="CJ31" s="91">
        <v>3000</v>
      </c>
      <c r="CK31" s="91">
        <v>3000</v>
      </c>
      <c r="CL31" s="91">
        <v>3000</v>
      </c>
      <c r="CM31" s="91"/>
    </row>
    <row r="32" spans="1:91" x14ac:dyDescent="0.15">
      <c r="A32" s="35">
        <v>30</v>
      </c>
      <c r="B32" s="36" t="s">
        <v>78</v>
      </c>
      <c r="C32" s="35" t="s">
        <v>104</v>
      </c>
      <c r="D32" s="37" t="s">
        <v>79</v>
      </c>
      <c r="E32" s="37">
        <v>1310</v>
      </c>
      <c r="F32" s="37">
        <f t="shared" si="0"/>
        <v>249381</v>
      </c>
      <c r="G32" s="37">
        <f t="shared" si="2"/>
        <v>246211</v>
      </c>
      <c r="H32" s="40">
        <f t="shared" si="1"/>
        <v>3170</v>
      </c>
      <c r="K32" s="39">
        <v>2000</v>
      </c>
      <c r="L32" s="39">
        <v>1551</v>
      </c>
      <c r="M32" s="39">
        <v>1430</v>
      </c>
      <c r="N32" s="39">
        <v>1351</v>
      </c>
      <c r="O32" s="39">
        <v>1296</v>
      </c>
      <c r="P32" s="39">
        <v>2316</v>
      </c>
      <c r="Q32" s="39">
        <v>2367</v>
      </c>
      <c r="R32" s="39">
        <v>1760</v>
      </c>
      <c r="S32" s="39">
        <v>1760</v>
      </c>
      <c r="T32" s="39">
        <v>1760</v>
      </c>
      <c r="U32" s="39">
        <v>1760</v>
      </c>
      <c r="V32" s="39">
        <v>1760</v>
      </c>
      <c r="W32" s="39">
        <v>1760</v>
      </c>
      <c r="X32" s="39">
        <v>5000</v>
      </c>
      <c r="Y32" s="39">
        <v>1700</v>
      </c>
      <c r="Z32" s="39">
        <v>1000</v>
      </c>
      <c r="AA32" s="39">
        <v>1760</v>
      </c>
      <c r="AB32" s="39">
        <v>1760</v>
      </c>
      <c r="AC32" s="39">
        <v>1760</v>
      </c>
      <c r="AD32" s="39">
        <v>1760</v>
      </c>
      <c r="AE32" s="70">
        <v>2140</v>
      </c>
      <c r="AF32" s="70">
        <v>2140</v>
      </c>
      <c r="AG32" s="39">
        <v>5000</v>
      </c>
      <c r="AH32" s="70">
        <v>2140</v>
      </c>
      <c r="AI32" s="70">
        <v>2140</v>
      </c>
      <c r="AJ32" s="70">
        <v>2140</v>
      </c>
      <c r="AK32" s="70">
        <v>2140</v>
      </c>
      <c r="AL32" s="70">
        <v>2140</v>
      </c>
      <c r="AM32" s="70">
        <v>2140</v>
      </c>
      <c r="AN32" s="70">
        <v>2140</v>
      </c>
      <c r="AO32" s="39">
        <v>2440</v>
      </c>
      <c r="AP32" s="39">
        <v>10000</v>
      </c>
      <c r="AQ32" s="39">
        <v>2440</v>
      </c>
      <c r="AR32" s="39">
        <v>2440</v>
      </c>
      <c r="AS32" s="39">
        <v>2440</v>
      </c>
      <c r="AT32" s="91">
        <v>10000</v>
      </c>
      <c r="AU32" s="91">
        <v>30000</v>
      </c>
      <c r="AV32" s="39">
        <v>2440</v>
      </c>
      <c r="AW32" s="39">
        <v>2440</v>
      </c>
      <c r="AX32" s="39">
        <v>2440</v>
      </c>
      <c r="AY32" s="91">
        <v>2970</v>
      </c>
      <c r="AZ32" s="91">
        <v>2970</v>
      </c>
      <c r="BA32" s="91">
        <v>2970</v>
      </c>
      <c r="BB32" s="91">
        <v>2970</v>
      </c>
      <c r="BC32" s="91">
        <v>2970</v>
      </c>
      <c r="BD32" s="91">
        <v>2970</v>
      </c>
      <c r="BE32" s="91">
        <v>2970</v>
      </c>
      <c r="BF32" s="91">
        <v>2970</v>
      </c>
      <c r="BG32" s="91">
        <v>2970</v>
      </c>
      <c r="BH32" s="91">
        <v>2970</v>
      </c>
      <c r="BI32" s="91">
        <v>2970</v>
      </c>
      <c r="BJ32" s="91">
        <v>2970</v>
      </c>
      <c r="BK32" s="91">
        <v>2970</v>
      </c>
      <c r="BL32" s="91">
        <v>2970</v>
      </c>
      <c r="BM32" s="91">
        <v>2970</v>
      </c>
      <c r="BN32" s="91">
        <v>2970</v>
      </c>
      <c r="BO32" s="91">
        <v>2970</v>
      </c>
      <c r="BP32" s="91">
        <v>1200</v>
      </c>
      <c r="BQ32" s="91">
        <v>2970</v>
      </c>
      <c r="BR32" s="91">
        <v>2970</v>
      </c>
      <c r="BS32" s="156">
        <v>2970</v>
      </c>
      <c r="BT32" s="91">
        <v>2970</v>
      </c>
      <c r="BU32" s="91">
        <v>2970</v>
      </c>
      <c r="BV32" s="91">
        <v>3170</v>
      </c>
      <c r="BW32" s="91">
        <v>3170</v>
      </c>
      <c r="BX32" s="91">
        <v>3170</v>
      </c>
      <c r="BY32" s="91">
        <v>3170</v>
      </c>
      <c r="BZ32" s="91">
        <v>3170</v>
      </c>
      <c r="CA32" s="91">
        <v>3170</v>
      </c>
      <c r="CB32" s="91">
        <v>3170</v>
      </c>
      <c r="CC32" s="91">
        <v>3170</v>
      </c>
      <c r="CD32" s="91">
        <v>3170</v>
      </c>
      <c r="CE32" s="91">
        <v>3170</v>
      </c>
      <c r="CF32" s="91">
        <v>3170</v>
      </c>
      <c r="CG32" s="91">
        <v>3170</v>
      </c>
      <c r="CH32" s="91">
        <v>3170</v>
      </c>
      <c r="CI32" s="91">
        <v>3170</v>
      </c>
      <c r="CJ32" s="91">
        <v>3170</v>
      </c>
      <c r="CK32" s="91">
        <v>3170</v>
      </c>
      <c r="CL32" s="91">
        <v>3170</v>
      </c>
      <c r="CM32" s="91"/>
    </row>
    <row r="33" spans="1:91" x14ac:dyDescent="0.15">
      <c r="A33" s="35">
        <v>31</v>
      </c>
      <c r="B33" s="36" t="s">
        <v>80</v>
      </c>
      <c r="C33" s="35" t="s">
        <v>104</v>
      </c>
      <c r="D33" s="37" t="s">
        <v>81</v>
      </c>
      <c r="E33" s="37">
        <v>1310</v>
      </c>
      <c r="F33" s="37">
        <f t="shared" si="0"/>
        <v>249381</v>
      </c>
      <c r="G33" s="37">
        <f t="shared" si="2"/>
        <v>243998.5</v>
      </c>
      <c r="H33" s="40">
        <f t="shared" si="1"/>
        <v>5382.5</v>
      </c>
      <c r="K33" s="39">
        <v>2000</v>
      </c>
      <c r="L33" s="39">
        <v>1551</v>
      </c>
      <c r="M33" s="39">
        <v>1430</v>
      </c>
      <c r="N33" s="39">
        <v>1351</v>
      </c>
      <c r="O33" s="39">
        <v>1296</v>
      </c>
      <c r="P33" s="39">
        <v>2316</v>
      </c>
      <c r="Q33" s="39">
        <v>2367</v>
      </c>
      <c r="R33" s="39">
        <v>1760</v>
      </c>
      <c r="S33" s="39">
        <v>1760</v>
      </c>
      <c r="T33" s="39">
        <v>1760</v>
      </c>
      <c r="U33" s="39">
        <v>1760</v>
      </c>
      <c r="V33" s="39">
        <v>1760</v>
      </c>
      <c r="W33" s="39">
        <v>1760</v>
      </c>
      <c r="X33" s="39">
        <v>5000</v>
      </c>
      <c r="Y33" s="39">
        <v>1700</v>
      </c>
      <c r="Z33" s="39">
        <v>1000</v>
      </c>
      <c r="AA33" s="39">
        <v>1760</v>
      </c>
      <c r="AB33" s="39">
        <v>1760</v>
      </c>
      <c r="AC33" s="39">
        <v>1760</v>
      </c>
      <c r="AD33" s="39">
        <v>1760</v>
      </c>
      <c r="AE33" s="70">
        <v>2140</v>
      </c>
      <c r="AF33" s="70">
        <v>2140</v>
      </c>
      <c r="AG33" s="39">
        <v>5000</v>
      </c>
      <c r="AH33" s="70">
        <v>2140</v>
      </c>
      <c r="AI33" s="70">
        <v>2140</v>
      </c>
      <c r="AJ33" s="70">
        <v>2140</v>
      </c>
      <c r="AK33" s="70">
        <v>2140</v>
      </c>
      <c r="AL33" s="70">
        <v>2140</v>
      </c>
      <c r="AM33" s="70">
        <v>2140</v>
      </c>
      <c r="AN33" s="70">
        <v>2140</v>
      </c>
      <c r="AO33" s="39">
        <v>2440</v>
      </c>
      <c r="AP33" s="39">
        <v>10000</v>
      </c>
      <c r="AQ33" s="39">
        <v>2440</v>
      </c>
      <c r="AR33" s="39">
        <v>2440</v>
      </c>
      <c r="AS33" s="39">
        <v>2440</v>
      </c>
      <c r="AT33" s="91">
        <v>10000</v>
      </c>
      <c r="AU33" s="91">
        <v>30000</v>
      </c>
      <c r="AV33" s="39">
        <v>2440</v>
      </c>
      <c r="AW33" s="39">
        <v>2440</v>
      </c>
      <c r="AX33" s="39">
        <v>2440</v>
      </c>
      <c r="AY33" s="91">
        <v>2970</v>
      </c>
      <c r="AZ33" s="91">
        <v>2970</v>
      </c>
      <c r="BA33" s="91">
        <v>2970</v>
      </c>
      <c r="BB33" s="91">
        <v>2970</v>
      </c>
      <c r="BC33" s="91">
        <v>2970</v>
      </c>
      <c r="BD33" s="91">
        <v>2970</v>
      </c>
      <c r="BE33" s="91">
        <v>2970</v>
      </c>
      <c r="BF33" s="91">
        <v>2970</v>
      </c>
      <c r="BG33" s="91">
        <v>2970</v>
      </c>
      <c r="BH33" s="91">
        <v>2970</v>
      </c>
      <c r="BI33" s="91">
        <v>2970</v>
      </c>
      <c r="BJ33" s="91">
        <v>2970</v>
      </c>
      <c r="BK33" s="91">
        <v>2970</v>
      </c>
      <c r="BL33" s="91">
        <v>2970</v>
      </c>
      <c r="BM33" s="91">
        <v>2970</v>
      </c>
      <c r="BN33" s="91">
        <v>2970</v>
      </c>
      <c r="BO33" s="91">
        <v>2970</v>
      </c>
      <c r="BP33" s="91">
        <v>1200</v>
      </c>
      <c r="BQ33" s="91">
        <v>2970</v>
      </c>
      <c r="BR33" s="91">
        <v>2970</v>
      </c>
      <c r="BS33" s="156">
        <v>2970</v>
      </c>
      <c r="BT33" s="91">
        <v>2970</v>
      </c>
      <c r="BU33" s="91">
        <v>2970</v>
      </c>
      <c r="BV33" s="91">
        <v>3170</v>
      </c>
      <c r="BW33" s="91">
        <v>3170</v>
      </c>
      <c r="BX33" s="91">
        <v>3170</v>
      </c>
      <c r="BY33" s="91">
        <v>3170</v>
      </c>
      <c r="BZ33" s="91">
        <v>3170</v>
      </c>
      <c r="CA33" s="91">
        <v>3170</v>
      </c>
      <c r="CB33" s="91">
        <v>3170</v>
      </c>
      <c r="CC33" s="91">
        <v>3170</v>
      </c>
      <c r="CD33" s="91">
        <v>3170</v>
      </c>
      <c r="CE33" s="91">
        <v>3170</v>
      </c>
      <c r="CF33" s="91">
        <v>3170</v>
      </c>
      <c r="CG33" s="91">
        <v>3170</v>
      </c>
      <c r="CH33" s="91">
        <v>3170</v>
      </c>
      <c r="CI33" s="91">
        <v>3170</v>
      </c>
      <c r="CJ33" s="91">
        <v>3170</v>
      </c>
      <c r="CK33" s="91">
        <v>3170</v>
      </c>
      <c r="CL33" s="91">
        <v>3170</v>
      </c>
      <c r="CM33" s="91"/>
    </row>
    <row r="34" spans="1:91" x14ac:dyDescent="0.15">
      <c r="A34" s="35">
        <v>30</v>
      </c>
      <c r="B34" s="36" t="s">
        <v>82</v>
      </c>
      <c r="C34" s="35" t="s">
        <v>104</v>
      </c>
      <c r="D34" s="37" t="s">
        <v>189</v>
      </c>
      <c r="E34" s="37">
        <v>1310</v>
      </c>
      <c r="F34" s="37">
        <f t="shared" si="0"/>
        <v>249381</v>
      </c>
      <c r="G34" s="37">
        <f t="shared" si="2"/>
        <v>244281</v>
      </c>
      <c r="H34" s="40">
        <f t="shared" si="1"/>
        <v>5100</v>
      </c>
      <c r="K34" s="39">
        <v>2000</v>
      </c>
      <c r="L34" s="39">
        <v>1551</v>
      </c>
      <c r="M34" s="39">
        <v>1430</v>
      </c>
      <c r="N34" s="39">
        <v>1351</v>
      </c>
      <c r="O34" s="39">
        <v>1296</v>
      </c>
      <c r="P34" s="39">
        <v>2316</v>
      </c>
      <c r="Q34" s="39">
        <v>2367</v>
      </c>
      <c r="R34" s="39">
        <v>1760</v>
      </c>
      <c r="S34" s="39">
        <v>1760</v>
      </c>
      <c r="T34" s="39">
        <v>1760</v>
      </c>
      <c r="U34" s="39">
        <v>1760</v>
      </c>
      <c r="V34" s="39">
        <v>1760</v>
      </c>
      <c r="W34" s="39">
        <v>1760</v>
      </c>
      <c r="X34" s="39">
        <v>5000</v>
      </c>
      <c r="Y34" s="39">
        <v>1700</v>
      </c>
      <c r="Z34" s="39">
        <v>1000</v>
      </c>
      <c r="AA34" s="39">
        <v>1760</v>
      </c>
      <c r="AB34" s="39">
        <v>1760</v>
      </c>
      <c r="AC34" s="39">
        <v>1760</v>
      </c>
      <c r="AD34" s="39">
        <v>1760</v>
      </c>
      <c r="AE34" s="70">
        <v>2140</v>
      </c>
      <c r="AF34" s="70">
        <v>2140</v>
      </c>
      <c r="AG34" s="39">
        <v>5000</v>
      </c>
      <c r="AH34" s="70">
        <v>2140</v>
      </c>
      <c r="AI34" s="70">
        <v>2140</v>
      </c>
      <c r="AJ34" s="70">
        <v>2140</v>
      </c>
      <c r="AK34" s="70">
        <v>2140</v>
      </c>
      <c r="AL34" s="70">
        <v>2140</v>
      </c>
      <c r="AM34" s="70">
        <v>2140</v>
      </c>
      <c r="AN34" s="70">
        <v>2140</v>
      </c>
      <c r="AO34" s="39">
        <v>2440</v>
      </c>
      <c r="AP34" s="39">
        <v>10000</v>
      </c>
      <c r="AQ34" s="39">
        <v>2440</v>
      </c>
      <c r="AR34" s="39">
        <v>2440</v>
      </c>
      <c r="AS34" s="39">
        <v>2440</v>
      </c>
      <c r="AT34" s="91">
        <v>10000</v>
      </c>
      <c r="AU34" s="91">
        <v>30000</v>
      </c>
      <c r="AV34" s="39">
        <v>2440</v>
      </c>
      <c r="AW34" s="39">
        <v>2440</v>
      </c>
      <c r="AX34" s="39">
        <v>2440</v>
      </c>
      <c r="AY34" s="91">
        <v>2970</v>
      </c>
      <c r="AZ34" s="91">
        <v>2970</v>
      </c>
      <c r="BA34" s="91">
        <v>2970</v>
      </c>
      <c r="BB34" s="91">
        <v>2970</v>
      </c>
      <c r="BC34" s="91">
        <v>2970</v>
      </c>
      <c r="BD34" s="91">
        <v>2970</v>
      </c>
      <c r="BE34" s="91">
        <v>2970</v>
      </c>
      <c r="BF34" s="91">
        <v>2970</v>
      </c>
      <c r="BG34" s="91">
        <v>2970</v>
      </c>
      <c r="BH34" s="91">
        <v>2970</v>
      </c>
      <c r="BI34" s="91">
        <v>2970</v>
      </c>
      <c r="BJ34" s="91">
        <v>2970</v>
      </c>
      <c r="BK34" s="91">
        <v>2970</v>
      </c>
      <c r="BL34" s="91">
        <v>2970</v>
      </c>
      <c r="BM34" s="91">
        <v>2970</v>
      </c>
      <c r="BN34" s="91">
        <v>2970</v>
      </c>
      <c r="BO34" s="91">
        <v>2970</v>
      </c>
      <c r="BP34" s="91">
        <v>1200</v>
      </c>
      <c r="BQ34" s="91">
        <v>2970</v>
      </c>
      <c r="BR34" s="91">
        <v>2970</v>
      </c>
      <c r="BS34" s="156">
        <v>2970</v>
      </c>
      <c r="BT34" s="91">
        <v>2970</v>
      </c>
      <c r="BU34" s="91">
        <v>2970</v>
      </c>
      <c r="BV34" s="91">
        <v>3170</v>
      </c>
      <c r="BW34" s="91">
        <v>3170</v>
      </c>
      <c r="BX34" s="91">
        <v>3170</v>
      </c>
      <c r="BY34" s="91">
        <v>3170</v>
      </c>
      <c r="BZ34" s="91">
        <v>3170</v>
      </c>
      <c r="CA34" s="91">
        <v>3170</v>
      </c>
      <c r="CB34" s="91">
        <v>3170</v>
      </c>
      <c r="CC34" s="91">
        <v>3170</v>
      </c>
      <c r="CD34" s="91">
        <v>3170</v>
      </c>
      <c r="CE34" s="91">
        <v>3170</v>
      </c>
      <c r="CF34" s="91">
        <v>3170</v>
      </c>
      <c r="CG34" s="91">
        <v>3170</v>
      </c>
      <c r="CH34" s="91">
        <v>3170</v>
      </c>
      <c r="CI34" s="91">
        <v>3170</v>
      </c>
      <c r="CJ34" s="91">
        <v>3170</v>
      </c>
      <c r="CK34" s="91">
        <v>3170</v>
      </c>
      <c r="CL34" s="91">
        <v>3170</v>
      </c>
      <c r="CM34" s="91"/>
    </row>
    <row r="35" spans="1:91" x14ac:dyDescent="0.15">
      <c r="A35" s="35">
        <v>33</v>
      </c>
      <c r="B35" s="36" t="s">
        <v>84</v>
      </c>
      <c r="C35" s="35" t="s">
        <v>104</v>
      </c>
      <c r="D35" s="37" t="s">
        <v>85</v>
      </c>
      <c r="E35" s="37">
        <v>1645</v>
      </c>
      <c r="F35" s="37">
        <f t="shared" si="0"/>
        <v>281727</v>
      </c>
      <c r="G35" s="37">
        <f t="shared" si="2"/>
        <v>280727</v>
      </c>
      <c r="H35" s="40">
        <f t="shared" si="1"/>
        <v>1000</v>
      </c>
      <c r="K35" s="39">
        <v>2000</v>
      </c>
      <c r="L35" s="39">
        <v>1947</v>
      </c>
      <c r="M35" s="39">
        <v>1683</v>
      </c>
      <c r="N35" s="39">
        <v>1589</v>
      </c>
      <c r="O35" s="39">
        <v>1615</v>
      </c>
      <c r="P35" s="39">
        <v>2629</v>
      </c>
      <c r="Q35" s="39">
        <v>2674</v>
      </c>
      <c r="R35" s="39">
        <v>2100</v>
      </c>
      <c r="S35" s="39">
        <v>2100</v>
      </c>
      <c r="T35" s="39">
        <v>2100</v>
      </c>
      <c r="U35" s="39">
        <v>2100</v>
      </c>
      <c r="V35" s="39">
        <v>2100</v>
      </c>
      <c r="W35" s="39">
        <v>2100</v>
      </c>
      <c r="X35" s="39">
        <v>5000</v>
      </c>
      <c r="Y35" s="39">
        <v>1700</v>
      </c>
      <c r="Z35" s="39">
        <v>1000</v>
      </c>
      <c r="AA35" s="39">
        <v>2100</v>
      </c>
      <c r="AB35" s="39">
        <v>2100</v>
      </c>
      <c r="AC35" s="39">
        <v>2100</v>
      </c>
      <c r="AD35" s="39">
        <v>2100</v>
      </c>
      <c r="AE35" s="70">
        <v>2560</v>
      </c>
      <c r="AF35" s="70">
        <v>2560</v>
      </c>
      <c r="AG35" s="39">
        <v>5000</v>
      </c>
      <c r="AH35" s="70">
        <v>2560</v>
      </c>
      <c r="AI35" s="70">
        <v>2560</v>
      </c>
      <c r="AJ35" s="70">
        <v>2560</v>
      </c>
      <c r="AK35" s="70">
        <v>2560</v>
      </c>
      <c r="AL35" s="70">
        <v>2560</v>
      </c>
      <c r="AM35" s="70">
        <v>2560</v>
      </c>
      <c r="AN35" s="70">
        <v>2560</v>
      </c>
      <c r="AO35" s="39">
        <v>2860</v>
      </c>
      <c r="AP35" s="39">
        <v>10000</v>
      </c>
      <c r="AQ35" s="39">
        <v>2860</v>
      </c>
      <c r="AR35" s="39">
        <v>2860</v>
      </c>
      <c r="AS35" s="39">
        <v>2860</v>
      </c>
      <c r="AT35" s="91">
        <v>10000</v>
      </c>
      <c r="AU35" s="91">
        <v>30000</v>
      </c>
      <c r="AV35" s="39">
        <v>2860</v>
      </c>
      <c r="AW35" s="39">
        <v>2860</v>
      </c>
      <c r="AX35" s="39">
        <v>2860</v>
      </c>
      <c r="AY35" s="91">
        <v>3470</v>
      </c>
      <c r="AZ35" s="91">
        <v>3470</v>
      </c>
      <c r="BA35" s="91">
        <v>3470</v>
      </c>
      <c r="BB35" s="91">
        <v>3470</v>
      </c>
      <c r="BC35" s="91">
        <v>3470</v>
      </c>
      <c r="BD35" s="91">
        <v>3470</v>
      </c>
      <c r="BE35" s="91">
        <v>3470</v>
      </c>
      <c r="BF35" s="91">
        <v>3470</v>
      </c>
      <c r="BG35" s="91">
        <v>3470</v>
      </c>
      <c r="BH35" s="91">
        <v>3470</v>
      </c>
      <c r="BI35" s="91">
        <v>3470</v>
      </c>
      <c r="BJ35" s="91">
        <v>3470</v>
      </c>
      <c r="BK35" s="91">
        <v>3470</v>
      </c>
      <c r="BL35" s="91">
        <v>3470</v>
      </c>
      <c r="BM35" s="91">
        <v>3470</v>
      </c>
      <c r="BN35" s="91">
        <v>3470</v>
      </c>
      <c r="BO35" s="91">
        <v>3470</v>
      </c>
      <c r="BP35" s="91">
        <v>1200</v>
      </c>
      <c r="BQ35" s="91">
        <v>3470</v>
      </c>
      <c r="BR35" s="91">
        <v>3470</v>
      </c>
      <c r="BS35" s="156">
        <v>3470</v>
      </c>
      <c r="BT35" s="91">
        <v>3470</v>
      </c>
      <c r="BU35" s="91">
        <v>3470</v>
      </c>
      <c r="BV35" s="91">
        <v>3670</v>
      </c>
      <c r="BW35" s="91">
        <v>3670</v>
      </c>
      <c r="BX35" s="91">
        <v>3670</v>
      </c>
      <c r="BY35" s="91">
        <v>3670</v>
      </c>
      <c r="BZ35" s="91">
        <v>3670</v>
      </c>
      <c r="CA35" s="91">
        <v>3670</v>
      </c>
      <c r="CB35" s="91">
        <v>3670</v>
      </c>
      <c r="CC35" s="91">
        <v>3670</v>
      </c>
      <c r="CD35" s="91">
        <v>3670</v>
      </c>
      <c r="CE35" s="91">
        <v>3670</v>
      </c>
      <c r="CF35" s="91">
        <v>3670</v>
      </c>
      <c r="CG35" s="91">
        <v>3670</v>
      </c>
      <c r="CH35" s="91">
        <v>3670</v>
      </c>
      <c r="CI35" s="91">
        <v>3670</v>
      </c>
      <c r="CJ35" s="91">
        <v>3670</v>
      </c>
      <c r="CK35" s="91">
        <v>3670</v>
      </c>
      <c r="CL35" s="91">
        <v>3670</v>
      </c>
      <c r="CM35" s="91"/>
    </row>
    <row r="36" spans="1:91" x14ac:dyDescent="0.15">
      <c r="A36" s="35">
        <v>34</v>
      </c>
      <c r="B36" s="36" t="s">
        <v>86</v>
      </c>
      <c r="C36" s="35" t="s">
        <v>104</v>
      </c>
      <c r="D36" s="37" t="s">
        <v>87</v>
      </c>
      <c r="E36" s="37">
        <v>1699</v>
      </c>
      <c r="F36" s="37">
        <f t="shared" si="0"/>
        <v>285705</v>
      </c>
      <c r="G36" s="37">
        <f t="shared" si="2"/>
        <v>281855</v>
      </c>
      <c r="H36" s="40">
        <f t="shared" si="1"/>
        <v>3850</v>
      </c>
      <c r="K36" s="39">
        <v>2000</v>
      </c>
      <c r="L36" s="39">
        <v>2011</v>
      </c>
      <c r="M36" s="39">
        <v>1724</v>
      </c>
      <c r="N36" s="39">
        <v>1628</v>
      </c>
      <c r="O36" s="39">
        <v>1668</v>
      </c>
      <c r="P36" s="39">
        <v>2681</v>
      </c>
      <c r="Q36" s="39">
        <v>2723</v>
      </c>
      <c r="R36" s="39">
        <v>2150</v>
      </c>
      <c r="S36" s="39">
        <v>2150</v>
      </c>
      <c r="T36" s="39">
        <v>2150</v>
      </c>
      <c r="U36" s="39">
        <v>2150</v>
      </c>
      <c r="V36" s="39">
        <v>2150</v>
      </c>
      <c r="W36" s="39">
        <v>2150</v>
      </c>
      <c r="X36" s="39">
        <v>5000</v>
      </c>
      <c r="Y36" s="39">
        <v>1700</v>
      </c>
      <c r="Z36" s="39">
        <v>1000</v>
      </c>
      <c r="AA36" s="39">
        <v>2150</v>
      </c>
      <c r="AB36" s="39">
        <v>2150</v>
      </c>
      <c r="AC36" s="39">
        <v>2150</v>
      </c>
      <c r="AD36" s="39">
        <v>2150</v>
      </c>
      <c r="AE36" s="70">
        <v>2620</v>
      </c>
      <c r="AF36" s="70">
        <v>2620</v>
      </c>
      <c r="AG36" s="39">
        <v>5000</v>
      </c>
      <c r="AH36" s="70">
        <v>2620</v>
      </c>
      <c r="AI36" s="70">
        <v>2620</v>
      </c>
      <c r="AJ36" s="70">
        <v>2620</v>
      </c>
      <c r="AK36" s="70">
        <v>2620</v>
      </c>
      <c r="AL36" s="70">
        <v>2620</v>
      </c>
      <c r="AM36" s="70">
        <v>2620</v>
      </c>
      <c r="AN36" s="70">
        <v>2620</v>
      </c>
      <c r="AO36" s="39">
        <v>2920</v>
      </c>
      <c r="AP36" s="39">
        <v>10000</v>
      </c>
      <c r="AQ36" s="39">
        <v>2920</v>
      </c>
      <c r="AR36" s="39">
        <v>2920</v>
      </c>
      <c r="AS36" s="39">
        <v>2920</v>
      </c>
      <c r="AT36" s="91">
        <v>10000</v>
      </c>
      <c r="AU36" s="91">
        <v>30000</v>
      </c>
      <c r="AV36" s="39">
        <v>2920</v>
      </c>
      <c r="AW36" s="39">
        <v>2920</v>
      </c>
      <c r="AX36" s="39">
        <v>2920</v>
      </c>
      <c r="AY36" s="91">
        <v>3550</v>
      </c>
      <c r="AZ36" s="91">
        <v>3550</v>
      </c>
      <c r="BA36" s="91">
        <v>3550</v>
      </c>
      <c r="BB36" s="91">
        <v>3550</v>
      </c>
      <c r="BC36" s="91">
        <v>3550</v>
      </c>
      <c r="BD36" s="91">
        <v>3550</v>
      </c>
      <c r="BE36" s="91">
        <v>3550</v>
      </c>
      <c r="BF36" s="91">
        <v>3550</v>
      </c>
      <c r="BG36" s="91">
        <v>3550</v>
      </c>
      <c r="BH36" s="91">
        <v>3550</v>
      </c>
      <c r="BI36" s="91">
        <v>3550</v>
      </c>
      <c r="BJ36" s="91">
        <v>3550</v>
      </c>
      <c r="BK36" s="91">
        <v>3550</v>
      </c>
      <c r="BL36" s="91">
        <v>3550</v>
      </c>
      <c r="BM36" s="91">
        <v>3550</v>
      </c>
      <c r="BN36" s="91">
        <v>3550</v>
      </c>
      <c r="BO36" s="91">
        <v>3550</v>
      </c>
      <c r="BP36" s="91">
        <v>1200</v>
      </c>
      <c r="BQ36" s="91">
        <v>3550</v>
      </c>
      <c r="BR36" s="91">
        <v>3550</v>
      </c>
      <c r="BS36" s="156">
        <v>3550</v>
      </c>
      <c r="BT36" s="91">
        <v>3550</v>
      </c>
      <c r="BU36" s="91">
        <v>3550</v>
      </c>
      <c r="BV36" s="91">
        <v>3750</v>
      </c>
      <c r="BW36" s="91">
        <v>3750</v>
      </c>
      <c r="BX36" s="91">
        <v>3750</v>
      </c>
      <c r="BY36" s="91">
        <v>3750</v>
      </c>
      <c r="BZ36" s="91">
        <v>3750</v>
      </c>
      <c r="CA36" s="91">
        <v>3750</v>
      </c>
      <c r="CB36" s="91">
        <v>3750</v>
      </c>
      <c r="CC36" s="91">
        <v>3750</v>
      </c>
      <c r="CD36" s="91">
        <v>3750</v>
      </c>
      <c r="CE36" s="91">
        <v>3750</v>
      </c>
      <c r="CF36" s="91">
        <v>3750</v>
      </c>
      <c r="CG36" s="91">
        <v>3750</v>
      </c>
      <c r="CH36" s="91">
        <v>3750</v>
      </c>
      <c r="CI36" s="91">
        <v>3750</v>
      </c>
      <c r="CJ36" s="91">
        <v>3750</v>
      </c>
      <c r="CK36" s="91">
        <v>3750</v>
      </c>
      <c r="CL36" s="91">
        <v>3750</v>
      </c>
      <c r="CM36" s="91"/>
    </row>
    <row r="37" spans="1:91" x14ac:dyDescent="0.15">
      <c r="A37" s="35">
        <v>35</v>
      </c>
      <c r="B37" s="36" t="s">
        <v>88</v>
      </c>
      <c r="C37" s="35" t="s">
        <v>104</v>
      </c>
      <c r="D37" s="37" t="s">
        <v>89</v>
      </c>
      <c r="E37" s="37">
        <v>1699</v>
      </c>
      <c r="F37" s="37">
        <f t="shared" si="0"/>
        <v>286505</v>
      </c>
      <c r="G37" s="37">
        <f t="shared" si="2"/>
        <v>282755</v>
      </c>
      <c r="H37" s="40">
        <f t="shared" si="1"/>
        <v>3750</v>
      </c>
      <c r="K37" s="39">
        <v>2000</v>
      </c>
      <c r="L37" s="39">
        <v>2011</v>
      </c>
      <c r="M37" s="39">
        <v>1724</v>
      </c>
      <c r="N37" s="39">
        <v>1628</v>
      </c>
      <c r="O37" s="39">
        <v>1668</v>
      </c>
      <c r="P37" s="39">
        <v>2681</v>
      </c>
      <c r="Q37" s="39">
        <v>2723</v>
      </c>
      <c r="R37" s="39">
        <v>2150</v>
      </c>
      <c r="S37" s="39">
        <v>2150</v>
      </c>
      <c r="T37" s="39">
        <v>2150</v>
      </c>
      <c r="U37" s="39">
        <v>2150</v>
      </c>
      <c r="V37" s="39">
        <v>2150</v>
      </c>
      <c r="W37" s="39">
        <v>2150</v>
      </c>
      <c r="X37" s="39">
        <v>5000</v>
      </c>
      <c r="Y37" s="39">
        <v>1700</v>
      </c>
      <c r="Z37" s="39">
        <v>1000</v>
      </c>
      <c r="AA37" s="39">
        <v>2150</v>
      </c>
      <c r="AB37" s="39">
        <v>2150</v>
      </c>
      <c r="AC37" s="39">
        <v>2150</v>
      </c>
      <c r="AD37" s="39">
        <v>2150</v>
      </c>
      <c r="AE37" s="70">
        <v>2620</v>
      </c>
      <c r="AF37" s="70">
        <v>2620</v>
      </c>
      <c r="AG37" s="39">
        <v>5000</v>
      </c>
      <c r="AH37" s="70">
        <v>2620</v>
      </c>
      <c r="AI37" s="70">
        <v>2620</v>
      </c>
      <c r="AJ37" s="70">
        <v>2620</v>
      </c>
      <c r="AK37" s="70">
        <v>2620</v>
      </c>
      <c r="AL37" s="70">
        <v>2620</v>
      </c>
      <c r="AM37" s="70">
        <v>2620</v>
      </c>
      <c r="AN37" s="70">
        <v>2620</v>
      </c>
      <c r="AO37" s="39">
        <v>2920</v>
      </c>
      <c r="AP37" s="39">
        <v>10000</v>
      </c>
      <c r="AQ37" s="39">
        <v>2920</v>
      </c>
      <c r="AR37" s="39">
        <v>2920</v>
      </c>
      <c r="AS37" s="39">
        <v>2920</v>
      </c>
      <c r="AT37" s="91">
        <v>10000</v>
      </c>
      <c r="AU37" s="91">
        <v>30000</v>
      </c>
      <c r="AV37" s="39">
        <v>2920</v>
      </c>
      <c r="AW37" s="39">
        <v>2920</v>
      </c>
      <c r="AX37" s="39">
        <v>2920</v>
      </c>
      <c r="AY37" s="91">
        <v>3550</v>
      </c>
      <c r="AZ37" s="91">
        <v>3550</v>
      </c>
      <c r="BA37" s="91">
        <v>3550</v>
      </c>
      <c r="BB37" s="91">
        <v>3550</v>
      </c>
      <c r="BC37" s="91">
        <v>3550</v>
      </c>
      <c r="BD37" s="91">
        <v>3550</v>
      </c>
      <c r="BE37" s="91">
        <v>3550</v>
      </c>
      <c r="BF37" s="91">
        <v>3550</v>
      </c>
      <c r="BG37" s="91">
        <v>3550</v>
      </c>
      <c r="BH37" s="91">
        <v>3550</v>
      </c>
      <c r="BI37" s="91">
        <v>3550</v>
      </c>
      <c r="BJ37" s="91">
        <v>3550</v>
      </c>
      <c r="BK37" s="91">
        <v>3550</v>
      </c>
      <c r="BL37" s="91">
        <v>3550</v>
      </c>
      <c r="BM37" s="91">
        <v>3550</v>
      </c>
      <c r="BN37" s="91">
        <v>3550</v>
      </c>
      <c r="BO37" s="91">
        <v>3550</v>
      </c>
      <c r="BP37" s="91">
        <v>1200</v>
      </c>
      <c r="BQ37" s="91">
        <v>3550</v>
      </c>
      <c r="BR37" s="91">
        <v>3550</v>
      </c>
      <c r="BS37" s="156">
        <v>3550</v>
      </c>
      <c r="BT37" s="91">
        <v>3550</v>
      </c>
      <c r="BU37" s="91">
        <v>3550</v>
      </c>
      <c r="BV37" s="91">
        <v>3750</v>
      </c>
      <c r="BW37" s="91">
        <v>3750</v>
      </c>
      <c r="BX37" s="91">
        <v>3750</v>
      </c>
      <c r="BY37" s="91">
        <v>3750</v>
      </c>
      <c r="BZ37" s="91">
        <v>3750</v>
      </c>
      <c r="CA37" s="91">
        <v>3750</v>
      </c>
      <c r="CB37" s="91">
        <v>3750</v>
      </c>
      <c r="CC37" s="91">
        <v>3750</v>
      </c>
      <c r="CD37" s="91">
        <v>3750</v>
      </c>
      <c r="CE37" s="91">
        <v>3750</v>
      </c>
      <c r="CF37" s="91">
        <v>3750</v>
      </c>
      <c r="CG37" s="91">
        <v>3750</v>
      </c>
      <c r="CH37" s="91">
        <v>3750</v>
      </c>
      <c r="CI37" s="91">
        <v>3750</v>
      </c>
      <c r="CJ37" s="91">
        <v>3750</v>
      </c>
      <c r="CK37" s="91">
        <v>3750</v>
      </c>
      <c r="CL37" s="91">
        <v>3750</v>
      </c>
      <c r="CM37" s="91"/>
    </row>
    <row r="38" spans="1:91" x14ac:dyDescent="0.15">
      <c r="A38" s="35">
        <v>36</v>
      </c>
      <c r="B38" s="35" t="s">
        <v>90</v>
      </c>
      <c r="C38" s="35" t="s">
        <v>104</v>
      </c>
      <c r="D38" s="35" t="s">
        <v>196</v>
      </c>
      <c r="E38" s="35">
        <v>1699</v>
      </c>
      <c r="F38" s="35">
        <f t="shared" si="0"/>
        <v>286005</v>
      </c>
      <c r="G38" s="35">
        <f t="shared" si="2"/>
        <v>257171</v>
      </c>
      <c r="H38" s="40">
        <f t="shared" si="1"/>
        <v>28834</v>
      </c>
      <c r="K38" s="39">
        <v>2000</v>
      </c>
      <c r="L38" s="39">
        <v>2011</v>
      </c>
      <c r="M38" s="39">
        <v>1724</v>
      </c>
      <c r="N38" s="39">
        <v>1628</v>
      </c>
      <c r="O38" s="39">
        <v>1668</v>
      </c>
      <c r="P38" s="39">
        <v>2681</v>
      </c>
      <c r="Q38" s="39">
        <v>2723</v>
      </c>
      <c r="R38" s="39">
        <v>2150</v>
      </c>
      <c r="S38" s="39">
        <v>2150</v>
      </c>
      <c r="T38" s="39">
        <v>2150</v>
      </c>
      <c r="U38" s="39">
        <v>2150</v>
      </c>
      <c r="V38" s="39">
        <v>2150</v>
      </c>
      <c r="W38" s="39">
        <v>2150</v>
      </c>
      <c r="X38" s="39">
        <v>5000</v>
      </c>
      <c r="Y38" s="39">
        <v>1200</v>
      </c>
      <c r="Z38" s="39">
        <v>1000</v>
      </c>
      <c r="AA38" s="39">
        <v>2150</v>
      </c>
      <c r="AB38" s="39">
        <v>2150</v>
      </c>
      <c r="AC38" s="39">
        <v>2150</v>
      </c>
      <c r="AD38" s="39">
        <v>2150</v>
      </c>
      <c r="AE38" s="70">
        <v>2620</v>
      </c>
      <c r="AF38" s="70">
        <v>2620</v>
      </c>
      <c r="AG38" s="39">
        <v>5000</v>
      </c>
      <c r="AH38" s="70">
        <v>2620</v>
      </c>
      <c r="AI38" s="70">
        <v>2620</v>
      </c>
      <c r="AJ38" s="70">
        <v>2620</v>
      </c>
      <c r="AK38" s="70">
        <v>2620</v>
      </c>
      <c r="AL38" s="70">
        <v>2620</v>
      </c>
      <c r="AM38" s="70">
        <v>2620</v>
      </c>
      <c r="AN38" s="70">
        <v>2620</v>
      </c>
      <c r="AO38" s="39">
        <v>2920</v>
      </c>
      <c r="AP38" s="39">
        <v>10000</v>
      </c>
      <c r="AQ38" s="39">
        <v>2920</v>
      </c>
      <c r="AR38" s="39">
        <v>2920</v>
      </c>
      <c r="AS38" s="39">
        <v>2920</v>
      </c>
      <c r="AT38" s="91">
        <v>10000</v>
      </c>
      <c r="AU38" s="91">
        <v>30000</v>
      </c>
      <c r="AV38" s="39">
        <v>2920</v>
      </c>
      <c r="AW38" s="39">
        <v>2920</v>
      </c>
      <c r="AX38" s="39">
        <v>2920</v>
      </c>
      <c r="AY38" s="91">
        <v>3550</v>
      </c>
      <c r="AZ38" s="91">
        <v>3550</v>
      </c>
      <c r="BA38" s="91">
        <v>3550</v>
      </c>
      <c r="BB38" s="91">
        <v>3550</v>
      </c>
      <c r="BC38" s="91">
        <v>3550</v>
      </c>
      <c r="BD38" s="91">
        <v>3550</v>
      </c>
      <c r="BE38" s="91">
        <v>3550</v>
      </c>
      <c r="BF38" s="91">
        <v>3550</v>
      </c>
      <c r="BG38" s="91">
        <v>3550</v>
      </c>
      <c r="BH38" s="91">
        <v>3550</v>
      </c>
      <c r="BI38" s="91">
        <v>3550</v>
      </c>
      <c r="BJ38" s="91">
        <v>3550</v>
      </c>
      <c r="BK38" s="91">
        <v>3550</v>
      </c>
      <c r="BL38" s="91">
        <v>3550</v>
      </c>
      <c r="BM38" s="91">
        <v>3550</v>
      </c>
      <c r="BN38" s="91">
        <v>3550</v>
      </c>
      <c r="BO38" s="91">
        <v>3550</v>
      </c>
      <c r="BP38" s="91">
        <v>1200</v>
      </c>
      <c r="BQ38" s="91">
        <v>3550</v>
      </c>
      <c r="BR38" s="91">
        <v>3550</v>
      </c>
      <c r="BS38" s="156">
        <v>3550</v>
      </c>
      <c r="BT38" s="91">
        <v>3550</v>
      </c>
      <c r="BU38" s="91">
        <v>3550</v>
      </c>
      <c r="BV38" s="91">
        <v>3750</v>
      </c>
      <c r="BW38" s="158">
        <v>3750</v>
      </c>
      <c r="BX38" s="158">
        <v>3750</v>
      </c>
      <c r="BY38" s="158">
        <v>3750</v>
      </c>
      <c r="BZ38" s="158">
        <v>3750</v>
      </c>
      <c r="CA38" s="91">
        <v>3750</v>
      </c>
      <c r="CB38" s="91">
        <v>3750</v>
      </c>
      <c r="CC38" s="91">
        <v>3750</v>
      </c>
      <c r="CD38" s="91">
        <v>3750</v>
      </c>
      <c r="CE38" s="91">
        <v>3750</v>
      </c>
      <c r="CF38" s="91">
        <v>3750</v>
      </c>
      <c r="CG38" s="91">
        <v>3750</v>
      </c>
      <c r="CH38" s="91">
        <v>3750</v>
      </c>
      <c r="CI38" s="91">
        <v>3750</v>
      </c>
      <c r="CJ38" s="91">
        <v>3750</v>
      </c>
      <c r="CK38" s="91">
        <v>3750</v>
      </c>
      <c r="CL38" s="91">
        <v>3750</v>
      </c>
      <c r="CM38" s="91"/>
    </row>
    <row r="39" spans="1:91" x14ac:dyDescent="0.15">
      <c r="A39" s="35"/>
      <c r="B39" s="36"/>
      <c r="C39" s="35"/>
      <c r="D39" s="37" t="s">
        <v>119</v>
      </c>
      <c r="E39" s="37"/>
      <c r="F39" s="37">
        <f>SUM(K39:CM39)</f>
        <v>29850</v>
      </c>
      <c r="G39" s="37">
        <f t="shared" si="2"/>
        <v>63840</v>
      </c>
      <c r="H39" s="40">
        <f t="shared" si="1"/>
        <v>-33990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70"/>
      <c r="AF39" s="70"/>
      <c r="AG39" s="39"/>
      <c r="AH39" s="70"/>
      <c r="AI39" s="70"/>
      <c r="AJ39" s="70"/>
      <c r="AK39" s="70">
        <v>2000</v>
      </c>
      <c r="AL39" s="70">
        <v>1950</v>
      </c>
      <c r="AM39" s="70">
        <v>2000</v>
      </c>
      <c r="AN39" s="70">
        <f>400+200</f>
        <v>600</v>
      </c>
      <c r="AO39" s="39"/>
      <c r="AP39" s="39"/>
      <c r="AQ39" s="39"/>
      <c r="AR39" s="39">
        <f>500+500</f>
        <v>1000</v>
      </c>
      <c r="AS39" s="39">
        <v>500</v>
      </c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>
        <v>500</v>
      </c>
      <c r="BE39" s="91"/>
      <c r="BF39" s="91">
        <v>1000</v>
      </c>
      <c r="BG39" s="91"/>
      <c r="BH39" s="91"/>
      <c r="BI39" s="91"/>
      <c r="BJ39" s="91"/>
      <c r="BK39" s="91"/>
      <c r="BL39" s="91"/>
      <c r="BM39" s="91"/>
      <c r="BN39" s="91">
        <v>15000</v>
      </c>
      <c r="BO39" s="91">
        <v>1000</v>
      </c>
      <c r="BP39" s="91">
        <v>1000</v>
      </c>
      <c r="BQ39" s="91">
        <v>1300</v>
      </c>
      <c r="BR39" s="91">
        <f>1000</f>
        <v>1000</v>
      </c>
      <c r="BS39" s="156"/>
      <c r="BT39" s="91"/>
      <c r="BU39" s="91"/>
      <c r="BV39" s="91"/>
      <c r="BW39" s="158"/>
      <c r="BX39" s="91"/>
      <c r="BY39" s="91"/>
      <c r="BZ39" s="91">
        <v>250</v>
      </c>
      <c r="CA39" s="91"/>
      <c r="CB39" s="91"/>
      <c r="CC39" s="91">
        <v>250</v>
      </c>
      <c r="CD39" s="91"/>
      <c r="CE39" s="91">
        <v>500</v>
      </c>
      <c r="CF39" s="91"/>
      <c r="CG39" s="91"/>
      <c r="CH39" s="91"/>
      <c r="CI39" s="91"/>
      <c r="CJ39" s="91"/>
      <c r="CK39" s="91"/>
      <c r="CL39" s="91"/>
      <c r="CM39" s="91"/>
    </row>
    <row r="40" spans="1:91" x14ac:dyDescent="0.15">
      <c r="A40" s="141"/>
      <c r="B40" s="142"/>
      <c r="C40" s="141"/>
      <c r="D40" s="143" t="s">
        <v>181</v>
      </c>
      <c r="E40" s="143"/>
      <c r="F40" s="143">
        <f>SUM(BR40:CM40)</f>
        <v>147542</v>
      </c>
      <c r="G40" s="143">
        <f>F40</f>
        <v>147542</v>
      </c>
      <c r="H40" s="144">
        <f t="shared" si="1"/>
        <v>0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70"/>
      <c r="AF40" s="70"/>
      <c r="AG40" s="39"/>
      <c r="AH40" s="70"/>
      <c r="AI40" s="70"/>
      <c r="AJ40" s="70"/>
      <c r="AK40" s="70"/>
      <c r="AL40" s="70"/>
      <c r="AM40" s="70"/>
      <c r="AN40" s="70"/>
      <c r="AO40" s="39"/>
      <c r="AP40" s="39"/>
      <c r="AQ40" s="39"/>
      <c r="AR40" s="39"/>
      <c r="AS40" s="39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>
        <v>29287</v>
      </c>
      <c r="BS40" s="156">
        <v>2347</v>
      </c>
      <c r="BT40" s="91">
        <v>3008</v>
      </c>
      <c r="BU40" s="46">
        <v>442</v>
      </c>
      <c r="BV40" s="46"/>
      <c r="BW40" s="46">
        <v>8539</v>
      </c>
      <c r="BX40" s="46">
        <v>8574</v>
      </c>
      <c r="BY40" s="46"/>
      <c r="BZ40" s="46">
        <v>6112</v>
      </c>
      <c r="CA40" s="145">
        <v>977</v>
      </c>
      <c r="CB40" s="91"/>
      <c r="CC40" s="91">
        <v>26423</v>
      </c>
      <c r="CD40" s="91">
        <v>16826</v>
      </c>
      <c r="CE40" s="91"/>
      <c r="CF40" s="91">
        <v>5193</v>
      </c>
      <c r="CG40" s="91">
        <v>6039</v>
      </c>
      <c r="CH40" s="91"/>
      <c r="CI40" s="91">
        <v>9379</v>
      </c>
      <c r="CJ40" s="91"/>
      <c r="CK40" s="91">
        <v>15467</v>
      </c>
      <c r="CL40" s="91">
        <v>8929</v>
      </c>
      <c r="CM40" s="91"/>
    </row>
    <row r="41" spans="1:91" x14ac:dyDescent="0.15">
      <c r="A41" s="44"/>
      <c r="B41" s="44"/>
      <c r="C41" s="44"/>
      <c r="D41" s="45"/>
      <c r="E41" s="45"/>
      <c r="F41" s="45"/>
      <c r="G41" s="45"/>
      <c r="H41" s="45"/>
      <c r="K41" s="46">
        <f>SUM(K3:K38)</f>
        <v>72000</v>
      </c>
      <c r="L41" s="46">
        <f t="shared" ref="L41:BR41" si="3">SUM(L3:L38)</f>
        <v>57123</v>
      </c>
      <c r="M41" s="46">
        <f t="shared" si="3"/>
        <v>44577</v>
      </c>
      <c r="N41" s="46">
        <f t="shared" si="3"/>
        <v>48149</v>
      </c>
      <c r="O41" s="46">
        <f t="shared" si="3"/>
        <v>47617</v>
      </c>
      <c r="P41" s="46">
        <f t="shared" si="3"/>
        <v>81195</v>
      </c>
      <c r="Q41" s="46">
        <f t="shared" si="3"/>
        <v>80343</v>
      </c>
      <c r="R41" s="46">
        <f t="shared" si="3"/>
        <v>62190</v>
      </c>
      <c r="S41" s="46">
        <f t="shared" si="3"/>
        <v>63010</v>
      </c>
      <c r="T41" s="46">
        <f t="shared" si="3"/>
        <v>63010</v>
      </c>
      <c r="U41" s="46">
        <f t="shared" si="3"/>
        <v>63010</v>
      </c>
      <c r="V41" s="46">
        <f t="shared" si="3"/>
        <v>64760</v>
      </c>
      <c r="W41" s="46">
        <f t="shared" si="3"/>
        <v>64760</v>
      </c>
      <c r="X41" s="46">
        <f t="shared" si="3"/>
        <v>180000</v>
      </c>
      <c r="Y41" s="46">
        <f t="shared" si="3"/>
        <v>59000</v>
      </c>
      <c r="Z41" s="46">
        <f t="shared" si="3"/>
        <v>36000</v>
      </c>
      <c r="AA41" s="46">
        <f t="shared" si="3"/>
        <v>67050</v>
      </c>
      <c r="AB41" s="46">
        <f t="shared" si="3"/>
        <v>67050</v>
      </c>
      <c r="AC41" s="46">
        <f t="shared" si="3"/>
        <v>67050</v>
      </c>
      <c r="AD41" s="46">
        <f t="shared" si="3"/>
        <v>67050</v>
      </c>
      <c r="AE41" s="46">
        <f t="shared" si="3"/>
        <v>81660</v>
      </c>
      <c r="AF41" s="46">
        <f t="shared" si="3"/>
        <v>81660</v>
      </c>
      <c r="AG41" s="46">
        <f t="shared" si="3"/>
        <v>170000</v>
      </c>
      <c r="AH41" s="46">
        <f t="shared" si="3"/>
        <v>79530</v>
      </c>
      <c r="AI41" s="46">
        <f t="shared" si="3"/>
        <v>79530</v>
      </c>
      <c r="AJ41" s="46">
        <f t="shared" si="3"/>
        <v>79530</v>
      </c>
      <c r="AK41" s="46">
        <f t="shared" si="3"/>
        <v>79530</v>
      </c>
      <c r="AL41" s="46">
        <f t="shared" si="3"/>
        <v>79530</v>
      </c>
      <c r="AM41" s="46">
        <f t="shared" si="3"/>
        <v>79530</v>
      </c>
      <c r="AN41" s="46">
        <f t="shared" si="3"/>
        <v>79530</v>
      </c>
      <c r="AO41" s="46">
        <f t="shared" si="3"/>
        <v>89730</v>
      </c>
      <c r="AP41" s="46">
        <f t="shared" si="3"/>
        <v>340000</v>
      </c>
      <c r="AQ41" s="46">
        <f t="shared" si="3"/>
        <v>72185</v>
      </c>
      <c r="AR41" s="46">
        <f t="shared" si="3"/>
        <v>84870</v>
      </c>
      <c r="AS41" s="46">
        <f t="shared" si="3"/>
        <v>87060</v>
      </c>
      <c r="AT41" s="46">
        <f t="shared" si="3"/>
        <v>330000</v>
      </c>
      <c r="AU41" s="46">
        <f t="shared" si="3"/>
        <v>1015000</v>
      </c>
      <c r="AV41" s="46">
        <f t="shared" si="3"/>
        <v>87060</v>
      </c>
      <c r="AW41" s="46">
        <f t="shared" si="3"/>
        <v>87060</v>
      </c>
      <c r="AX41" s="46">
        <f t="shared" si="3"/>
        <v>87060</v>
      </c>
      <c r="AY41" s="46">
        <f t="shared" si="3"/>
        <v>105770</v>
      </c>
      <c r="AZ41" s="46">
        <f t="shared" si="3"/>
        <v>105770</v>
      </c>
      <c r="BA41" s="46">
        <f t="shared" si="3"/>
        <v>105770</v>
      </c>
      <c r="BB41" s="46">
        <f t="shared" si="3"/>
        <v>105770</v>
      </c>
      <c r="BC41" s="46">
        <f t="shared" si="3"/>
        <v>105770</v>
      </c>
      <c r="BD41" s="46">
        <f t="shared" si="3"/>
        <v>105770</v>
      </c>
      <c r="BE41" s="46">
        <f t="shared" si="3"/>
        <v>105770</v>
      </c>
      <c r="BF41" s="46">
        <f t="shared" si="3"/>
        <v>105770</v>
      </c>
      <c r="BG41" s="46">
        <f t="shared" si="3"/>
        <v>105770</v>
      </c>
      <c r="BH41" s="46">
        <f t="shared" si="3"/>
        <v>105770</v>
      </c>
      <c r="BI41" s="46">
        <f t="shared" si="3"/>
        <v>105770</v>
      </c>
      <c r="BJ41" s="46">
        <f t="shared" si="3"/>
        <v>105770</v>
      </c>
      <c r="BK41" s="46">
        <f t="shared" si="3"/>
        <v>105770</v>
      </c>
      <c r="BL41" s="46">
        <f t="shared" si="3"/>
        <v>105770</v>
      </c>
      <c r="BM41" s="46">
        <f t="shared" si="3"/>
        <v>105770</v>
      </c>
      <c r="BN41" s="46">
        <f t="shared" si="3"/>
        <v>105770</v>
      </c>
      <c r="BO41" s="46">
        <f t="shared" si="3"/>
        <v>105770</v>
      </c>
      <c r="BP41" s="46">
        <f t="shared" si="3"/>
        <v>39600</v>
      </c>
      <c r="BQ41" s="46">
        <f t="shared" si="3"/>
        <v>105770</v>
      </c>
      <c r="BR41" s="46">
        <f t="shared" si="3"/>
        <v>105770</v>
      </c>
      <c r="BS41" s="157">
        <f>SUM(BS3:BS38)</f>
        <v>105770</v>
      </c>
      <c r="BT41" s="162">
        <f>SUM(BT3:BT38)</f>
        <v>105770</v>
      </c>
      <c r="BU41" s="160">
        <f t="shared" ref="BU41:CJ41" si="4">SUM(BU3:BU40)</f>
        <v>106212</v>
      </c>
      <c r="BV41" s="160">
        <f t="shared" si="4"/>
        <v>112370</v>
      </c>
      <c r="BW41" s="160">
        <f t="shared" si="4"/>
        <v>120909</v>
      </c>
      <c r="BX41" s="160">
        <f t="shared" si="4"/>
        <v>120944</v>
      </c>
      <c r="BY41" s="160">
        <f t="shared" si="4"/>
        <v>112370</v>
      </c>
      <c r="BZ41" s="160">
        <f t="shared" si="4"/>
        <v>168732</v>
      </c>
      <c r="CA41" s="160">
        <f t="shared" si="4"/>
        <v>116787</v>
      </c>
      <c r="CB41" s="160">
        <f t="shared" si="4"/>
        <v>115810</v>
      </c>
      <c r="CC41" s="160">
        <f t="shared" si="4"/>
        <v>142483</v>
      </c>
      <c r="CD41" s="160">
        <f t="shared" si="4"/>
        <v>132636</v>
      </c>
      <c r="CE41" s="169">
        <f t="shared" si="4"/>
        <v>116310</v>
      </c>
      <c r="CF41" s="169">
        <f t="shared" si="4"/>
        <v>121003</v>
      </c>
      <c r="CG41" s="169">
        <f t="shared" ref="CG41:CL41" si="5">SUM(CG3:CG40)</f>
        <v>121849</v>
      </c>
      <c r="CH41" s="169">
        <f t="shared" si="4"/>
        <v>115810</v>
      </c>
      <c r="CI41" s="169">
        <f t="shared" si="5"/>
        <v>125189</v>
      </c>
      <c r="CJ41" s="169">
        <f t="shared" si="4"/>
        <v>115810</v>
      </c>
      <c r="CK41" s="169">
        <f t="shared" si="5"/>
        <v>121277</v>
      </c>
      <c r="CL41" s="169">
        <f t="shared" si="5"/>
        <v>124739</v>
      </c>
    </row>
    <row r="42" spans="1:91" s="28" customFormat="1" x14ac:dyDescent="0.15">
      <c r="A42" s="47"/>
      <c r="B42" s="47"/>
      <c r="C42" s="47"/>
      <c r="D42" s="48" t="s">
        <v>105</v>
      </c>
      <c r="E42" s="48">
        <f>SUM(E3:E38)</f>
        <v>52598</v>
      </c>
      <c r="F42" s="48">
        <f>SUM(F3:F40)</f>
        <v>9070601</v>
      </c>
      <c r="G42" s="48">
        <f>SUM(G3:G40)</f>
        <v>8865709.5</v>
      </c>
      <c r="H42" s="48">
        <f>SUM(H3:H40)</f>
        <v>204891.5</v>
      </c>
      <c r="AE42" s="71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</row>
    <row r="43" spans="1:91" x14ac:dyDescent="0.15">
      <c r="A43" s="44"/>
      <c r="B43" s="44"/>
      <c r="C43" s="44"/>
      <c r="D43" s="45"/>
      <c r="E43" s="45"/>
      <c r="F43" s="45"/>
      <c r="G43" s="45">
        <f>G42-'Income Expense Summary'!C44</f>
        <v>0</v>
      </c>
      <c r="H43" s="49">
        <f>H42</f>
        <v>204891.5</v>
      </c>
    </row>
    <row r="44" spans="1:91" x14ac:dyDescent="0.15">
      <c r="A44" s="50"/>
      <c r="B44" s="50"/>
      <c r="C44" s="50"/>
      <c r="K44" s="29" t="s">
        <v>106</v>
      </c>
      <c r="L44" s="5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73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</row>
    <row r="45" spans="1:91" x14ac:dyDescent="0.15">
      <c r="A45" s="28" t="s">
        <v>106</v>
      </c>
      <c r="K45" s="53">
        <v>40483</v>
      </c>
      <c r="L45" s="53">
        <v>40513</v>
      </c>
      <c r="M45" s="53">
        <v>40544</v>
      </c>
      <c r="N45" s="53">
        <v>40575</v>
      </c>
      <c r="O45" s="53">
        <v>40603</v>
      </c>
      <c r="P45" s="53">
        <v>40634</v>
      </c>
      <c r="Q45" s="53">
        <v>40664</v>
      </c>
      <c r="R45" s="53">
        <v>40695</v>
      </c>
      <c r="S45" s="53">
        <v>40725</v>
      </c>
      <c r="T45" s="53">
        <v>40756</v>
      </c>
      <c r="U45" s="53">
        <v>40787</v>
      </c>
      <c r="V45" s="53">
        <v>40817</v>
      </c>
      <c r="W45" s="53">
        <v>40848</v>
      </c>
      <c r="X45" s="54" t="s">
        <v>101</v>
      </c>
      <c r="Y45" s="54" t="s">
        <v>102</v>
      </c>
      <c r="Z45" s="54" t="s">
        <v>113</v>
      </c>
      <c r="AA45" s="53">
        <v>40878</v>
      </c>
      <c r="AB45" s="53">
        <v>40909</v>
      </c>
      <c r="AC45" s="53">
        <v>40940</v>
      </c>
      <c r="AD45" s="53">
        <v>40969</v>
      </c>
      <c r="AE45" s="53">
        <v>41000</v>
      </c>
      <c r="AF45" s="53">
        <v>41030</v>
      </c>
      <c r="AG45" s="53" t="s">
        <v>101</v>
      </c>
      <c r="AH45" s="53">
        <v>41061</v>
      </c>
      <c r="AI45" s="53">
        <v>41091</v>
      </c>
      <c r="AJ45" s="53">
        <v>41122</v>
      </c>
      <c r="AK45" s="53">
        <v>41153</v>
      </c>
      <c r="AL45" s="53">
        <v>41183</v>
      </c>
      <c r="AM45" s="53">
        <v>41214</v>
      </c>
      <c r="AN45" s="53">
        <v>41244</v>
      </c>
      <c r="AO45" s="53">
        <v>41275</v>
      </c>
      <c r="AP45" s="53" t="s">
        <v>121</v>
      </c>
      <c r="AQ45" s="53">
        <v>41306</v>
      </c>
      <c r="AR45" s="53">
        <v>41334</v>
      </c>
      <c r="AS45" s="53">
        <v>41365</v>
      </c>
      <c r="AT45" s="53" t="s">
        <v>123</v>
      </c>
      <c r="AU45" s="53" t="s">
        <v>124</v>
      </c>
      <c r="AV45" s="53">
        <v>41395</v>
      </c>
      <c r="AW45" s="53">
        <v>41426</v>
      </c>
      <c r="AX45" s="53">
        <v>41456</v>
      </c>
      <c r="AY45" s="53">
        <v>41487</v>
      </c>
      <c r="AZ45" s="53">
        <v>41518</v>
      </c>
      <c r="BA45" s="53">
        <v>41548</v>
      </c>
      <c r="BB45" s="53">
        <v>41579</v>
      </c>
      <c r="BC45" s="53">
        <v>41609</v>
      </c>
      <c r="BD45" s="53">
        <v>41640</v>
      </c>
      <c r="BE45" s="53">
        <v>41671</v>
      </c>
      <c r="BF45" s="53">
        <v>41699</v>
      </c>
      <c r="BG45" s="53">
        <v>41730</v>
      </c>
      <c r="BH45" s="53">
        <v>41760</v>
      </c>
      <c r="BI45" s="53">
        <v>41791</v>
      </c>
      <c r="BJ45" s="53">
        <v>41821</v>
      </c>
      <c r="BK45" s="53">
        <v>41852</v>
      </c>
      <c r="BL45" s="53">
        <v>41896</v>
      </c>
      <c r="BM45" s="53">
        <v>41926</v>
      </c>
      <c r="BN45" s="53">
        <v>41957</v>
      </c>
      <c r="BO45" s="53">
        <v>41987</v>
      </c>
      <c r="BP45" s="120" t="s">
        <v>137</v>
      </c>
      <c r="BQ45" s="53">
        <v>42019</v>
      </c>
      <c r="BR45" s="53">
        <v>42050</v>
      </c>
      <c r="BS45" s="53">
        <v>42078</v>
      </c>
      <c r="BT45" s="53">
        <v>42109</v>
      </c>
      <c r="BU45" s="53">
        <v>42139</v>
      </c>
      <c r="BV45" s="53">
        <v>42170</v>
      </c>
      <c r="BW45" s="53">
        <v>42200</v>
      </c>
      <c r="BX45" s="53">
        <v>42231</v>
      </c>
      <c r="BY45" s="53">
        <v>42262</v>
      </c>
      <c r="BZ45" s="53">
        <v>42292</v>
      </c>
      <c r="CA45" s="53">
        <v>42323</v>
      </c>
      <c r="CB45" s="53">
        <v>42339</v>
      </c>
      <c r="CC45" s="53">
        <v>42370</v>
      </c>
      <c r="CD45" s="53">
        <v>42401</v>
      </c>
      <c r="CE45" s="53">
        <v>42430</v>
      </c>
      <c r="CF45" s="53">
        <v>42461</v>
      </c>
      <c r="CG45" s="53">
        <v>42491</v>
      </c>
      <c r="CH45" s="53">
        <v>42522</v>
      </c>
      <c r="CI45" s="53">
        <v>42552</v>
      </c>
      <c r="CJ45" s="53">
        <v>42583</v>
      </c>
      <c r="CK45" s="53">
        <v>42614</v>
      </c>
      <c r="CL45" s="53">
        <v>42644</v>
      </c>
      <c r="CM45" s="55"/>
    </row>
    <row r="46" spans="1:91" x14ac:dyDescent="0.15">
      <c r="A46" s="35">
        <v>1</v>
      </c>
      <c r="B46" s="36" t="s">
        <v>7</v>
      </c>
      <c r="C46" s="35" t="s">
        <v>103</v>
      </c>
      <c r="D46" s="37" t="str">
        <f>D3</f>
        <v>Manas Dash</v>
      </c>
      <c r="K46" s="55">
        <v>2000</v>
      </c>
      <c r="L46" s="55">
        <v>1606</v>
      </c>
      <c r="M46" s="55">
        <v>1465</v>
      </c>
      <c r="N46" s="55">
        <v>1392</v>
      </c>
      <c r="O46" s="55">
        <v>1342</v>
      </c>
      <c r="P46" s="55">
        <v>2361</v>
      </c>
      <c r="Q46" s="55">
        <v>2419</v>
      </c>
      <c r="R46" s="55">
        <v>1820</v>
      </c>
      <c r="S46" s="55">
        <v>1820</v>
      </c>
      <c r="T46" s="55">
        <v>1839</v>
      </c>
      <c r="U46" s="55">
        <v>1820</v>
      </c>
      <c r="V46" s="55">
        <f>(1820)</f>
        <v>1820</v>
      </c>
      <c r="W46" s="55">
        <f>(1820)</f>
        <v>1820</v>
      </c>
      <c r="X46" s="55">
        <v>5000</v>
      </c>
      <c r="Y46" s="55">
        <v>1700</v>
      </c>
      <c r="Z46" s="55">
        <v>1000</v>
      </c>
      <c r="AA46" s="55">
        <v>1820</v>
      </c>
      <c r="AB46" s="55">
        <v>1820</v>
      </c>
      <c r="AC46" s="55">
        <v>1820</v>
      </c>
      <c r="AD46" s="55">
        <v>1820</v>
      </c>
      <c r="AE46" s="76">
        <v>2200</v>
      </c>
      <c r="AF46" s="55">
        <v>2200</v>
      </c>
      <c r="AG46" s="55">
        <v>3000</v>
      </c>
      <c r="AH46" s="55">
        <v>2200</v>
      </c>
      <c r="AI46" s="55">
        <v>2200</v>
      </c>
      <c r="AJ46" s="55">
        <v>2300</v>
      </c>
      <c r="AK46" s="55">
        <v>2300</v>
      </c>
      <c r="AL46" s="55">
        <v>2000</v>
      </c>
      <c r="AM46" s="55">
        <v>3000</v>
      </c>
      <c r="AN46" s="55">
        <v>3000</v>
      </c>
      <c r="AO46" s="55">
        <v>3000</v>
      </c>
      <c r="AP46" s="55">
        <v>10000</v>
      </c>
      <c r="AQ46" s="55">
        <v>2500</v>
      </c>
      <c r="AR46" s="55">
        <v>2500</v>
      </c>
      <c r="AS46" s="55">
        <v>2600</v>
      </c>
      <c r="AT46" s="55">
        <v>10000</v>
      </c>
      <c r="AU46" s="55">
        <v>12000</v>
      </c>
      <c r="AV46" s="55">
        <v>2550</v>
      </c>
      <c r="AW46" s="55">
        <v>2500</v>
      </c>
      <c r="AX46" s="55">
        <v>3000</v>
      </c>
      <c r="AY46" s="55"/>
      <c r="AZ46" s="55">
        <f>3000+4000</f>
        <v>7000</v>
      </c>
      <c r="BA46" s="55">
        <v>2570</v>
      </c>
      <c r="BB46" s="55"/>
      <c r="BC46" s="55">
        <v>3000</v>
      </c>
      <c r="BD46" s="55">
        <f>2120+300</f>
        <v>2420</v>
      </c>
      <c r="BE46" s="55">
        <v>3000</v>
      </c>
      <c r="BF46" s="55">
        <v>3500</v>
      </c>
      <c r="BG46" s="55">
        <v>3000</v>
      </c>
      <c r="BH46" s="55">
        <v>3000</v>
      </c>
      <c r="BI46" s="55"/>
      <c r="BJ46" s="55">
        <v>3500</v>
      </c>
      <c r="BK46" s="55">
        <v>3000</v>
      </c>
      <c r="BL46" s="55">
        <v>2620</v>
      </c>
      <c r="BM46" s="55">
        <f>1000+2000</f>
        <v>3000</v>
      </c>
      <c r="BN46" s="55">
        <f>1550+1450</f>
        <v>3000</v>
      </c>
      <c r="BO46" s="55">
        <v>1620</v>
      </c>
      <c r="BP46" s="55"/>
      <c r="BQ46" s="55">
        <v>2500</v>
      </c>
      <c r="BR46" s="55">
        <f>450+4000</f>
        <v>4450</v>
      </c>
      <c r="BS46" s="55">
        <v>3000</v>
      </c>
      <c r="BT46" s="55">
        <v>3150</v>
      </c>
      <c r="BU46" s="55">
        <v>3500</v>
      </c>
      <c r="BV46" s="55">
        <v>3685</v>
      </c>
      <c r="BW46" s="55">
        <v>7000</v>
      </c>
      <c r="BX46" s="55">
        <v>11730</v>
      </c>
      <c r="BY46" s="55">
        <v>6280</v>
      </c>
      <c r="BZ46" s="55">
        <v>5000</v>
      </c>
      <c r="CA46" s="55">
        <v>4000</v>
      </c>
      <c r="CB46" s="55"/>
      <c r="CC46" s="55">
        <f>4000+5350</f>
        <v>9350</v>
      </c>
      <c r="CD46" s="55">
        <v>4000</v>
      </c>
      <c r="CE46" s="55">
        <v>5000</v>
      </c>
      <c r="CF46" s="55">
        <v>4000</v>
      </c>
      <c r="CG46" s="55">
        <f>3000+2021</f>
        <v>5021</v>
      </c>
      <c r="CH46" s="55"/>
      <c r="CI46" s="55">
        <f>435</f>
        <v>435</v>
      </c>
      <c r="CJ46" s="55">
        <v>3000</v>
      </c>
      <c r="CK46" s="55">
        <v>4000</v>
      </c>
      <c r="CL46" s="55"/>
      <c r="CM46" s="55"/>
    </row>
    <row r="47" spans="1:91" x14ac:dyDescent="0.15">
      <c r="A47" s="35">
        <v>2</v>
      </c>
      <c r="B47" s="36" t="s">
        <v>10</v>
      </c>
      <c r="C47" s="35" t="s">
        <v>103</v>
      </c>
      <c r="D47" s="37" t="str">
        <f t="shared" ref="D47:D68" si="6">D4</f>
        <v>Manoj Nair</v>
      </c>
      <c r="K47" s="55">
        <v>2000</v>
      </c>
      <c r="L47" s="55">
        <v>1965</v>
      </c>
      <c r="M47" s="55">
        <v>1822</v>
      </c>
      <c r="N47" s="55">
        <v>1483</v>
      </c>
      <c r="O47" s="55">
        <v>1642</v>
      </c>
      <c r="P47" s="55">
        <v>2656</v>
      </c>
      <c r="Q47" s="55">
        <v>2699</v>
      </c>
      <c r="R47" s="55">
        <v>2120</v>
      </c>
      <c r="S47" s="55">
        <v>2150</v>
      </c>
      <c r="T47" s="55">
        <v>2120</v>
      </c>
      <c r="U47" s="55">
        <v>2120</v>
      </c>
      <c r="V47" s="55">
        <v>2120</v>
      </c>
      <c r="W47" s="55">
        <v>2120</v>
      </c>
      <c r="X47" s="55">
        <v>5000</v>
      </c>
      <c r="Y47" s="55">
        <v>1700</v>
      </c>
      <c r="Z47" s="55">
        <v>1000</v>
      </c>
      <c r="AA47" s="55">
        <f>2120-1000</f>
        <v>1120</v>
      </c>
      <c r="AB47" s="55">
        <v>3130</v>
      </c>
      <c r="AC47" s="55">
        <v>2120</v>
      </c>
      <c r="AD47" s="55">
        <v>2120</v>
      </c>
      <c r="AE47" s="76"/>
      <c r="AF47" s="55">
        <f>2600+680+1920</f>
        <v>5200</v>
      </c>
      <c r="AG47" s="55">
        <v>5000</v>
      </c>
      <c r="AH47" s="55">
        <v>2600</v>
      </c>
      <c r="AI47" s="55">
        <v>2600</v>
      </c>
      <c r="AJ47" s="55">
        <v>2600</v>
      </c>
      <c r="AK47" s="55">
        <v>2600</v>
      </c>
      <c r="AL47" s="55">
        <v>2600</v>
      </c>
      <c r="AM47" s="55">
        <v>2600</v>
      </c>
      <c r="AN47" s="55">
        <v>2600</v>
      </c>
      <c r="AO47" s="55">
        <v>2900</v>
      </c>
      <c r="AP47" s="55">
        <v>10000</v>
      </c>
      <c r="AQ47" s="55">
        <v>2900</v>
      </c>
      <c r="AR47" s="55">
        <v>2900</v>
      </c>
      <c r="AS47" s="55">
        <v>2900</v>
      </c>
      <c r="AT47" s="55">
        <v>10000</v>
      </c>
      <c r="AU47" s="55">
        <v>10000</v>
      </c>
      <c r="AV47" s="55">
        <v>2900</v>
      </c>
      <c r="AW47" s="55">
        <v>2900</v>
      </c>
      <c r="AX47" s="55">
        <v>2900</v>
      </c>
      <c r="AY47" s="55">
        <v>3510</v>
      </c>
      <c r="AZ47" s="55">
        <f>2900+610</f>
        <v>3510</v>
      </c>
      <c r="BA47" s="55">
        <f>2900+610</f>
        <v>3510</v>
      </c>
      <c r="BB47" s="55">
        <v>3510</v>
      </c>
      <c r="BC47" s="55">
        <v>3510</v>
      </c>
      <c r="BD47" s="55">
        <v>3510</v>
      </c>
      <c r="BE47" s="55">
        <v>3510</v>
      </c>
      <c r="BF47" s="55">
        <v>3510</v>
      </c>
      <c r="BG47" s="55">
        <v>3510</v>
      </c>
      <c r="BH47" s="55">
        <v>3510</v>
      </c>
      <c r="BI47" s="55">
        <f>1000+3510</f>
        <v>4510</v>
      </c>
      <c r="BJ47" s="55">
        <v>2510</v>
      </c>
      <c r="BK47" s="55">
        <v>3510</v>
      </c>
      <c r="BL47" s="55">
        <v>3510</v>
      </c>
      <c r="BM47" s="55">
        <v>3510</v>
      </c>
      <c r="BN47" s="55">
        <f>3010+500</f>
        <v>3510</v>
      </c>
      <c r="BO47" s="55">
        <v>3510</v>
      </c>
      <c r="BP47" s="55"/>
      <c r="BQ47" s="55">
        <v>3510</v>
      </c>
      <c r="BR47" s="55">
        <v>3510</v>
      </c>
      <c r="BS47" s="55">
        <v>3510</v>
      </c>
      <c r="BT47" s="55">
        <v>3510</v>
      </c>
      <c r="BU47" s="55">
        <v>3510</v>
      </c>
      <c r="BV47" s="55">
        <v>3510</v>
      </c>
      <c r="BW47" s="55">
        <v>3510</v>
      </c>
      <c r="BX47" s="55">
        <v>3510</v>
      </c>
      <c r="BY47" s="55">
        <v>3510</v>
      </c>
      <c r="BZ47" s="55">
        <v>4510</v>
      </c>
      <c r="CA47" s="55">
        <v>3510</v>
      </c>
      <c r="CB47" s="55">
        <v>3510</v>
      </c>
      <c r="CC47" s="55">
        <v>3510</v>
      </c>
      <c r="CD47" s="55">
        <v>3710</v>
      </c>
      <c r="CE47" s="55">
        <f>3710+8000</f>
        <v>11710</v>
      </c>
      <c r="CF47" s="55">
        <f>3710+10000</f>
        <v>13710</v>
      </c>
      <c r="CG47" s="55">
        <f>3710+5000</f>
        <v>8710</v>
      </c>
      <c r="CH47" s="55">
        <v>3710</v>
      </c>
      <c r="CI47" s="55">
        <v>3710</v>
      </c>
      <c r="CJ47" s="55">
        <v>3710</v>
      </c>
      <c r="CK47" s="55">
        <v>3710</v>
      </c>
      <c r="CL47" s="55">
        <v>3710</v>
      </c>
      <c r="CM47" s="55"/>
    </row>
    <row r="48" spans="1:91" x14ac:dyDescent="0.15">
      <c r="A48" s="35">
        <v>3</v>
      </c>
      <c r="B48" s="36">
        <v>201</v>
      </c>
      <c r="C48" s="35" t="s">
        <v>103</v>
      </c>
      <c r="D48" s="37" t="str">
        <f t="shared" si="6"/>
        <v>Jay Krishan</v>
      </c>
      <c r="K48" s="55">
        <v>2000</v>
      </c>
      <c r="L48" s="55">
        <v>1965</v>
      </c>
      <c r="M48" s="55">
        <v>1694</v>
      </c>
      <c r="N48" s="55">
        <v>1611</v>
      </c>
      <c r="O48" s="55">
        <v>1642</v>
      </c>
      <c r="P48" s="55">
        <v>2656</v>
      </c>
      <c r="Q48" s="55">
        <v>2699</v>
      </c>
      <c r="R48" s="55">
        <v>2120</v>
      </c>
      <c r="S48" s="55">
        <v>2120</v>
      </c>
      <c r="T48" s="55">
        <v>2150</v>
      </c>
      <c r="U48" s="55">
        <v>2120</v>
      </c>
      <c r="V48" s="55">
        <v>2120</v>
      </c>
      <c r="W48" s="55">
        <f>3114-1000</f>
        <v>2114</v>
      </c>
      <c r="X48" s="55">
        <v>5000</v>
      </c>
      <c r="Y48" s="55">
        <v>1700</v>
      </c>
      <c r="Z48" s="55">
        <v>1000</v>
      </c>
      <c r="AA48" s="55">
        <v>2120</v>
      </c>
      <c r="AB48" s="55">
        <v>2120</v>
      </c>
      <c r="AC48" s="55"/>
      <c r="AD48" s="55">
        <v>4340</v>
      </c>
      <c r="AE48" s="76"/>
      <c r="AF48" s="55">
        <f>2600+2600</f>
        <v>5200</v>
      </c>
      <c r="AG48" s="55">
        <v>5000</v>
      </c>
      <c r="AH48" s="55">
        <v>2600</v>
      </c>
      <c r="AI48" s="55">
        <v>2600</v>
      </c>
      <c r="AJ48" s="55">
        <v>2600</v>
      </c>
      <c r="AK48" s="55">
        <v>2600</v>
      </c>
      <c r="AL48" s="55">
        <v>2600</v>
      </c>
      <c r="AM48" s="55">
        <v>2600</v>
      </c>
      <c r="AN48" s="55">
        <v>2600</v>
      </c>
      <c r="AO48" s="55">
        <v>2900</v>
      </c>
      <c r="AP48" s="55">
        <v>10000</v>
      </c>
      <c r="AQ48" s="55">
        <v>2900</v>
      </c>
      <c r="AR48" s="55">
        <v>2900</v>
      </c>
      <c r="AS48" s="55">
        <v>2900</v>
      </c>
      <c r="AT48" s="55">
        <v>10000</v>
      </c>
      <c r="AU48" s="55">
        <v>10000</v>
      </c>
      <c r="AV48" s="55">
        <v>2900</v>
      </c>
      <c r="AW48" s="55">
        <v>2900</v>
      </c>
      <c r="AX48" s="55">
        <v>2900</v>
      </c>
      <c r="AY48" s="55">
        <v>3510</v>
      </c>
      <c r="AZ48" s="55">
        <v>3510</v>
      </c>
      <c r="BA48" s="55">
        <v>3510</v>
      </c>
      <c r="BB48" s="55">
        <v>3510</v>
      </c>
      <c r="BC48" s="55">
        <v>3510</v>
      </c>
      <c r="BD48" s="55">
        <v>3510</v>
      </c>
      <c r="BE48" s="55">
        <v>3510</v>
      </c>
      <c r="BF48" s="55">
        <v>3510</v>
      </c>
      <c r="BG48" s="55">
        <v>3510</v>
      </c>
      <c r="BH48" s="55">
        <v>3510</v>
      </c>
      <c r="BI48" s="55">
        <v>3510</v>
      </c>
      <c r="BJ48" s="55">
        <v>3510</v>
      </c>
      <c r="BK48" s="55">
        <v>3510</v>
      </c>
      <c r="BL48" s="55">
        <v>3510</v>
      </c>
      <c r="BM48" s="55">
        <v>3510</v>
      </c>
      <c r="BN48" s="55">
        <v>3510</v>
      </c>
      <c r="BO48" s="55"/>
      <c r="BP48" s="55">
        <v>1200</v>
      </c>
      <c r="BQ48" s="55">
        <v>3510</v>
      </c>
      <c r="BR48" s="55">
        <v>7020</v>
      </c>
      <c r="BS48" s="55"/>
      <c r="BT48" s="55">
        <v>3510</v>
      </c>
      <c r="BU48" s="55"/>
      <c r="BV48" s="55"/>
      <c r="BW48" s="55">
        <v>10930</v>
      </c>
      <c r="BX48" s="55">
        <v>3710</v>
      </c>
      <c r="BY48" s="55">
        <v>3710</v>
      </c>
      <c r="BZ48" s="55"/>
      <c r="CA48" s="55">
        <v>11271</v>
      </c>
      <c r="CB48" s="55">
        <v>3710</v>
      </c>
      <c r="CC48" s="55">
        <v>3710</v>
      </c>
      <c r="CD48" s="55">
        <v>3710</v>
      </c>
      <c r="CE48" s="55">
        <f>3710+3710</f>
        <v>7420</v>
      </c>
      <c r="CF48" s="55">
        <f>10000+3710</f>
        <v>13710</v>
      </c>
      <c r="CG48" s="55">
        <v>3710</v>
      </c>
      <c r="CH48" s="55">
        <f>5000+3710</f>
        <v>8710</v>
      </c>
      <c r="CI48" s="55"/>
      <c r="CJ48" s="55">
        <f>5000+3710</f>
        <v>8710</v>
      </c>
      <c r="CK48" s="55">
        <v>3710</v>
      </c>
      <c r="CL48" s="55"/>
      <c r="CM48" s="55"/>
    </row>
    <row r="49" spans="1:436" x14ac:dyDescent="0.15">
      <c r="A49" s="35">
        <v>4</v>
      </c>
      <c r="B49" s="36">
        <v>301</v>
      </c>
      <c r="C49" s="35" t="s">
        <v>103</v>
      </c>
      <c r="D49" s="37" t="str">
        <f t="shared" si="6"/>
        <v>Vinoy</v>
      </c>
      <c r="K49" s="55">
        <v>2000</v>
      </c>
      <c r="L49" s="55">
        <v>2000</v>
      </c>
      <c r="M49" s="55">
        <v>2000</v>
      </c>
      <c r="N49" s="55">
        <v>2000</v>
      </c>
      <c r="O49" s="55">
        <v>1500</v>
      </c>
      <c r="P49" s="55">
        <v>2000</v>
      </c>
      <c r="Q49" s="55">
        <v>2000</v>
      </c>
      <c r="R49" s="55">
        <v>2000</v>
      </c>
      <c r="S49" s="55">
        <v>2175</v>
      </c>
      <c r="T49" s="55">
        <v>2000</v>
      </c>
      <c r="U49" s="55">
        <v>2000</v>
      </c>
      <c r="V49" s="55">
        <v>3200</v>
      </c>
      <c r="W49" s="55">
        <v>2100</v>
      </c>
      <c r="X49" s="55">
        <v>5000</v>
      </c>
      <c r="Y49" s="55">
        <v>1700</v>
      </c>
      <c r="Z49" s="55">
        <v>1000</v>
      </c>
      <c r="AA49" s="55">
        <f>3000-1000</f>
        <v>2000</v>
      </c>
      <c r="AB49" s="55">
        <v>2200</v>
      </c>
      <c r="AC49" s="55">
        <v>2100</v>
      </c>
      <c r="AD49" s="55">
        <v>2100</v>
      </c>
      <c r="AE49" s="76">
        <v>2570</v>
      </c>
      <c r="AF49" s="55"/>
      <c r="AG49" s="55">
        <v>5000</v>
      </c>
      <c r="AH49" s="55">
        <v>5000</v>
      </c>
      <c r="AI49" s="55">
        <v>5000</v>
      </c>
      <c r="AJ49" s="55"/>
      <c r="AK49" s="55">
        <v>3000</v>
      </c>
      <c r="AL49" s="55">
        <v>3000</v>
      </c>
      <c r="AM49" s="55">
        <v>3000</v>
      </c>
      <c r="AN49" s="55">
        <v>3000</v>
      </c>
      <c r="AO49" s="55">
        <v>3000</v>
      </c>
      <c r="AP49" s="55">
        <v>10000</v>
      </c>
      <c r="AQ49" s="55">
        <v>3000</v>
      </c>
      <c r="AR49" s="55">
        <v>3000</v>
      </c>
      <c r="AS49" s="55">
        <v>3000</v>
      </c>
      <c r="AT49" s="55">
        <v>10000</v>
      </c>
      <c r="AU49" s="55">
        <v>30000</v>
      </c>
      <c r="AV49" s="55"/>
      <c r="AW49" s="55">
        <v>3000</v>
      </c>
      <c r="AX49" s="55">
        <v>17000</v>
      </c>
      <c r="AY49" s="55"/>
      <c r="AZ49" s="55"/>
      <c r="BA49" s="55"/>
      <c r="BB49" s="55"/>
      <c r="BC49" s="55"/>
      <c r="BD49" s="55"/>
      <c r="BE49" s="55"/>
      <c r="BF49" s="55">
        <v>15000</v>
      </c>
      <c r="BG49" s="55"/>
      <c r="BH49" s="55"/>
      <c r="BI49" s="55"/>
      <c r="BJ49" s="55">
        <v>15000</v>
      </c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>
        <v>15000</v>
      </c>
      <c r="BW49" s="55"/>
      <c r="BX49" s="55">
        <v>31736</v>
      </c>
      <c r="BY49" s="55"/>
      <c r="BZ49" s="55"/>
      <c r="CA49" s="55">
        <v>12000</v>
      </c>
      <c r="CB49" s="55"/>
      <c r="CC49" s="55"/>
      <c r="CD49" s="55">
        <v>10500</v>
      </c>
      <c r="CE49" s="55">
        <v>3500</v>
      </c>
      <c r="CF49" s="55">
        <v>3800</v>
      </c>
      <c r="CG49" s="55">
        <v>4000</v>
      </c>
      <c r="CH49" s="55">
        <v>4000</v>
      </c>
      <c r="CI49" s="55">
        <v>4000</v>
      </c>
      <c r="CJ49" s="55"/>
      <c r="CK49" s="55">
        <f>3500+3500</f>
        <v>7000</v>
      </c>
      <c r="CL49" s="55"/>
      <c r="CM49" s="55"/>
    </row>
    <row r="50" spans="1:436" x14ac:dyDescent="0.15">
      <c r="A50" s="35">
        <v>5</v>
      </c>
      <c r="B50" s="36" t="s">
        <v>17</v>
      </c>
      <c r="C50" s="35" t="s">
        <v>103</v>
      </c>
      <c r="D50" s="37" t="str">
        <f t="shared" si="6"/>
        <v>Karthik (Raja)</v>
      </c>
      <c r="K50" s="55">
        <v>2000</v>
      </c>
      <c r="L50" s="55">
        <v>2000</v>
      </c>
      <c r="M50" s="55">
        <v>950</v>
      </c>
      <c r="N50" s="55">
        <v>950</v>
      </c>
      <c r="O50" s="55">
        <v>1550</v>
      </c>
      <c r="P50" s="55">
        <v>0</v>
      </c>
      <c r="Q50" s="55">
        <v>4777</v>
      </c>
      <c r="R50" s="55">
        <v>0</v>
      </c>
      <c r="S50" s="55">
        <v>3500</v>
      </c>
      <c r="T50" s="55">
        <v>1750</v>
      </c>
      <c r="U50" s="55">
        <v>1750</v>
      </c>
      <c r="V50" s="55">
        <v>1750</v>
      </c>
      <c r="W50" s="55">
        <v>1750</v>
      </c>
      <c r="X50" s="55">
        <v>5000</v>
      </c>
      <c r="Y50" s="55">
        <v>2000</v>
      </c>
      <c r="Z50" s="55"/>
      <c r="AA50" s="55">
        <v>0</v>
      </c>
      <c r="AB50" s="55">
        <v>3500</v>
      </c>
      <c r="AC50" s="55">
        <v>1750</v>
      </c>
      <c r="AD50" s="55">
        <v>1750</v>
      </c>
      <c r="AE50" s="76">
        <v>1750</v>
      </c>
      <c r="AF50" s="55">
        <v>1750</v>
      </c>
      <c r="AG50" s="55"/>
      <c r="AH50" s="55">
        <v>2000</v>
      </c>
      <c r="AI50" s="55">
        <v>2000</v>
      </c>
      <c r="AJ50" s="55">
        <v>4000</v>
      </c>
      <c r="AK50" s="55"/>
      <c r="AL50" s="55"/>
      <c r="AM50" s="55"/>
      <c r="AN50" s="55"/>
      <c r="AO50" s="55">
        <v>6000</v>
      </c>
      <c r="AP50" s="55">
        <v>10000</v>
      </c>
      <c r="AQ50" s="55">
        <v>4000</v>
      </c>
      <c r="AR50" s="55">
        <v>2500</v>
      </c>
      <c r="AS50" s="55"/>
      <c r="AT50" s="55">
        <v>10000</v>
      </c>
      <c r="AU50" s="55">
        <v>5000</v>
      </c>
      <c r="AV50" s="55">
        <v>5000</v>
      </c>
      <c r="AW50" s="55"/>
      <c r="AX50" s="55">
        <v>2500</v>
      </c>
      <c r="AY50" s="55"/>
      <c r="AZ50" s="55">
        <v>5000</v>
      </c>
      <c r="BA50" s="55"/>
      <c r="BB50" s="55"/>
      <c r="BC50" s="55"/>
      <c r="BD50" s="55"/>
      <c r="BE50" s="55">
        <v>10000</v>
      </c>
      <c r="BF50" s="55"/>
      <c r="BG50" s="55"/>
      <c r="BH50" s="55"/>
      <c r="BI50" s="55">
        <v>12000</v>
      </c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>
        <v>3000</v>
      </c>
      <c r="BW50" s="55"/>
      <c r="BX50" s="55">
        <v>20000</v>
      </c>
      <c r="BY50" s="55">
        <v>25000</v>
      </c>
      <c r="BZ50" s="55"/>
      <c r="CA50" s="55"/>
      <c r="CB50" s="55"/>
      <c r="CC50" s="55"/>
      <c r="CD50" s="55">
        <v>18000</v>
      </c>
      <c r="CE50" s="55"/>
      <c r="CF50" s="55"/>
      <c r="CG50" s="55"/>
      <c r="CH50" s="55"/>
      <c r="CI50" s="55"/>
      <c r="CJ50" s="55"/>
      <c r="CK50" s="55"/>
      <c r="CL50" s="55"/>
      <c r="CM50" s="55"/>
    </row>
    <row r="51" spans="1:436" x14ac:dyDescent="0.15">
      <c r="A51" s="35">
        <v>6</v>
      </c>
      <c r="B51" s="36" t="s">
        <v>19</v>
      </c>
      <c r="C51" s="35" t="s">
        <v>103</v>
      </c>
      <c r="D51" s="37" t="str">
        <f>D8</f>
        <v>Phani Krishna</v>
      </c>
      <c r="K51" s="55">
        <v>2000</v>
      </c>
      <c r="L51" s="55">
        <v>1529</v>
      </c>
      <c r="M51" s="55">
        <v>1416</v>
      </c>
      <c r="N51" s="55">
        <v>1346</v>
      </c>
      <c r="O51" s="55">
        <v>1278</v>
      </c>
      <c r="P51" s="55">
        <v>2299</v>
      </c>
      <c r="Q51" s="55">
        <v>2359</v>
      </c>
      <c r="R51" s="55">
        <v>1750</v>
      </c>
      <c r="S51" s="55">
        <v>1750</v>
      </c>
      <c r="T51" s="55">
        <v>1750</v>
      </c>
      <c r="U51" s="55">
        <v>1770</v>
      </c>
      <c r="V51" s="55">
        <v>1750</v>
      </c>
      <c r="W51" s="55">
        <v>1750</v>
      </c>
      <c r="X51" s="55">
        <v>5000</v>
      </c>
      <c r="Y51" s="55">
        <v>1700</v>
      </c>
      <c r="Z51" s="55">
        <v>1000</v>
      </c>
      <c r="AA51" s="55">
        <v>1750</v>
      </c>
      <c r="AB51" s="55">
        <v>1750</v>
      </c>
      <c r="AC51" s="55">
        <v>1750</v>
      </c>
      <c r="AD51" s="55">
        <v>1750</v>
      </c>
      <c r="AE51" s="76">
        <v>2130</v>
      </c>
      <c r="AF51" s="55">
        <v>2130</v>
      </c>
      <c r="AG51" s="55">
        <v>5000</v>
      </c>
      <c r="AH51" s="55">
        <v>2130</v>
      </c>
      <c r="AI51" s="55">
        <v>2130</v>
      </c>
      <c r="AJ51" s="55">
        <v>2130</v>
      </c>
      <c r="AK51" s="55">
        <v>2130</v>
      </c>
      <c r="AL51" s="55">
        <v>2130</v>
      </c>
      <c r="AM51" s="55">
        <v>2130</v>
      </c>
      <c r="AN51" s="55">
        <v>2130</v>
      </c>
      <c r="AO51" s="55">
        <v>2430</v>
      </c>
      <c r="AP51" s="55">
        <v>10000</v>
      </c>
      <c r="AQ51" s="55">
        <v>2430</v>
      </c>
      <c r="AR51" s="55">
        <v>2430</v>
      </c>
      <c r="AS51" s="55">
        <f>2140+290</f>
        <v>2430</v>
      </c>
      <c r="AT51" s="55">
        <v>10000</v>
      </c>
      <c r="AU51" s="55">
        <v>30000</v>
      </c>
      <c r="AV51" s="55">
        <v>2430</v>
      </c>
      <c r="AW51" s="55">
        <v>2430</v>
      </c>
      <c r="AX51" s="55">
        <v>2430</v>
      </c>
      <c r="AY51" s="55">
        <v>3000</v>
      </c>
      <c r="AZ51" s="55">
        <v>3000</v>
      </c>
      <c r="BA51" s="55">
        <v>3000</v>
      </c>
      <c r="BB51" s="55">
        <v>3000</v>
      </c>
      <c r="BC51" s="55">
        <v>3000</v>
      </c>
      <c r="BD51" s="55">
        <v>3000</v>
      </c>
      <c r="BE51" s="55">
        <v>3000</v>
      </c>
      <c r="BF51" s="55">
        <v>3000</v>
      </c>
      <c r="BG51" s="55">
        <v>3000</v>
      </c>
      <c r="BH51" s="55">
        <v>3000</v>
      </c>
      <c r="BI51" s="55">
        <v>3000</v>
      </c>
      <c r="BJ51" s="55">
        <v>3000</v>
      </c>
      <c r="BK51" s="55">
        <v>3000</v>
      </c>
      <c r="BL51" s="55">
        <v>3000</v>
      </c>
      <c r="BM51" s="55"/>
      <c r="BN51" s="55">
        <v>6000</v>
      </c>
      <c r="BO51" s="55">
        <v>3000</v>
      </c>
      <c r="BP51" s="55">
        <v>1200</v>
      </c>
      <c r="BQ51" s="55">
        <v>3000</v>
      </c>
      <c r="BR51" s="55">
        <v>3000</v>
      </c>
      <c r="BS51" s="55">
        <v>3000</v>
      </c>
      <c r="BT51" s="55">
        <v>3000</v>
      </c>
      <c r="BU51" s="55">
        <v>3000</v>
      </c>
      <c r="BV51" s="55">
        <v>2750</v>
      </c>
      <c r="BW51" s="55">
        <v>3500</v>
      </c>
      <c r="BX51" s="55">
        <v>3500</v>
      </c>
      <c r="BY51" s="55">
        <v>3000</v>
      </c>
      <c r="BZ51" s="55">
        <v>3000</v>
      </c>
      <c r="CA51" s="55">
        <v>3000</v>
      </c>
      <c r="CB51" s="55">
        <v>3000</v>
      </c>
      <c r="CC51" s="55">
        <v>3000</v>
      </c>
      <c r="CD51" s="55"/>
      <c r="CE51" s="55">
        <v>6500</v>
      </c>
      <c r="CF51" s="55">
        <v>3200</v>
      </c>
      <c r="CG51" s="55">
        <v>3200</v>
      </c>
      <c r="CH51" s="55"/>
      <c r="CI51" s="55">
        <f>3200+2000</f>
        <v>5200</v>
      </c>
      <c r="CJ51" s="55"/>
      <c r="CK51" s="55">
        <v>6400</v>
      </c>
      <c r="CL51" s="55"/>
      <c r="CM51" s="55"/>
    </row>
    <row r="52" spans="1:436" s="84" customFormat="1" x14ac:dyDescent="0.15">
      <c r="A52" s="81">
        <v>7</v>
      </c>
      <c r="B52" s="87" t="s">
        <v>22</v>
      </c>
      <c r="C52" s="81" t="s">
        <v>103</v>
      </c>
      <c r="D52" s="86" t="str">
        <f t="shared" si="6"/>
        <v>Subhash Chandra Gupta</v>
      </c>
      <c r="E52" s="83"/>
      <c r="F52" s="83"/>
      <c r="G52" s="83"/>
      <c r="H52" s="83"/>
      <c r="K52" s="82">
        <v>2000</v>
      </c>
      <c r="L52" s="82">
        <v>1529</v>
      </c>
      <c r="M52" s="82">
        <v>1416</v>
      </c>
      <c r="N52" s="82">
        <v>1346</v>
      </c>
      <c r="O52" s="82">
        <v>1278</v>
      </c>
      <c r="P52" s="82">
        <v>0</v>
      </c>
      <c r="Q52" s="82">
        <v>0</v>
      </c>
      <c r="R52" s="82">
        <v>0</v>
      </c>
      <c r="S52" s="82">
        <v>0</v>
      </c>
      <c r="T52" s="82">
        <v>0</v>
      </c>
      <c r="U52" s="82">
        <v>0</v>
      </c>
      <c r="V52" s="82">
        <v>1750</v>
      </c>
      <c r="W52" s="82">
        <v>3000</v>
      </c>
      <c r="X52" s="82">
        <v>5000</v>
      </c>
      <c r="Y52" s="82">
        <v>0</v>
      </c>
      <c r="Z52" s="82"/>
      <c r="AA52" s="82">
        <v>0</v>
      </c>
      <c r="AB52" s="82"/>
      <c r="AC52" s="82">
        <v>3000</v>
      </c>
      <c r="AD52" s="82"/>
      <c r="AE52" s="85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T52" s="161"/>
    </row>
    <row r="53" spans="1:436" x14ac:dyDescent="0.15">
      <c r="A53" s="35">
        <v>8</v>
      </c>
      <c r="B53" s="36" t="s">
        <v>25</v>
      </c>
      <c r="C53" s="35" t="s">
        <v>103</v>
      </c>
      <c r="D53" s="37" t="str">
        <f t="shared" si="6"/>
        <v>Satheesh S</v>
      </c>
      <c r="K53" s="55">
        <v>2000</v>
      </c>
      <c r="L53" s="55">
        <v>2000</v>
      </c>
      <c r="M53" s="55">
        <v>1000</v>
      </c>
      <c r="N53" s="55">
        <v>1300</v>
      </c>
      <c r="O53" s="55">
        <v>1300</v>
      </c>
      <c r="P53" s="55">
        <v>2300</v>
      </c>
      <c r="Q53" s="55">
        <v>2400</v>
      </c>
      <c r="R53" s="55">
        <v>1750</v>
      </c>
      <c r="S53" s="55">
        <v>1750</v>
      </c>
      <c r="T53" s="55">
        <v>1750</v>
      </c>
      <c r="U53" s="55">
        <v>1750</v>
      </c>
      <c r="V53" s="55">
        <f>(1300+452)</f>
        <v>1752</v>
      </c>
      <c r="W53" s="55">
        <f>2750-1000</f>
        <v>1750</v>
      </c>
      <c r="X53" s="55">
        <v>5000</v>
      </c>
      <c r="Y53" s="55">
        <v>1700</v>
      </c>
      <c r="Z53" s="55">
        <v>1000</v>
      </c>
      <c r="AA53" s="55">
        <f>643+1023+84</f>
        <v>1750</v>
      </c>
      <c r="AB53" s="55">
        <f>1478+272</f>
        <v>1750</v>
      </c>
      <c r="AC53" s="55">
        <f>292+1486</f>
        <v>1778</v>
      </c>
      <c r="AD53" s="55">
        <f>1422+328</f>
        <v>1750</v>
      </c>
      <c r="AE53" s="76">
        <f>1727+403</f>
        <v>2130</v>
      </c>
      <c r="AF53" s="55">
        <f>1370+760</f>
        <v>2130</v>
      </c>
      <c r="AG53" s="55">
        <v>5000</v>
      </c>
      <c r="AH53" s="55">
        <f>1787+343</f>
        <v>2130</v>
      </c>
      <c r="AI53" s="55">
        <f>1787+343</f>
        <v>2130</v>
      </c>
      <c r="AJ53" s="55">
        <f>1873+257</f>
        <v>2130</v>
      </c>
      <c r="AK53" s="55">
        <v>2100</v>
      </c>
      <c r="AL53" s="55">
        <v>2160</v>
      </c>
      <c r="AM53" s="55">
        <v>2130</v>
      </c>
      <c r="AN53" s="55">
        <v>2130</v>
      </c>
      <c r="AO53" s="55">
        <v>2430</v>
      </c>
      <c r="AP53" s="55">
        <v>10000</v>
      </c>
      <c r="AQ53" s="55">
        <f>2291+139</f>
        <v>2430</v>
      </c>
      <c r="AR53" s="55">
        <v>3780</v>
      </c>
      <c r="AS53" s="55">
        <v>1080</v>
      </c>
      <c r="AT53" s="55">
        <v>10000</v>
      </c>
      <c r="AU53" s="55">
        <v>10000</v>
      </c>
      <c r="AV53" s="55">
        <v>2430</v>
      </c>
      <c r="AW53" s="55">
        <v>2430</v>
      </c>
      <c r="AX53" s="55">
        <v>2430</v>
      </c>
      <c r="AY53" s="55">
        <v>2950</v>
      </c>
      <c r="AZ53" s="55">
        <v>2950</v>
      </c>
      <c r="BA53" s="55">
        <v>2950</v>
      </c>
      <c r="BB53" s="55">
        <v>2950</v>
      </c>
      <c r="BC53" s="55">
        <v>2950</v>
      </c>
      <c r="BD53" s="55">
        <f>2065+885</f>
        <v>2950</v>
      </c>
      <c r="BE53" s="55">
        <f>2480+470</f>
        <v>2950</v>
      </c>
      <c r="BF53" s="55">
        <f>523+2427</f>
        <v>2950</v>
      </c>
      <c r="BG53" s="55">
        <f>2320+630</f>
        <v>2950</v>
      </c>
      <c r="BH53" s="55">
        <f>2380+570</f>
        <v>2950</v>
      </c>
      <c r="BI53" s="55">
        <f>2133+817</f>
        <v>2950</v>
      </c>
      <c r="BJ53" s="55">
        <f>2762+188</f>
        <v>2950</v>
      </c>
      <c r="BK53" s="55">
        <v>4520</v>
      </c>
      <c r="BL53" s="55">
        <f>312+1068</f>
        <v>1380</v>
      </c>
      <c r="BM53" s="55">
        <v>2950</v>
      </c>
      <c r="BN53" s="55">
        <v>2950</v>
      </c>
      <c r="BO53" s="55">
        <v>3494</v>
      </c>
      <c r="BP53" s="55">
        <v>1200</v>
      </c>
      <c r="BQ53" s="55">
        <v>2406</v>
      </c>
      <c r="BR53" s="55">
        <v>2950</v>
      </c>
      <c r="BS53" s="55">
        <v>2950</v>
      </c>
      <c r="BT53" s="55">
        <v>2950</v>
      </c>
      <c r="BU53" s="55">
        <v>3000</v>
      </c>
      <c r="BV53" s="55">
        <v>3000</v>
      </c>
      <c r="BW53" s="55"/>
      <c r="BX53" s="55">
        <v>6400</v>
      </c>
      <c r="BY53" s="55">
        <v>3400</v>
      </c>
      <c r="BZ53" s="55">
        <v>2900</v>
      </c>
      <c r="CA53" s="55"/>
      <c r="CB53" s="55">
        <v>3150</v>
      </c>
      <c r="CC53" s="55">
        <f>3150+3150</f>
        <v>6300</v>
      </c>
      <c r="CD53" s="55">
        <v>3150</v>
      </c>
      <c r="CE53" s="55">
        <v>10150</v>
      </c>
      <c r="CF53" s="55">
        <v>10150</v>
      </c>
      <c r="CG53" s="55">
        <v>10000</v>
      </c>
      <c r="CH53" s="55">
        <v>3150</v>
      </c>
      <c r="CI53" s="55">
        <v>3150</v>
      </c>
      <c r="CJ53" s="55"/>
      <c r="CK53" s="55"/>
      <c r="CL53" s="55"/>
      <c r="CM53" s="55"/>
    </row>
    <row r="54" spans="1:436" s="55" customFormat="1" x14ac:dyDescent="0.15">
      <c r="A54" s="50">
        <v>9</v>
      </c>
      <c r="B54" s="50" t="s">
        <v>28</v>
      </c>
      <c r="C54" s="35" t="s">
        <v>103</v>
      </c>
      <c r="D54" s="37" t="str">
        <f t="shared" si="6"/>
        <v>Sidda Raju</v>
      </c>
      <c r="E54" s="50"/>
      <c r="F54" s="50"/>
      <c r="G54" s="50"/>
      <c r="H54" s="50"/>
      <c r="I54" s="50"/>
      <c r="J54" s="50"/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AT54" s="55">
        <v>10000</v>
      </c>
      <c r="BG54" s="55">
        <v>40000</v>
      </c>
      <c r="BK54" s="55">
        <v>20220</v>
      </c>
      <c r="BO54" s="55">
        <v>20000</v>
      </c>
      <c r="BS54" s="55">
        <v>11780</v>
      </c>
      <c r="BX54" s="55">
        <v>10000</v>
      </c>
      <c r="CF54" s="55">
        <v>10000</v>
      </c>
      <c r="CG54" s="55">
        <v>10000</v>
      </c>
      <c r="CH54" s="55">
        <v>10000</v>
      </c>
      <c r="CI54" s="55">
        <v>10000</v>
      </c>
      <c r="CJ54" s="55">
        <v>10000</v>
      </c>
      <c r="CK54" s="55">
        <v>10000</v>
      </c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  <c r="LD54" s="38"/>
      <c r="LE54" s="38"/>
      <c r="LF54" s="38"/>
      <c r="LG54" s="38"/>
      <c r="LH54" s="38"/>
      <c r="LI54" s="38"/>
      <c r="LJ54" s="38"/>
      <c r="LK54" s="38"/>
      <c r="LL54" s="38"/>
      <c r="LM54" s="38"/>
      <c r="LN54" s="38"/>
      <c r="LO54" s="38"/>
      <c r="LP54" s="38"/>
      <c r="LQ54" s="38"/>
      <c r="LR54" s="38"/>
      <c r="LS54" s="38"/>
      <c r="LT54" s="38"/>
      <c r="LU54" s="38"/>
      <c r="LV54" s="38"/>
      <c r="LW54" s="38"/>
      <c r="LX54" s="38"/>
      <c r="LY54" s="38"/>
      <c r="LZ54" s="38"/>
      <c r="MA54" s="38"/>
      <c r="MB54" s="38"/>
      <c r="MC54" s="38"/>
      <c r="MD54" s="38"/>
      <c r="ME54" s="38"/>
      <c r="MF54" s="38"/>
      <c r="MG54" s="38"/>
      <c r="MH54" s="38"/>
      <c r="MI54" s="38"/>
      <c r="MJ54" s="38"/>
      <c r="MK54" s="38"/>
      <c r="ML54" s="38"/>
      <c r="MM54" s="38"/>
      <c r="MN54" s="38"/>
      <c r="MO54" s="38"/>
      <c r="MP54" s="38"/>
      <c r="MQ54" s="38"/>
      <c r="MR54" s="38"/>
      <c r="MS54" s="38"/>
      <c r="MT54" s="38"/>
      <c r="MU54" s="38"/>
      <c r="MV54" s="38"/>
      <c r="MW54" s="38"/>
      <c r="MX54" s="38"/>
      <c r="MY54" s="38"/>
      <c r="MZ54" s="38"/>
      <c r="NA54" s="38"/>
      <c r="NB54" s="38"/>
      <c r="NC54" s="38"/>
      <c r="ND54" s="38"/>
      <c r="NE54" s="38"/>
      <c r="NF54" s="38"/>
      <c r="NG54" s="38"/>
      <c r="NH54" s="38"/>
      <c r="NI54" s="38"/>
      <c r="NJ54" s="38"/>
      <c r="NK54" s="38"/>
      <c r="NL54" s="38"/>
      <c r="NM54" s="38"/>
      <c r="NN54" s="38"/>
      <c r="NO54" s="38"/>
      <c r="NP54" s="38"/>
      <c r="NQ54" s="38"/>
      <c r="NR54" s="38"/>
      <c r="NS54" s="38"/>
      <c r="NT54" s="38"/>
      <c r="NU54" s="38"/>
      <c r="NV54" s="38"/>
      <c r="NW54" s="38"/>
      <c r="NX54" s="38"/>
      <c r="NY54" s="38"/>
      <c r="NZ54" s="38"/>
      <c r="OA54" s="38"/>
      <c r="OB54" s="38"/>
      <c r="OC54" s="38"/>
      <c r="OD54" s="38"/>
      <c r="OE54" s="38"/>
      <c r="OF54" s="38"/>
      <c r="OG54" s="38"/>
      <c r="OH54" s="38"/>
      <c r="OI54" s="38"/>
      <c r="OJ54" s="38"/>
      <c r="OK54" s="38"/>
      <c r="OL54" s="38"/>
      <c r="OM54" s="38"/>
      <c r="ON54" s="38"/>
      <c r="OO54" s="38"/>
      <c r="OP54" s="38"/>
      <c r="OQ54" s="38"/>
      <c r="OR54" s="38"/>
      <c r="OS54" s="38"/>
      <c r="OT54" s="38"/>
      <c r="OU54" s="38"/>
      <c r="OV54" s="38"/>
      <c r="OW54" s="38"/>
      <c r="OX54" s="38"/>
      <c r="OY54" s="38"/>
      <c r="OZ54" s="38"/>
      <c r="PA54" s="38"/>
      <c r="PB54" s="38"/>
      <c r="PC54" s="38"/>
      <c r="PD54" s="38"/>
      <c r="PE54" s="38"/>
      <c r="PF54" s="38"/>
      <c r="PG54" s="38"/>
      <c r="PH54" s="38"/>
      <c r="PI54" s="38"/>
      <c r="PJ54" s="38"/>
      <c r="PK54" s="38"/>
      <c r="PL54" s="38"/>
      <c r="PM54" s="38"/>
      <c r="PN54" s="38"/>
      <c r="PO54" s="38"/>
      <c r="PP54" s="38"/>
      <c r="PQ54" s="38"/>
      <c r="PR54" s="38"/>
      <c r="PS54" s="38"/>
      <c r="PT54" s="38"/>
    </row>
    <row r="55" spans="1:436" x14ac:dyDescent="0.15">
      <c r="A55" s="35">
        <v>10</v>
      </c>
      <c r="B55" s="36" t="s">
        <v>31</v>
      </c>
      <c r="C55" s="35" t="s">
        <v>103</v>
      </c>
      <c r="D55" s="37" t="str">
        <f t="shared" si="6"/>
        <v>Shashi Prakash Krishna</v>
      </c>
      <c r="K55" s="55">
        <v>2000</v>
      </c>
      <c r="L55" s="55">
        <v>1519</v>
      </c>
      <c r="M55" s="55">
        <v>1500</v>
      </c>
      <c r="N55" s="55">
        <v>1313</v>
      </c>
      <c r="O55" s="55">
        <v>1250</v>
      </c>
      <c r="P55" s="55">
        <v>2000</v>
      </c>
      <c r="Q55" s="55">
        <v>2500</v>
      </c>
      <c r="R55" s="55">
        <v>1836</v>
      </c>
      <c r="S55" s="55">
        <v>1740</v>
      </c>
      <c r="T55" s="55">
        <f>(3440-1700)</f>
        <v>1740</v>
      </c>
      <c r="U55" s="55">
        <v>1740</v>
      </c>
      <c r="V55" s="55">
        <v>1740</v>
      </c>
      <c r="W55" s="55">
        <f>(2740-1000)</f>
        <v>1740</v>
      </c>
      <c r="X55" s="55">
        <v>5000</v>
      </c>
      <c r="Y55" s="55">
        <v>1700</v>
      </c>
      <c r="Z55" s="55">
        <v>1000</v>
      </c>
      <c r="AA55" s="55">
        <v>1740</v>
      </c>
      <c r="AB55" s="55">
        <v>1740</v>
      </c>
      <c r="AC55" s="55">
        <v>1740</v>
      </c>
      <c r="AD55" s="55">
        <v>1800</v>
      </c>
      <c r="AE55" s="76">
        <v>2100</v>
      </c>
      <c r="AF55" s="55">
        <v>2100</v>
      </c>
      <c r="AG55" s="55">
        <v>5000</v>
      </c>
      <c r="AH55" s="55">
        <v>2100</v>
      </c>
      <c r="AI55" s="55">
        <v>2200</v>
      </c>
      <c r="AJ55" s="55">
        <v>2100</v>
      </c>
      <c r="AK55" s="55">
        <v>2400</v>
      </c>
      <c r="AL55" s="55">
        <v>3000</v>
      </c>
      <c r="AM55" s="55">
        <v>1000</v>
      </c>
      <c r="AN55" s="55">
        <v>2000</v>
      </c>
      <c r="AO55" s="55">
        <v>3000</v>
      </c>
      <c r="AP55" s="55">
        <v>10000</v>
      </c>
      <c r="AQ55" s="55">
        <v>2500</v>
      </c>
      <c r="AR55" s="55">
        <v>2500</v>
      </c>
      <c r="AS55" s="55">
        <v>2500</v>
      </c>
      <c r="AT55" s="55">
        <v>10000</v>
      </c>
      <c r="AU55" s="55">
        <v>20000</v>
      </c>
      <c r="AV55" s="55">
        <v>2500</v>
      </c>
      <c r="AW55" s="55">
        <v>2500</v>
      </c>
      <c r="AX55" s="55">
        <v>2500</v>
      </c>
      <c r="AY55" s="55">
        <v>3000</v>
      </c>
      <c r="AZ55" s="55">
        <v>3000</v>
      </c>
      <c r="BA55" s="55">
        <v>3000</v>
      </c>
      <c r="BB55" s="55">
        <v>3000</v>
      </c>
      <c r="BC55" s="55"/>
      <c r="BD55" s="55"/>
      <c r="BE55" s="55"/>
      <c r="BF55" s="55">
        <v>10000</v>
      </c>
      <c r="BG55" s="55"/>
      <c r="BH55" s="55"/>
      <c r="BI55" s="55">
        <v>10000</v>
      </c>
      <c r="BJ55" s="55"/>
      <c r="BK55" s="55"/>
      <c r="BL55" s="55"/>
      <c r="BM55" s="55"/>
      <c r="BN55" s="55"/>
      <c r="BO55" s="55">
        <v>15000</v>
      </c>
      <c r="BP55" s="55"/>
      <c r="BQ55" s="55"/>
      <c r="BR55" s="55"/>
      <c r="BS55" s="55"/>
      <c r="BT55" s="55">
        <v>15000</v>
      </c>
      <c r="BU55" s="55"/>
      <c r="BV55" s="55">
        <v>10000</v>
      </c>
      <c r="BW55" s="55">
        <v>6000</v>
      </c>
      <c r="BX55" s="55"/>
      <c r="BY55" s="55">
        <v>6000</v>
      </c>
      <c r="BZ55" s="55">
        <v>6600</v>
      </c>
      <c r="CA55" s="55">
        <v>6600</v>
      </c>
      <c r="CB55" s="55"/>
      <c r="CC55" s="55">
        <v>6600</v>
      </c>
      <c r="CD55" s="55"/>
      <c r="CE55" s="55"/>
      <c r="CF55" s="55"/>
      <c r="CG55" s="55"/>
      <c r="CH55" s="55">
        <v>15000</v>
      </c>
      <c r="CI55" s="55"/>
      <c r="CJ55" s="55">
        <v>4000</v>
      </c>
      <c r="CK55" s="55">
        <v>3300</v>
      </c>
      <c r="CL55" s="55">
        <v>5000</v>
      </c>
      <c r="CM55" s="55"/>
    </row>
    <row r="56" spans="1:436" x14ac:dyDescent="0.15">
      <c r="A56" s="35">
        <v>11</v>
      </c>
      <c r="B56" s="36" t="s">
        <v>34</v>
      </c>
      <c r="C56" s="35" t="s">
        <v>103</v>
      </c>
      <c r="D56" s="37" t="str">
        <f t="shared" si="6"/>
        <v>Philip George (Rahul)</v>
      </c>
      <c r="K56" s="55">
        <v>0</v>
      </c>
      <c r="L56" s="55">
        <v>0</v>
      </c>
      <c r="M56" s="55">
        <v>4500</v>
      </c>
      <c r="N56" s="55">
        <v>0</v>
      </c>
      <c r="O56" s="55">
        <v>4500</v>
      </c>
      <c r="P56" s="55">
        <v>1000</v>
      </c>
      <c r="Q56" s="55">
        <v>0</v>
      </c>
      <c r="R56" s="55">
        <v>2000</v>
      </c>
      <c r="S56" s="55">
        <v>100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1700</v>
      </c>
      <c r="Z56" s="55"/>
      <c r="AA56" s="55">
        <v>0</v>
      </c>
      <c r="AB56" s="55"/>
      <c r="AC56" s="55"/>
      <c r="AD56" s="55"/>
      <c r="AE56" s="76"/>
      <c r="AF56" s="55">
        <v>29787</v>
      </c>
      <c r="AG56" s="55">
        <v>5000</v>
      </c>
      <c r="AH56" s="55">
        <v>2300</v>
      </c>
      <c r="AI56" s="55">
        <v>2000</v>
      </c>
      <c r="AJ56" s="55">
        <v>2600</v>
      </c>
      <c r="AK56" s="55">
        <v>2300</v>
      </c>
      <c r="AL56" s="55">
        <v>2300</v>
      </c>
      <c r="AM56" s="55">
        <v>2000</v>
      </c>
      <c r="AN56" s="55"/>
      <c r="AO56" s="55"/>
      <c r="AP56" s="55">
        <v>10000</v>
      </c>
      <c r="AQ56" s="55"/>
      <c r="AR56" s="55"/>
      <c r="AS56" s="55"/>
      <c r="AT56" s="55"/>
      <c r="AU56" s="55"/>
      <c r="AV56" s="55">
        <v>4000</v>
      </c>
      <c r="AW56" s="55"/>
      <c r="AX56" s="55"/>
      <c r="AY56" s="55"/>
      <c r="AZ56" s="55"/>
      <c r="BA56" s="55"/>
      <c r="BB56" s="55"/>
      <c r="BC56" s="55"/>
      <c r="BD56" s="55">
        <v>12000</v>
      </c>
      <c r="BE56" s="55"/>
      <c r="BF56" s="55"/>
      <c r="BG56" s="55"/>
      <c r="BH56" s="55"/>
      <c r="BI56" s="55"/>
      <c r="BJ56" s="55"/>
      <c r="BK56" s="55"/>
      <c r="BL56" s="55"/>
      <c r="BM56" s="55">
        <v>58309</v>
      </c>
      <c r="BN56" s="55"/>
      <c r="BO56" s="55">
        <v>16220</v>
      </c>
      <c r="BP56" s="55"/>
      <c r="BQ56" s="55">
        <v>10940</v>
      </c>
      <c r="BR56" s="55">
        <v>10940</v>
      </c>
      <c r="BS56" s="55">
        <v>2940</v>
      </c>
      <c r="BT56" s="55">
        <v>2940</v>
      </c>
      <c r="BU56" s="55">
        <v>2940</v>
      </c>
      <c r="BV56" s="55">
        <v>2940</v>
      </c>
      <c r="BW56" s="55">
        <v>2940</v>
      </c>
      <c r="BX56" s="55">
        <v>2940</v>
      </c>
      <c r="BY56" s="55"/>
      <c r="BZ56" s="55">
        <v>2940</v>
      </c>
      <c r="CA56" s="55">
        <v>2940</v>
      </c>
      <c r="CB56" s="55">
        <v>2940</v>
      </c>
      <c r="CC56" s="55"/>
      <c r="CD56" s="55"/>
      <c r="CE56" s="55"/>
      <c r="CF56" s="55"/>
      <c r="CG56" s="55">
        <v>3200</v>
      </c>
      <c r="CH56" s="55">
        <v>3200</v>
      </c>
      <c r="CI56" s="55">
        <v>3200</v>
      </c>
      <c r="CJ56" s="55"/>
      <c r="CK56" s="55">
        <f>1000+24000</f>
        <v>25000</v>
      </c>
      <c r="CL56" s="55"/>
      <c r="CM56" s="55"/>
    </row>
    <row r="57" spans="1:436" x14ac:dyDescent="0.15">
      <c r="A57" s="35">
        <v>12</v>
      </c>
      <c r="B57" s="36" t="s">
        <v>37</v>
      </c>
      <c r="C57" s="35" t="s">
        <v>103</v>
      </c>
      <c r="D57" s="37" t="str">
        <f t="shared" si="6"/>
        <v>Sanjib Singh</v>
      </c>
      <c r="K57" s="55">
        <v>2000</v>
      </c>
      <c r="L57" s="55">
        <v>1619</v>
      </c>
      <c r="M57" s="55">
        <v>1309</v>
      </c>
      <c r="N57" s="55">
        <v>1340</v>
      </c>
      <c r="O57" s="55">
        <v>1269</v>
      </c>
      <c r="P57" s="55">
        <v>2290</v>
      </c>
      <c r="Q57" s="55">
        <v>2351</v>
      </c>
      <c r="R57" s="55">
        <v>1740</v>
      </c>
      <c r="S57" s="55">
        <v>1740</v>
      </c>
      <c r="T57" s="55">
        <v>1740</v>
      </c>
      <c r="U57" s="55">
        <v>1740</v>
      </c>
      <c r="V57" s="55">
        <v>1740</v>
      </c>
      <c r="W57" s="55">
        <v>1740</v>
      </c>
      <c r="X57" s="55">
        <v>5000</v>
      </c>
      <c r="Y57" s="55">
        <v>1700</v>
      </c>
      <c r="Z57" s="55">
        <v>1000</v>
      </c>
      <c r="AA57" s="55">
        <v>1740</v>
      </c>
      <c r="AB57" s="55">
        <v>1740</v>
      </c>
      <c r="AC57" s="55">
        <v>1740</v>
      </c>
      <c r="AD57" s="55">
        <v>1740</v>
      </c>
      <c r="AE57" s="76">
        <v>2120</v>
      </c>
      <c r="AF57" s="55">
        <v>2238</v>
      </c>
      <c r="AG57" s="82"/>
      <c r="AH57" s="55">
        <v>2120</v>
      </c>
      <c r="AI57" s="55">
        <v>2102</v>
      </c>
      <c r="AJ57" s="55">
        <v>2120</v>
      </c>
      <c r="AK57" s="55">
        <v>2120</v>
      </c>
      <c r="AL57" s="55">
        <v>2120</v>
      </c>
      <c r="AM57" s="55">
        <v>2120</v>
      </c>
      <c r="AN57" s="55">
        <v>2120</v>
      </c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</row>
    <row r="58" spans="1:436" x14ac:dyDescent="0.15">
      <c r="A58" s="35">
        <v>13</v>
      </c>
      <c r="B58" s="36" t="s">
        <v>40</v>
      </c>
      <c r="C58" s="35" t="s">
        <v>103</v>
      </c>
      <c r="D58" s="37" t="str">
        <f t="shared" si="6"/>
        <v>Krishna Murthy</v>
      </c>
      <c r="K58" s="55">
        <v>0</v>
      </c>
      <c r="L58" s="55">
        <v>3567</v>
      </c>
      <c r="M58" s="55">
        <v>2880</v>
      </c>
      <c r="N58" s="55">
        <v>0</v>
      </c>
      <c r="O58" s="55">
        <v>1240</v>
      </c>
      <c r="P58" s="55">
        <v>2328</v>
      </c>
      <c r="Q58" s="55">
        <v>2257</v>
      </c>
      <c r="R58" s="55">
        <v>2977</v>
      </c>
      <c r="S58" s="55">
        <v>1640</v>
      </c>
      <c r="T58" s="55">
        <v>1640</v>
      </c>
      <c r="U58" s="55">
        <v>0</v>
      </c>
      <c r="V58" s="55">
        <v>3280</v>
      </c>
      <c r="W58" s="55">
        <v>1640</v>
      </c>
      <c r="X58" s="55">
        <v>5000</v>
      </c>
      <c r="Y58" s="55">
        <v>0</v>
      </c>
      <c r="Z58" s="55">
        <v>1000</v>
      </c>
      <c r="AA58" s="55">
        <v>1640</v>
      </c>
      <c r="AB58" s="55">
        <v>1640</v>
      </c>
      <c r="AC58" s="55">
        <v>1640</v>
      </c>
      <c r="AD58" s="55">
        <v>1640</v>
      </c>
      <c r="AE58" s="76">
        <v>1990</v>
      </c>
      <c r="AF58" s="55">
        <v>1990</v>
      </c>
      <c r="AG58" s="55">
        <v>5000</v>
      </c>
      <c r="AH58" s="55">
        <v>1990</v>
      </c>
      <c r="AI58" s="55">
        <v>1990</v>
      </c>
      <c r="AJ58" s="55">
        <v>1990</v>
      </c>
      <c r="AK58" s="55">
        <v>1990</v>
      </c>
      <c r="AL58" s="55"/>
      <c r="AM58" s="55">
        <v>3980</v>
      </c>
      <c r="AN58" s="55"/>
      <c r="AO58" s="55">
        <v>1990</v>
      </c>
      <c r="AP58" s="55">
        <v>10000</v>
      </c>
      <c r="AQ58" s="55">
        <v>2290</v>
      </c>
      <c r="AR58" s="55">
        <v>2200</v>
      </c>
      <c r="AS58" s="55">
        <v>2390</v>
      </c>
      <c r="AT58" s="55">
        <f>6420+3580</f>
        <v>10000</v>
      </c>
      <c r="AU58" s="55">
        <v>18620</v>
      </c>
      <c r="AV58" s="55">
        <v>2290</v>
      </c>
      <c r="AW58" s="55">
        <v>2290</v>
      </c>
      <c r="AX58" s="55">
        <v>2290</v>
      </c>
      <c r="AY58" s="55">
        <f>2500+290</f>
        <v>2790</v>
      </c>
      <c r="AZ58" s="55">
        <v>2790</v>
      </c>
      <c r="BA58" s="55"/>
      <c r="BB58" s="55">
        <v>6800</v>
      </c>
      <c r="BC58" s="55">
        <v>2790</v>
      </c>
      <c r="BD58" s="55">
        <v>2790</v>
      </c>
      <c r="BE58" s="55">
        <v>2790</v>
      </c>
      <c r="BF58" s="55">
        <v>2790</v>
      </c>
      <c r="BG58" s="55">
        <v>2790</v>
      </c>
      <c r="BH58" s="55">
        <v>2790</v>
      </c>
      <c r="BI58" s="55">
        <v>2738</v>
      </c>
      <c r="BJ58" s="55">
        <v>2798</v>
      </c>
      <c r="BK58" s="55">
        <v>2798</v>
      </c>
      <c r="BL58" s="55"/>
      <c r="BM58" s="55"/>
      <c r="BN58" s="55"/>
      <c r="BO58" s="55">
        <f>5580+500</f>
        <v>6080</v>
      </c>
      <c r="BP58" s="55">
        <v>1200</v>
      </c>
      <c r="BQ58" s="55">
        <v>2580</v>
      </c>
      <c r="BR58" s="55">
        <v>1290</v>
      </c>
      <c r="BS58" s="55"/>
      <c r="BT58" s="55">
        <v>2790</v>
      </c>
      <c r="BU58" s="55">
        <v>6590</v>
      </c>
      <c r="BV58" s="55">
        <v>2790</v>
      </c>
      <c r="BW58" s="55">
        <v>2790</v>
      </c>
      <c r="BX58" s="55">
        <v>3000</v>
      </c>
      <c r="BY58" s="55">
        <v>3000</v>
      </c>
      <c r="BZ58" s="55"/>
      <c r="CA58" s="55">
        <v>8000</v>
      </c>
      <c r="CB58" s="55">
        <v>3000</v>
      </c>
      <c r="CC58" s="55">
        <v>3000</v>
      </c>
      <c r="CD58" s="55"/>
      <c r="CE58" s="55">
        <f>4000+2000</f>
        <v>6000</v>
      </c>
      <c r="CF58" s="55">
        <v>3000</v>
      </c>
      <c r="CG58" s="55">
        <v>3000</v>
      </c>
      <c r="CH58" s="55">
        <v>7000</v>
      </c>
      <c r="CI58" s="55">
        <v>3000</v>
      </c>
      <c r="CJ58" s="55">
        <f>3000+3000+3000</f>
        <v>9000</v>
      </c>
      <c r="CK58" s="55">
        <v>5300</v>
      </c>
      <c r="CL58" s="55"/>
      <c r="CM58" s="55"/>
    </row>
    <row r="59" spans="1:436" x14ac:dyDescent="0.15">
      <c r="A59" s="35">
        <v>14</v>
      </c>
      <c r="B59" s="36" t="s">
        <v>43</v>
      </c>
      <c r="C59" s="35" t="s">
        <v>103</v>
      </c>
      <c r="D59" s="37" t="str">
        <f>D16</f>
        <v>Niteen Kole</v>
      </c>
      <c r="K59" s="55">
        <v>2000</v>
      </c>
      <c r="L59" s="55">
        <v>1567</v>
      </c>
      <c r="M59" s="55">
        <v>1440</v>
      </c>
      <c r="N59" s="55">
        <v>1369</v>
      </c>
      <c r="O59" s="55">
        <v>1309</v>
      </c>
      <c r="P59" s="55">
        <v>2330</v>
      </c>
      <c r="Q59" s="55">
        <v>2389</v>
      </c>
      <c r="R59" s="55">
        <v>1780</v>
      </c>
      <c r="S59" s="55">
        <v>1740</v>
      </c>
      <c r="T59" s="55">
        <v>1780</v>
      </c>
      <c r="U59" s="55">
        <v>1839</v>
      </c>
      <c r="V59" s="55">
        <v>1780</v>
      </c>
      <c r="W59" s="55">
        <v>1780</v>
      </c>
      <c r="X59" s="55">
        <v>5000</v>
      </c>
      <c r="Y59" s="55">
        <v>1700</v>
      </c>
      <c r="Z59" s="55">
        <v>1000</v>
      </c>
      <c r="AA59" s="55">
        <f>1780-1000</f>
        <v>780</v>
      </c>
      <c r="AB59" s="55">
        <f>1780+1000</f>
        <v>2780</v>
      </c>
      <c r="AC59" s="55">
        <v>1780</v>
      </c>
      <c r="AD59" s="55">
        <v>1780</v>
      </c>
      <c r="AE59" s="76">
        <v>2170</v>
      </c>
      <c r="AF59" s="55">
        <v>2170</v>
      </c>
      <c r="AG59" s="55">
        <v>5000</v>
      </c>
      <c r="AH59" s="55">
        <v>2200</v>
      </c>
      <c r="AI59" s="55">
        <v>2200</v>
      </c>
      <c r="AJ59" s="55">
        <v>2200</v>
      </c>
      <c r="AK59" s="55">
        <v>2200</v>
      </c>
      <c r="AL59" s="55">
        <v>2200</v>
      </c>
      <c r="AM59" s="55">
        <v>2200</v>
      </c>
      <c r="AN59" s="55">
        <v>2300</v>
      </c>
      <c r="AO59" s="55">
        <v>2200</v>
      </c>
      <c r="AP59" s="55">
        <v>10000</v>
      </c>
      <c r="AQ59" s="55">
        <v>2200</v>
      </c>
      <c r="AR59" s="55">
        <v>2200</v>
      </c>
      <c r="AS59" s="55">
        <v>2200</v>
      </c>
      <c r="AT59" s="55">
        <v>10000</v>
      </c>
      <c r="AU59" s="55">
        <v>5000</v>
      </c>
      <c r="AV59" s="55"/>
      <c r="AW59" s="55">
        <v>6020</v>
      </c>
      <c r="AX59" s="55">
        <v>2470</v>
      </c>
      <c r="AY59" s="55">
        <v>3000</v>
      </c>
      <c r="AZ59" s="55">
        <v>3000</v>
      </c>
      <c r="BA59" s="55"/>
      <c r="BB59" s="55">
        <v>6000</v>
      </c>
      <c r="BC59" s="55">
        <v>3000</v>
      </c>
      <c r="BD59" s="55">
        <v>3000</v>
      </c>
      <c r="BE59" s="55">
        <v>3000</v>
      </c>
      <c r="BF59" s="55">
        <v>3000</v>
      </c>
      <c r="BG59" s="55">
        <v>3000</v>
      </c>
      <c r="BH59" s="55">
        <v>3000</v>
      </c>
      <c r="BI59" s="55">
        <v>3000</v>
      </c>
      <c r="BJ59" s="55">
        <v>3000</v>
      </c>
      <c r="BK59" s="55">
        <v>3000</v>
      </c>
      <c r="BL59" s="55">
        <v>3000</v>
      </c>
      <c r="BM59" s="55">
        <v>3000</v>
      </c>
      <c r="BN59" s="55">
        <v>3000</v>
      </c>
      <c r="BO59" s="55">
        <v>3000</v>
      </c>
      <c r="BP59" s="55"/>
      <c r="BQ59" s="55">
        <v>3000</v>
      </c>
      <c r="BR59" s="55">
        <v>3000</v>
      </c>
      <c r="BS59" s="55">
        <v>3000</v>
      </c>
      <c r="BT59" s="55">
        <v>3000</v>
      </c>
      <c r="BU59" s="55">
        <v>3000</v>
      </c>
      <c r="BV59" s="55">
        <v>3000</v>
      </c>
      <c r="BW59" s="55">
        <v>3400</v>
      </c>
      <c r="BX59" s="55">
        <v>8200</v>
      </c>
      <c r="BY59" s="55">
        <v>3200</v>
      </c>
      <c r="BZ59" s="55">
        <v>8200</v>
      </c>
      <c r="CA59" s="55"/>
      <c r="CB59" s="55">
        <f>3200+5000</f>
        <v>8200</v>
      </c>
      <c r="CC59" s="55">
        <v>3200</v>
      </c>
      <c r="CD59" s="55">
        <v>3200</v>
      </c>
      <c r="CE59" s="55">
        <f>3200+14090</f>
        <v>17290</v>
      </c>
      <c r="CF59" s="55">
        <v>3200</v>
      </c>
      <c r="CG59" s="55">
        <v>3200</v>
      </c>
      <c r="CH59" s="55">
        <v>3200</v>
      </c>
      <c r="CI59" s="55">
        <v>3200</v>
      </c>
      <c r="CJ59" s="55">
        <v>3200</v>
      </c>
      <c r="CK59" s="55">
        <v>3200</v>
      </c>
      <c r="CL59" s="55">
        <v>3200</v>
      </c>
      <c r="CM59" s="55"/>
    </row>
    <row r="60" spans="1:436" x14ac:dyDescent="0.15">
      <c r="A60" s="35">
        <v>15</v>
      </c>
      <c r="B60" s="36" t="s">
        <v>46</v>
      </c>
      <c r="C60" s="35" t="s">
        <v>103</v>
      </c>
      <c r="D60" s="37" t="str">
        <f t="shared" si="6"/>
        <v>M. Sundaralingam</v>
      </c>
      <c r="K60" s="55">
        <v>2000</v>
      </c>
      <c r="L60" s="55">
        <v>1567</v>
      </c>
      <c r="M60" s="55">
        <v>1440</v>
      </c>
      <c r="N60" s="55">
        <v>1363</v>
      </c>
      <c r="O60" s="55">
        <v>1321</v>
      </c>
      <c r="P60" s="55">
        <v>2324</v>
      </c>
      <c r="Q60" s="55">
        <v>2400</v>
      </c>
      <c r="R60" s="55">
        <v>1780</v>
      </c>
      <c r="S60" s="55">
        <v>1780</v>
      </c>
      <c r="T60" s="55">
        <v>1780</v>
      </c>
      <c r="U60" s="55">
        <v>1780</v>
      </c>
      <c r="V60" s="55">
        <f>(250+1530)</f>
        <v>1780</v>
      </c>
      <c r="W60" s="55">
        <f>2780-1000</f>
        <v>1780</v>
      </c>
      <c r="X60" s="55">
        <v>5000</v>
      </c>
      <c r="Y60" s="55">
        <v>1700</v>
      </c>
      <c r="Z60" s="55">
        <v>1000</v>
      </c>
      <c r="AA60" s="55">
        <v>1780</v>
      </c>
      <c r="AB60" s="55">
        <v>1780</v>
      </c>
      <c r="AC60" s="55">
        <v>1780</v>
      </c>
      <c r="AD60" s="55">
        <v>2000</v>
      </c>
      <c r="AE60" s="76">
        <v>2500</v>
      </c>
      <c r="AF60" s="55">
        <v>2500</v>
      </c>
      <c r="AG60" s="55">
        <v>5000</v>
      </c>
      <c r="AH60" s="55">
        <v>2830</v>
      </c>
      <c r="AI60" s="55">
        <v>2500</v>
      </c>
      <c r="AJ60" s="55">
        <v>2500</v>
      </c>
      <c r="AK60" s="55">
        <v>2700</v>
      </c>
      <c r="AL60" s="55">
        <v>2330</v>
      </c>
      <c r="AM60" s="55">
        <v>1830</v>
      </c>
      <c r="AN60" s="55">
        <v>2330</v>
      </c>
      <c r="AO60" s="55">
        <v>2530</v>
      </c>
      <c r="AP60" s="55">
        <v>10000</v>
      </c>
      <c r="AQ60" s="55"/>
      <c r="AR60" s="55">
        <v>2530</v>
      </c>
      <c r="AS60" s="55">
        <v>2530</v>
      </c>
      <c r="AT60" s="55">
        <v>10000</v>
      </c>
      <c r="AU60" s="55">
        <v>30000</v>
      </c>
      <c r="AV60" s="55">
        <v>2470</v>
      </c>
      <c r="AW60" s="55">
        <v>2470</v>
      </c>
      <c r="AX60" s="55">
        <v>2530</v>
      </c>
      <c r="AY60" s="55">
        <v>3500</v>
      </c>
      <c r="AZ60" s="55">
        <v>3000</v>
      </c>
      <c r="BA60" s="55">
        <v>3000</v>
      </c>
      <c r="BB60" s="55">
        <v>3000</v>
      </c>
      <c r="BC60" s="55">
        <v>3000</v>
      </c>
      <c r="BD60" s="55">
        <v>3000</v>
      </c>
      <c r="BE60" s="55">
        <v>3000</v>
      </c>
      <c r="BF60" s="55">
        <v>3000</v>
      </c>
      <c r="BG60" s="55">
        <v>3000</v>
      </c>
      <c r="BH60" s="55">
        <v>3000</v>
      </c>
      <c r="BI60" s="55">
        <v>3000</v>
      </c>
      <c r="BJ60" s="55">
        <v>3000</v>
      </c>
      <c r="BK60" s="55">
        <v>3000</v>
      </c>
      <c r="BL60" s="55">
        <v>3000</v>
      </c>
      <c r="BM60" s="55">
        <v>3000</v>
      </c>
      <c r="BN60" s="55">
        <v>3000</v>
      </c>
      <c r="BO60" s="55">
        <v>3000</v>
      </c>
      <c r="BP60" s="55">
        <v>1200</v>
      </c>
      <c r="BQ60" s="55">
        <v>3000</v>
      </c>
      <c r="BR60" s="55">
        <v>3000</v>
      </c>
      <c r="BS60" s="55">
        <v>3000</v>
      </c>
      <c r="BT60" s="55">
        <v>3000</v>
      </c>
      <c r="BU60" s="55">
        <v>3000</v>
      </c>
      <c r="BV60" s="55">
        <v>3200</v>
      </c>
      <c r="BW60" s="55">
        <v>3200</v>
      </c>
      <c r="BX60" s="55">
        <v>3200</v>
      </c>
      <c r="BY60" s="55">
        <v>3200</v>
      </c>
      <c r="BZ60" s="55"/>
      <c r="CA60" s="55"/>
      <c r="CB60" s="55">
        <v>10000</v>
      </c>
      <c r="CC60" s="55"/>
      <c r="CD60" s="55">
        <v>10000</v>
      </c>
      <c r="CE60" s="55"/>
      <c r="CF60" s="55">
        <v>4000</v>
      </c>
      <c r="CG60" s="55"/>
      <c r="CH60" s="55"/>
      <c r="CI60" s="55">
        <v>7000</v>
      </c>
      <c r="CJ60" s="55"/>
      <c r="CK60" s="55">
        <v>10000</v>
      </c>
      <c r="CL60" s="55"/>
      <c r="CM60" s="55"/>
    </row>
    <row r="61" spans="1:436" x14ac:dyDescent="0.15">
      <c r="A61" s="35">
        <v>16</v>
      </c>
      <c r="B61" s="36" t="s">
        <v>49</v>
      </c>
      <c r="C61" s="35" t="s">
        <v>103</v>
      </c>
      <c r="D61" s="37" t="str">
        <f t="shared" si="6"/>
        <v>Dhiman</v>
      </c>
      <c r="K61" s="55">
        <v>2000</v>
      </c>
      <c r="L61" s="55">
        <v>1567</v>
      </c>
      <c r="M61" s="55">
        <v>1440</v>
      </c>
      <c r="N61" s="55">
        <v>1363</v>
      </c>
      <c r="O61" s="55">
        <v>1315</v>
      </c>
      <c r="P61" s="55">
        <v>2330</v>
      </c>
      <c r="Q61" s="55">
        <v>2389</v>
      </c>
      <c r="R61" s="55">
        <v>2389</v>
      </c>
      <c r="S61" s="55">
        <f>1780+1110-1700</f>
        <v>1190</v>
      </c>
      <c r="T61" s="55">
        <v>1780</v>
      </c>
      <c r="U61" s="55">
        <v>0</v>
      </c>
      <c r="V61" s="55">
        <v>3560</v>
      </c>
      <c r="W61" s="55">
        <f>2780-1000</f>
        <v>1780</v>
      </c>
      <c r="X61" s="55">
        <v>5000</v>
      </c>
      <c r="Y61" s="55">
        <v>1700</v>
      </c>
      <c r="Z61" s="55">
        <v>1000</v>
      </c>
      <c r="AA61" s="55">
        <v>1780</v>
      </c>
      <c r="AB61" s="55">
        <v>1780</v>
      </c>
      <c r="AC61" s="55">
        <v>1780</v>
      </c>
      <c r="AD61" s="55">
        <v>1780</v>
      </c>
      <c r="AE61" s="76">
        <f>2170+100</f>
        <v>2270</v>
      </c>
      <c r="AF61" s="55">
        <v>2270</v>
      </c>
      <c r="AG61" s="55">
        <v>5000</v>
      </c>
      <c r="AH61" s="55">
        <v>2170</v>
      </c>
      <c r="AI61" s="55">
        <v>2500</v>
      </c>
      <c r="AJ61" s="55">
        <v>2500</v>
      </c>
      <c r="AK61" s="55">
        <v>2100</v>
      </c>
      <c r="AL61" s="55">
        <v>2170</v>
      </c>
      <c r="AM61" s="55">
        <v>2170</v>
      </c>
      <c r="AN61" s="55">
        <v>2170</v>
      </c>
      <c r="AO61" s="55">
        <v>2470</v>
      </c>
      <c r="AP61" s="55">
        <v>10000</v>
      </c>
      <c r="AQ61" s="55">
        <v>2170</v>
      </c>
      <c r="AR61" s="55">
        <v>2470</v>
      </c>
      <c r="AS61" s="55">
        <v>2470</v>
      </c>
      <c r="AT61" s="55">
        <v>10000</v>
      </c>
      <c r="AU61" s="55">
        <v>30000</v>
      </c>
      <c r="AV61" s="55">
        <v>2470</v>
      </c>
      <c r="AW61" s="55">
        <v>2470</v>
      </c>
      <c r="AX61" s="55">
        <v>2470</v>
      </c>
      <c r="AY61" s="55">
        <v>3500</v>
      </c>
      <c r="AZ61" s="55">
        <v>3000</v>
      </c>
      <c r="BA61" s="55">
        <v>3000</v>
      </c>
      <c r="BB61" s="55"/>
      <c r="BC61" s="55"/>
      <c r="BD61" s="55"/>
      <c r="BE61" s="55">
        <v>9000</v>
      </c>
      <c r="BF61" s="55">
        <v>3000</v>
      </c>
      <c r="BG61" s="55">
        <v>2350</v>
      </c>
      <c r="BH61" s="55">
        <v>3000</v>
      </c>
      <c r="BI61" s="55"/>
      <c r="BJ61" s="55">
        <v>6000</v>
      </c>
      <c r="BK61" s="55">
        <v>3000</v>
      </c>
      <c r="BL61" s="55"/>
      <c r="BM61" s="55">
        <v>6200</v>
      </c>
      <c r="BN61" s="55">
        <v>3000</v>
      </c>
      <c r="BO61" s="55">
        <v>3000</v>
      </c>
      <c r="BP61" s="55">
        <v>1200</v>
      </c>
      <c r="BQ61" s="55">
        <v>3000</v>
      </c>
      <c r="BR61" s="55">
        <v>3700</v>
      </c>
      <c r="BS61" s="55">
        <v>3000</v>
      </c>
      <c r="BT61" s="55">
        <v>3000</v>
      </c>
      <c r="BU61" s="55">
        <v>3000</v>
      </c>
      <c r="BV61" s="55">
        <v>3000</v>
      </c>
      <c r="BW61" s="55">
        <v>3400</v>
      </c>
      <c r="BX61" s="55">
        <v>3200</v>
      </c>
      <c r="BY61" s="55">
        <v>3200</v>
      </c>
      <c r="BZ61" s="55"/>
      <c r="CA61" s="55">
        <v>3200</v>
      </c>
      <c r="CB61" s="55"/>
      <c r="CC61" s="55">
        <v>3200</v>
      </c>
      <c r="CD61" s="55">
        <f>3200+8200</f>
        <v>11400</v>
      </c>
      <c r="CE61" s="55"/>
      <c r="CF61" s="55">
        <v>6660</v>
      </c>
      <c r="CG61" s="55"/>
      <c r="CH61" s="55">
        <v>6400</v>
      </c>
      <c r="CI61" s="55">
        <v>3200</v>
      </c>
      <c r="CJ61" s="55">
        <f>3200+3200</f>
        <v>6400</v>
      </c>
      <c r="CK61" s="55"/>
      <c r="CL61" s="55"/>
      <c r="CM61" s="55"/>
    </row>
    <row r="62" spans="1:436" s="56" customFormat="1" x14ac:dyDescent="0.15">
      <c r="A62" s="42">
        <v>17</v>
      </c>
      <c r="B62" s="43" t="s">
        <v>51</v>
      </c>
      <c r="C62" s="42" t="s">
        <v>104</v>
      </c>
      <c r="D62" s="40" t="str">
        <f t="shared" si="6"/>
        <v>Gopa Kumar</v>
      </c>
      <c r="E62" s="57"/>
      <c r="F62" s="57"/>
      <c r="G62" s="57"/>
      <c r="H62" s="57"/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1700</v>
      </c>
      <c r="Z62" s="55">
        <v>1000</v>
      </c>
      <c r="AA62" s="55">
        <f>10290-1000</f>
        <v>9290</v>
      </c>
      <c r="AB62" s="55">
        <v>2290</v>
      </c>
      <c r="AC62" s="55">
        <v>2290</v>
      </c>
      <c r="AD62" s="55">
        <v>2290</v>
      </c>
      <c r="AE62" s="76">
        <f>2290+510</f>
        <v>2800</v>
      </c>
      <c r="AF62" s="55">
        <v>2800</v>
      </c>
      <c r="AG62" s="55">
        <v>5000</v>
      </c>
      <c r="AH62" s="55">
        <v>2800</v>
      </c>
      <c r="AI62" s="55">
        <v>2800</v>
      </c>
      <c r="AJ62" s="55">
        <v>2800</v>
      </c>
      <c r="AK62" s="55">
        <v>2800</v>
      </c>
      <c r="AL62" s="55">
        <f>2114+686</f>
        <v>2800</v>
      </c>
      <c r="AM62" s="55">
        <f>2488+312</f>
        <v>2800</v>
      </c>
      <c r="AN62" s="55">
        <f>2326+70+194+210</f>
        <v>2800</v>
      </c>
      <c r="AO62" s="55">
        <f>2864+236</f>
        <v>3100</v>
      </c>
      <c r="AP62" s="55">
        <v>10000</v>
      </c>
      <c r="AQ62" s="55">
        <f>2918+182</f>
        <v>3100</v>
      </c>
      <c r="AR62" s="55">
        <f>2730+370</f>
        <v>3100</v>
      </c>
      <c r="AS62" s="55">
        <v>3100</v>
      </c>
      <c r="AT62" s="55">
        <v>10000</v>
      </c>
      <c r="AU62" s="55">
        <f>5000+25000</f>
        <v>30000</v>
      </c>
      <c r="AV62" s="55">
        <v>3100</v>
      </c>
      <c r="AW62" s="55">
        <v>3100</v>
      </c>
      <c r="AX62" s="55">
        <v>3100</v>
      </c>
      <c r="AY62" s="55">
        <v>3760</v>
      </c>
      <c r="AZ62" s="55">
        <v>3760</v>
      </c>
      <c r="BA62" s="55">
        <v>3760</v>
      </c>
      <c r="BB62" s="55">
        <v>3760</v>
      </c>
      <c r="BC62" s="55">
        <v>3760</v>
      </c>
      <c r="BD62" s="55">
        <v>3760</v>
      </c>
      <c r="BE62" s="55">
        <v>3760</v>
      </c>
      <c r="BF62" s="55">
        <v>3760</v>
      </c>
      <c r="BG62" s="55">
        <v>3760</v>
      </c>
      <c r="BH62" s="55">
        <v>3760</v>
      </c>
      <c r="BI62" s="55">
        <v>3760</v>
      </c>
      <c r="BJ62" s="55">
        <v>3760</v>
      </c>
      <c r="BK62" s="55">
        <v>3760</v>
      </c>
      <c r="BL62" s="55">
        <v>3760</v>
      </c>
      <c r="BM62" s="55">
        <v>3760</v>
      </c>
      <c r="BN62" s="55">
        <v>3760</v>
      </c>
      <c r="BO62" s="55">
        <v>3760</v>
      </c>
      <c r="BP62" s="55">
        <v>1200</v>
      </c>
      <c r="BQ62" s="55">
        <v>3760</v>
      </c>
      <c r="BR62" s="55">
        <v>3760</v>
      </c>
      <c r="BS62" s="55">
        <v>3760</v>
      </c>
      <c r="BT62" s="55">
        <v>3760</v>
      </c>
      <c r="BU62" s="55">
        <v>3760</v>
      </c>
      <c r="BV62" s="55">
        <v>3760</v>
      </c>
      <c r="BW62" s="55">
        <v>3760</v>
      </c>
      <c r="BX62" s="55">
        <v>4000</v>
      </c>
      <c r="BY62" s="55">
        <v>4000</v>
      </c>
      <c r="BZ62" s="55">
        <v>4280</v>
      </c>
      <c r="CA62" s="55">
        <v>3960</v>
      </c>
      <c r="CB62" s="55">
        <v>4000</v>
      </c>
      <c r="CC62" s="55">
        <v>3960</v>
      </c>
      <c r="CD62" s="55">
        <v>4000</v>
      </c>
      <c r="CE62" s="55">
        <v>3960</v>
      </c>
      <c r="CF62" s="55">
        <v>3960</v>
      </c>
      <c r="CG62" s="55">
        <v>3960</v>
      </c>
      <c r="CH62" s="55">
        <v>3960</v>
      </c>
      <c r="CI62" s="55">
        <v>3960</v>
      </c>
      <c r="CJ62" s="55">
        <v>4000</v>
      </c>
      <c r="CK62" s="55">
        <v>4000</v>
      </c>
      <c r="CL62" s="55">
        <v>4000</v>
      </c>
      <c r="CM62" s="55"/>
    </row>
    <row r="63" spans="1:436" x14ac:dyDescent="0.15">
      <c r="A63" s="35">
        <v>18</v>
      </c>
      <c r="B63" s="36" t="s">
        <v>53</v>
      </c>
      <c r="C63" s="35" t="s">
        <v>104</v>
      </c>
      <c r="D63" s="37" t="str">
        <f t="shared" si="6"/>
        <v>Manendra Prasad  Singh</v>
      </c>
      <c r="K63" s="55">
        <v>2000</v>
      </c>
      <c r="L63" s="55">
        <v>2000</v>
      </c>
      <c r="M63" s="55">
        <v>1981</v>
      </c>
      <c r="N63" s="55">
        <v>1730</v>
      </c>
      <c r="O63" s="55">
        <v>1806</v>
      </c>
      <c r="P63" s="55">
        <v>2816</v>
      </c>
      <c r="Q63" s="55">
        <v>2852</v>
      </c>
      <c r="R63" s="55">
        <v>2290</v>
      </c>
      <c r="S63" s="55">
        <v>2290</v>
      </c>
      <c r="T63" s="55">
        <v>2290</v>
      </c>
      <c r="U63" s="55">
        <v>2290</v>
      </c>
      <c r="V63" s="55">
        <v>2290</v>
      </c>
      <c r="W63" s="55">
        <v>2290</v>
      </c>
      <c r="X63" s="55">
        <v>5000</v>
      </c>
      <c r="Y63" s="55">
        <v>1700</v>
      </c>
      <c r="Z63" s="55">
        <v>1000</v>
      </c>
      <c r="AA63" s="55">
        <v>2315</v>
      </c>
      <c r="AB63" s="55">
        <v>2290</v>
      </c>
      <c r="AC63" s="55">
        <v>2290</v>
      </c>
      <c r="AD63" s="55">
        <v>2290</v>
      </c>
      <c r="AE63" s="76">
        <v>2800</v>
      </c>
      <c r="AF63" s="55">
        <f>2800+2500</f>
        <v>5300</v>
      </c>
      <c r="AG63" s="55">
        <f>1000+1000+1000+1000+1000</f>
        <v>5000</v>
      </c>
      <c r="AH63" s="55"/>
      <c r="AI63" s="55">
        <v>3100</v>
      </c>
      <c r="AJ63" s="55">
        <v>2800</v>
      </c>
      <c r="AK63" s="55">
        <v>2800</v>
      </c>
      <c r="AL63" s="55">
        <v>2800</v>
      </c>
      <c r="AM63" s="55">
        <v>2800</v>
      </c>
      <c r="AN63" s="55">
        <v>2800</v>
      </c>
      <c r="AO63" s="55">
        <v>3100</v>
      </c>
      <c r="AP63" s="55">
        <f>5000+5000</f>
        <v>10000</v>
      </c>
      <c r="AQ63" s="55">
        <v>3100</v>
      </c>
      <c r="AR63" s="55">
        <v>3100</v>
      </c>
      <c r="AS63" s="55">
        <v>3100</v>
      </c>
      <c r="AT63" s="55">
        <v>10000</v>
      </c>
      <c r="AU63" s="55">
        <v>10000</v>
      </c>
      <c r="AV63" s="55">
        <v>3100</v>
      </c>
      <c r="AW63" s="55">
        <v>3100</v>
      </c>
      <c r="AX63" s="55">
        <v>3100</v>
      </c>
      <c r="AY63" s="55">
        <v>3760</v>
      </c>
      <c r="AZ63" s="55">
        <v>3760</v>
      </c>
      <c r="BA63" s="55">
        <v>3760</v>
      </c>
      <c r="BB63" s="55">
        <v>3760</v>
      </c>
      <c r="BC63" s="55">
        <v>3760</v>
      </c>
      <c r="BD63" s="55">
        <f>3760+260</f>
        <v>4020</v>
      </c>
      <c r="BE63" s="55">
        <v>3760</v>
      </c>
      <c r="BF63" s="55">
        <v>3760</v>
      </c>
      <c r="BG63" s="55">
        <v>3760</v>
      </c>
      <c r="BH63" s="55">
        <v>3760</v>
      </c>
      <c r="BI63" s="55">
        <v>3760</v>
      </c>
      <c r="BJ63" s="55">
        <v>3760</v>
      </c>
      <c r="BK63" s="55"/>
      <c r="BL63" s="55">
        <v>7520</v>
      </c>
      <c r="BM63" s="55">
        <v>3760</v>
      </c>
      <c r="BN63" s="55">
        <v>3760</v>
      </c>
      <c r="BO63" s="55">
        <v>4000</v>
      </c>
      <c r="BP63" s="55">
        <v>1200</v>
      </c>
      <c r="BQ63" s="55">
        <v>4000</v>
      </c>
      <c r="BR63" s="55">
        <v>4000</v>
      </c>
      <c r="BS63" s="55">
        <v>4000</v>
      </c>
      <c r="BT63" s="55">
        <v>3750</v>
      </c>
      <c r="BU63" s="55">
        <v>4000</v>
      </c>
      <c r="BV63" s="55">
        <v>4000</v>
      </c>
      <c r="BW63" s="55">
        <v>4000</v>
      </c>
      <c r="BX63" s="55">
        <v>4000</v>
      </c>
      <c r="BY63" s="55">
        <v>4000</v>
      </c>
      <c r="BZ63" s="55">
        <v>4000</v>
      </c>
      <c r="CA63" s="55">
        <v>4000</v>
      </c>
      <c r="CB63" s="55">
        <v>4000</v>
      </c>
      <c r="CC63" s="55">
        <v>4100</v>
      </c>
      <c r="CD63" s="55">
        <v>4000</v>
      </c>
      <c r="CE63" s="55">
        <f>4000+2000</f>
        <v>6000</v>
      </c>
      <c r="CF63" s="55">
        <v>4000</v>
      </c>
      <c r="CG63" s="55">
        <v>4000</v>
      </c>
      <c r="CH63" s="55">
        <f>4000+10000</f>
        <v>14000</v>
      </c>
      <c r="CI63" s="55">
        <v>4000</v>
      </c>
      <c r="CJ63" s="55">
        <v>4000</v>
      </c>
      <c r="CK63" s="55">
        <v>4000</v>
      </c>
      <c r="CL63" s="55">
        <v>4000</v>
      </c>
      <c r="CM63" s="55"/>
    </row>
    <row r="64" spans="1:436" x14ac:dyDescent="0.15">
      <c r="A64" s="35">
        <v>19</v>
      </c>
      <c r="B64" s="36" t="s">
        <v>56</v>
      </c>
      <c r="C64" s="35" t="s">
        <v>104</v>
      </c>
      <c r="D64" s="37" t="str">
        <f t="shared" si="6"/>
        <v>Balaji Ganapathi</v>
      </c>
      <c r="K64" s="55">
        <v>2000</v>
      </c>
      <c r="L64" s="55">
        <v>2161</v>
      </c>
      <c r="M64" s="55">
        <v>1820</v>
      </c>
      <c r="N64" s="55">
        <v>1730</v>
      </c>
      <c r="O64" s="55">
        <v>1846</v>
      </c>
      <c r="P64" s="55">
        <v>2776</v>
      </c>
      <c r="Q64" s="55">
        <v>2852</v>
      </c>
      <c r="R64" s="55">
        <v>2315</v>
      </c>
      <c r="S64" s="55">
        <v>2290</v>
      </c>
      <c r="T64" s="55">
        <v>2290</v>
      </c>
      <c r="U64" s="55">
        <v>2290</v>
      </c>
      <c r="V64" s="55">
        <v>2290</v>
      </c>
      <c r="W64" s="55">
        <f>3290-1000</f>
        <v>2290</v>
      </c>
      <c r="X64" s="55">
        <v>5000</v>
      </c>
      <c r="Y64" s="55">
        <v>1700</v>
      </c>
      <c r="Z64" s="55">
        <v>1000</v>
      </c>
      <c r="AA64" s="55">
        <v>2290</v>
      </c>
      <c r="AB64" s="55">
        <v>2290</v>
      </c>
      <c r="AC64" s="55">
        <v>2290</v>
      </c>
      <c r="AD64" s="55">
        <v>2290</v>
      </c>
      <c r="AE64" s="76">
        <v>2800</v>
      </c>
      <c r="AF64" s="55">
        <v>5000</v>
      </c>
      <c r="AG64" s="55">
        <v>5000</v>
      </c>
      <c r="AH64" s="55"/>
      <c r="AI64" s="55">
        <v>3400</v>
      </c>
      <c r="AJ64" s="55">
        <v>2800</v>
      </c>
      <c r="AK64" s="55">
        <v>2800</v>
      </c>
      <c r="AL64" s="55">
        <v>2800</v>
      </c>
      <c r="AM64" s="55">
        <v>2800</v>
      </c>
      <c r="AN64" s="55">
        <v>2800</v>
      </c>
      <c r="AO64" s="55"/>
      <c r="AP64" s="55">
        <v>10000</v>
      </c>
      <c r="AQ64" s="55">
        <v>6200</v>
      </c>
      <c r="AR64" s="55"/>
      <c r="AS64" s="55">
        <v>6200</v>
      </c>
      <c r="AT64" s="55">
        <v>10000</v>
      </c>
      <c r="AU64" s="55">
        <v>30000</v>
      </c>
      <c r="AV64" s="55">
        <v>3100</v>
      </c>
      <c r="AW64" s="55">
        <v>3100</v>
      </c>
      <c r="AX64" s="55">
        <v>3100</v>
      </c>
      <c r="AY64" s="55"/>
      <c r="AZ64" s="55"/>
      <c r="BA64" s="55">
        <v>11280</v>
      </c>
      <c r="BB64" s="55"/>
      <c r="BC64" s="55"/>
      <c r="BD64" s="55">
        <v>11280</v>
      </c>
      <c r="BE64" s="55">
        <v>7520</v>
      </c>
      <c r="BF64" s="55"/>
      <c r="BG64" s="55"/>
      <c r="BH64" s="55"/>
      <c r="BI64" s="55">
        <v>7520</v>
      </c>
      <c r="BJ64" s="55"/>
      <c r="BK64" s="55">
        <v>11280</v>
      </c>
      <c r="BL64" s="55"/>
      <c r="BM64" s="55"/>
      <c r="BN64" s="55"/>
      <c r="BO64" s="55"/>
      <c r="BP64" s="55"/>
      <c r="BQ64" s="55">
        <v>15000</v>
      </c>
      <c r="BR64" s="55"/>
      <c r="BS64" s="55"/>
      <c r="BT64" s="55"/>
      <c r="BU64" s="55">
        <v>20000</v>
      </c>
      <c r="BV64" s="55"/>
      <c r="BW64" s="55"/>
      <c r="BX64" s="55">
        <v>8000</v>
      </c>
      <c r="BY64" s="55"/>
      <c r="BZ64" s="55">
        <v>15000</v>
      </c>
      <c r="CA64" s="55"/>
      <c r="CB64" s="55"/>
      <c r="CC64" s="55">
        <v>12000</v>
      </c>
      <c r="CD64" s="55"/>
      <c r="CE64" s="55"/>
      <c r="CF64" s="55">
        <v>14000</v>
      </c>
      <c r="CG64" s="55"/>
      <c r="CH64" s="55"/>
      <c r="CI64" s="55">
        <f>6000+6900</f>
        <v>12900</v>
      </c>
      <c r="CJ64" s="55"/>
      <c r="CK64" s="55"/>
      <c r="CL64" s="55"/>
      <c r="CM64" s="55"/>
    </row>
    <row r="65" spans="1:91" x14ac:dyDescent="0.15">
      <c r="A65" s="42">
        <v>20</v>
      </c>
      <c r="B65" s="43" t="s">
        <v>59</v>
      </c>
      <c r="C65" s="42" t="s">
        <v>104</v>
      </c>
      <c r="D65" s="37" t="str">
        <f t="shared" si="6"/>
        <v>Gautam Kumar</v>
      </c>
      <c r="K65" s="55">
        <v>2000</v>
      </c>
      <c r="L65" s="55">
        <v>2161</v>
      </c>
      <c r="M65" s="55">
        <v>1820</v>
      </c>
      <c r="N65" s="55">
        <v>1730</v>
      </c>
      <c r="O65" s="55">
        <v>1806</v>
      </c>
      <c r="P65" s="55">
        <v>2816</v>
      </c>
      <c r="Q65" s="55">
        <v>2852</v>
      </c>
      <c r="R65" s="55">
        <v>2290</v>
      </c>
      <c r="S65" s="55">
        <v>2315</v>
      </c>
      <c r="T65" s="55">
        <v>2290</v>
      </c>
      <c r="U65" s="55">
        <v>2290</v>
      </c>
      <c r="V65" s="55">
        <v>2290</v>
      </c>
      <c r="W65" s="55">
        <f>(3290-1000)</f>
        <v>2290</v>
      </c>
      <c r="X65" s="55">
        <v>5000</v>
      </c>
      <c r="Y65" s="55">
        <v>1700</v>
      </c>
      <c r="Z65" s="55">
        <v>1000</v>
      </c>
      <c r="AA65" s="55">
        <f>2290-200</f>
        <v>2090</v>
      </c>
      <c r="AB65" s="55">
        <f>2490+200</f>
        <v>2690</v>
      </c>
      <c r="AC65" s="55">
        <v>2290</v>
      </c>
      <c r="AD65" s="55">
        <v>2290</v>
      </c>
      <c r="AE65" s="76">
        <v>2800</v>
      </c>
      <c r="AF65" s="55">
        <v>2800</v>
      </c>
      <c r="AG65" s="55">
        <v>5000</v>
      </c>
      <c r="AH65" s="55">
        <v>2600</v>
      </c>
      <c r="AI65" s="55">
        <v>3000</v>
      </c>
      <c r="AJ65" s="55">
        <v>2800</v>
      </c>
      <c r="AK65" s="55">
        <v>2800</v>
      </c>
      <c r="AL65" s="55">
        <f>3000+130</f>
        <v>3130</v>
      </c>
      <c r="AM65" s="55">
        <v>3000</v>
      </c>
      <c r="AN65" s="55">
        <v>3100</v>
      </c>
      <c r="AO65" s="55">
        <v>3100</v>
      </c>
      <c r="AP65" s="55">
        <v>10000</v>
      </c>
      <c r="AQ65" s="55">
        <v>3100</v>
      </c>
      <c r="AR65" s="55">
        <v>3200</v>
      </c>
      <c r="AS65" s="55">
        <v>3100</v>
      </c>
      <c r="AT65" s="55">
        <v>10000</v>
      </c>
      <c r="AU65" s="55">
        <v>30000</v>
      </c>
      <c r="AV65" s="55">
        <v>3100</v>
      </c>
      <c r="AW65" s="55">
        <v>3100</v>
      </c>
      <c r="AX65" s="55">
        <v>3500</v>
      </c>
      <c r="AY65" s="55">
        <v>4000</v>
      </c>
      <c r="AZ65" s="55">
        <v>4000</v>
      </c>
      <c r="BA65" s="55">
        <v>7080</v>
      </c>
      <c r="BB65" s="55">
        <v>240</v>
      </c>
      <c r="BC65" s="55">
        <v>3000</v>
      </c>
      <c r="BD65" s="55">
        <v>4000</v>
      </c>
      <c r="BE65" s="55">
        <v>4000</v>
      </c>
      <c r="BF65" s="55">
        <v>4000</v>
      </c>
      <c r="BG65" s="55">
        <v>4000</v>
      </c>
      <c r="BH65" s="55">
        <v>4000</v>
      </c>
      <c r="BI65" s="55">
        <v>4000</v>
      </c>
      <c r="BJ65" s="55">
        <v>4000</v>
      </c>
      <c r="BK65" s="55">
        <v>4000</v>
      </c>
      <c r="BL65" s="55">
        <v>4000</v>
      </c>
      <c r="BM65" s="55">
        <v>4000</v>
      </c>
      <c r="BN65" s="55">
        <v>4000</v>
      </c>
      <c r="BO65" s="55">
        <v>4000</v>
      </c>
      <c r="BP65" s="55"/>
      <c r="BQ65" s="55">
        <v>4000</v>
      </c>
      <c r="BR65" s="55">
        <v>4000</v>
      </c>
      <c r="BS65" s="55">
        <v>4400</v>
      </c>
      <c r="BT65" s="55">
        <v>4000</v>
      </c>
      <c r="BU65" s="55">
        <v>4000</v>
      </c>
      <c r="BV65" s="55">
        <v>4000</v>
      </c>
      <c r="BW65" s="55">
        <v>4000</v>
      </c>
      <c r="BX65" s="55"/>
      <c r="BY65" s="55">
        <v>8000</v>
      </c>
      <c r="BZ65" s="55">
        <v>4000</v>
      </c>
      <c r="CA65" s="55">
        <v>4000</v>
      </c>
      <c r="CB65" s="55">
        <v>4000</v>
      </c>
      <c r="CC65" s="55"/>
      <c r="CD65" s="55">
        <v>8000</v>
      </c>
      <c r="CE65" s="55"/>
      <c r="CF65" s="55">
        <v>8000</v>
      </c>
      <c r="CG65" s="55">
        <v>4000</v>
      </c>
      <c r="CH65" s="55">
        <v>4000</v>
      </c>
      <c r="CI65" s="55">
        <v>4000</v>
      </c>
      <c r="CJ65" s="55"/>
      <c r="CK65" s="55">
        <v>4000</v>
      </c>
      <c r="CL65" s="55">
        <v>4000</v>
      </c>
      <c r="CM65" s="55"/>
    </row>
    <row r="66" spans="1:91" x14ac:dyDescent="0.15">
      <c r="A66" s="35">
        <v>21</v>
      </c>
      <c r="B66" s="36" t="s">
        <v>62</v>
      </c>
      <c r="C66" s="35" t="s">
        <v>104</v>
      </c>
      <c r="D66" s="37" t="str">
        <f>D23</f>
        <v>Krishnan</v>
      </c>
      <c r="K66" s="55">
        <v>2000</v>
      </c>
      <c r="L66" s="55">
        <v>3000</v>
      </c>
      <c r="M66" s="55">
        <v>0</v>
      </c>
      <c r="N66" s="55">
        <v>1300</v>
      </c>
      <c r="O66" s="55">
        <v>1797</v>
      </c>
      <c r="P66" s="55">
        <v>2439</v>
      </c>
      <c r="Q66" s="55">
        <v>2000</v>
      </c>
      <c r="R66" s="55">
        <v>1365</v>
      </c>
      <c r="S66" s="55">
        <v>1365</v>
      </c>
      <c r="T66" s="55">
        <v>1365</v>
      </c>
      <c r="U66" s="55">
        <v>3403</v>
      </c>
      <c r="V66" s="55">
        <v>1815</v>
      </c>
      <c r="W66" s="55">
        <v>1815</v>
      </c>
      <c r="X66" s="55">
        <v>5000</v>
      </c>
      <c r="Y66" s="55">
        <v>1700</v>
      </c>
      <c r="Z66" s="55">
        <v>1000</v>
      </c>
      <c r="AA66" s="55">
        <f>1815-1000</f>
        <v>815</v>
      </c>
      <c r="AB66" s="55">
        <v>2830</v>
      </c>
      <c r="AC66" s="55">
        <v>1815</v>
      </c>
      <c r="AD66" s="55">
        <v>1815</v>
      </c>
      <c r="AE66" s="76">
        <v>2210</v>
      </c>
      <c r="AF66" s="55">
        <v>2210</v>
      </c>
      <c r="AG66" s="55">
        <v>5000</v>
      </c>
      <c r="AH66" s="55">
        <v>2210</v>
      </c>
      <c r="AI66" s="55">
        <v>2210</v>
      </c>
      <c r="AJ66" s="55">
        <v>2210</v>
      </c>
      <c r="AK66" s="55">
        <v>2210</v>
      </c>
      <c r="AL66" s="55">
        <f>2210+2210</f>
        <v>4420</v>
      </c>
      <c r="AM66" s="55"/>
      <c r="AN66" s="55">
        <v>2210</v>
      </c>
      <c r="AO66" s="55">
        <f>2210+315</f>
        <v>2525</v>
      </c>
      <c r="AP66" s="55">
        <v>10000</v>
      </c>
      <c r="AQ66" s="55"/>
      <c r="AR66" s="55">
        <f>1000+4020</f>
        <v>5020</v>
      </c>
      <c r="AS66" s="55">
        <v>2200</v>
      </c>
      <c r="AT66" s="55">
        <v>10000</v>
      </c>
      <c r="AU66" s="55">
        <v>30000</v>
      </c>
      <c r="AV66" s="55">
        <v>2300</v>
      </c>
      <c r="AW66" s="55">
        <v>2800</v>
      </c>
      <c r="AX66" s="55">
        <v>2500</v>
      </c>
      <c r="AY66" s="55">
        <v>2500</v>
      </c>
      <c r="AZ66" s="55">
        <v>2500</v>
      </c>
      <c r="BA66" s="55">
        <v>3000</v>
      </c>
      <c r="BB66" s="55">
        <v>3000</v>
      </c>
      <c r="BC66" s="55">
        <v>3000</v>
      </c>
      <c r="BD66" s="55">
        <v>3000</v>
      </c>
      <c r="BE66" s="55">
        <v>3000</v>
      </c>
      <c r="BF66" s="55">
        <v>3000</v>
      </c>
      <c r="BG66" s="55">
        <v>3000</v>
      </c>
      <c r="BH66" s="55">
        <v>3000</v>
      </c>
      <c r="BI66" s="55">
        <v>3000</v>
      </c>
      <c r="BJ66" s="55">
        <v>3000</v>
      </c>
      <c r="BK66" s="55">
        <v>3000</v>
      </c>
      <c r="BL66" s="55">
        <v>3000</v>
      </c>
      <c r="BM66" s="55">
        <v>3000</v>
      </c>
      <c r="BN66" s="55">
        <v>3000</v>
      </c>
      <c r="BO66" s="55">
        <v>3000</v>
      </c>
      <c r="BP66" s="55">
        <v>3000</v>
      </c>
      <c r="BQ66" s="55">
        <v>3000</v>
      </c>
      <c r="BR66" s="55"/>
      <c r="BS66" s="55"/>
      <c r="BT66" s="55"/>
      <c r="BU66" s="55">
        <v>3000</v>
      </c>
      <c r="BV66" s="55">
        <v>3000</v>
      </c>
      <c r="BW66" s="55">
        <v>3000</v>
      </c>
      <c r="BX66" s="55">
        <v>3000</v>
      </c>
      <c r="BY66" s="55">
        <v>3000</v>
      </c>
      <c r="BZ66" s="55">
        <v>3000</v>
      </c>
      <c r="CA66" s="55">
        <v>3000</v>
      </c>
      <c r="CB66" s="55">
        <v>3000</v>
      </c>
      <c r="CC66" s="55">
        <v>3000</v>
      </c>
      <c r="CD66" s="55">
        <v>3000</v>
      </c>
      <c r="CE66" s="55">
        <f>3000+6000</f>
        <v>9000</v>
      </c>
      <c r="CF66" s="55">
        <v>3250</v>
      </c>
      <c r="CG66" s="55"/>
      <c r="CH66" s="55"/>
      <c r="CI66" s="55">
        <v>3500</v>
      </c>
      <c r="CJ66" s="55">
        <v>3000</v>
      </c>
      <c r="CK66" s="55">
        <v>3000</v>
      </c>
      <c r="CL66" s="55">
        <v>3000</v>
      </c>
      <c r="CM66" s="55"/>
    </row>
    <row r="67" spans="1:91" x14ac:dyDescent="0.15">
      <c r="A67" s="35">
        <v>22</v>
      </c>
      <c r="B67" s="36" t="s">
        <v>63</v>
      </c>
      <c r="C67" s="35" t="s">
        <v>104</v>
      </c>
      <c r="D67" s="37" t="str">
        <f t="shared" si="6"/>
        <v>Ivin Sebastian</v>
      </c>
      <c r="K67" s="55">
        <v>2000</v>
      </c>
      <c r="L67" s="55">
        <v>1701</v>
      </c>
      <c r="M67" s="55">
        <v>1525</v>
      </c>
      <c r="N67" s="55">
        <v>1450</v>
      </c>
      <c r="O67" s="55">
        <v>1421</v>
      </c>
      <c r="P67" s="55">
        <v>2439</v>
      </c>
      <c r="Q67" s="55">
        <v>2493</v>
      </c>
      <c r="R67" s="55">
        <v>1900</v>
      </c>
      <c r="S67" s="55">
        <v>1921</v>
      </c>
      <c r="T67" s="55">
        <v>1900</v>
      </c>
      <c r="U67" s="55">
        <v>0</v>
      </c>
      <c r="V67" s="55">
        <v>0</v>
      </c>
      <c r="W67" s="55">
        <v>5700</v>
      </c>
      <c r="X67" s="55">
        <v>5000</v>
      </c>
      <c r="Y67" s="55">
        <v>1700</v>
      </c>
      <c r="Z67" s="55">
        <v>1000</v>
      </c>
      <c r="AA67" s="55">
        <f>2900-1000</f>
        <v>1900</v>
      </c>
      <c r="AB67" s="55">
        <f>1900+2000</f>
        <v>3900</v>
      </c>
      <c r="AC67" s="55"/>
      <c r="AD67" s="55">
        <v>1800</v>
      </c>
      <c r="AE67" s="76">
        <v>2310</v>
      </c>
      <c r="AF67" s="55">
        <v>2310</v>
      </c>
      <c r="AG67" s="55">
        <v>5000</v>
      </c>
      <c r="AH67" s="55">
        <v>2310</v>
      </c>
      <c r="AI67" s="55">
        <v>2310</v>
      </c>
      <c r="AJ67" s="55">
        <v>2310</v>
      </c>
      <c r="AK67" s="55">
        <v>2310</v>
      </c>
      <c r="AL67" s="55">
        <v>2310</v>
      </c>
      <c r="AM67" s="55">
        <v>2310</v>
      </c>
      <c r="AN67" s="55">
        <v>2310</v>
      </c>
      <c r="AO67" s="55">
        <v>2610</v>
      </c>
      <c r="AP67" s="55">
        <v>10000</v>
      </c>
      <c r="AQ67" s="55">
        <v>2610</v>
      </c>
      <c r="AR67" s="55">
        <v>2610</v>
      </c>
      <c r="AS67" s="55">
        <v>2610</v>
      </c>
      <c r="AT67" s="55">
        <v>10000</v>
      </c>
      <c r="AU67" s="55">
        <v>30000</v>
      </c>
      <c r="AV67" s="55">
        <v>2610</v>
      </c>
      <c r="AW67" s="55">
        <v>2610</v>
      </c>
      <c r="AX67" s="55">
        <v>2610</v>
      </c>
      <c r="AY67" s="55">
        <v>3170</v>
      </c>
      <c r="AZ67" s="55">
        <v>3170</v>
      </c>
      <c r="BA67" s="55">
        <v>3170</v>
      </c>
      <c r="BB67" s="55">
        <v>3170</v>
      </c>
      <c r="BC67" s="55">
        <v>3170</v>
      </c>
      <c r="BD67" s="55">
        <v>3170</v>
      </c>
      <c r="BE67" s="55">
        <v>3170</v>
      </c>
      <c r="BF67" s="55">
        <v>3170</v>
      </c>
      <c r="BG67" s="55">
        <v>3170</v>
      </c>
      <c r="BH67" s="55"/>
      <c r="BI67" s="55"/>
      <c r="BJ67" s="55"/>
      <c r="BK67" s="55"/>
      <c r="BL67" s="55"/>
      <c r="BM67" s="55"/>
      <c r="BN67" s="55">
        <v>10000</v>
      </c>
      <c r="BO67" s="55"/>
      <c r="BP67" s="55"/>
      <c r="BQ67" s="55">
        <v>20000</v>
      </c>
      <c r="BR67" s="55"/>
      <c r="BS67" s="55"/>
      <c r="BT67" s="55"/>
      <c r="BU67" s="55">
        <v>10000</v>
      </c>
      <c r="BV67" s="55"/>
      <c r="BW67" s="55">
        <v>10000</v>
      </c>
      <c r="BX67" s="55"/>
      <c r="BY67" s="55"/>
      <c r="BZ67" s="55">
        <v>10000</v>
      </c>
      <c r="CA67" s="55"/>
      <c r="CB67" s="55"/>
      <c r="CC67" s="55">
        <v>10000</v>
      </c>
      <c r="CD67" s="55"/>
      <c r="CE67" s="55">
        <v>6110</v>
      </c>
      <c r="CF67" s="55">
        <v>3370</v>
      </c>
      <c r="CG67" s="55">
        <v>3370</v>
      </c>
      <c r="CH67" s="55"/>
      <c r="CI67" s="55">
        <v>6740</v>
      </c>
      <c r="CJ67" s="55"/>
      <c r="CK67" s="55"/>
      <c r="CL67" s="55"/>
      <c r="CM67" s="55"/>
    </row>
    <row r="68" spans="1:91" x14ac:dyDescent="0.15">
      <c r="A68" s="35">
        <v>23</v>
      </c>
      <c r="B68" s="36" t="s">
        <v>65</v>
      </c>
      <c r="C68" s="35" t="s">
        <v>104</v>
      </c>
      <c r="D68" s="37" t="str">
        <f t="shared" si="6"/>
        <v>Maheshwar Mohanty</v>
      </c>
      <c r="K68" s="55">
        <v>2000</v>
      </c>
      <c r="L68" s="55">
        <v>1701</v>
      </c>
      <c r="M68" s="55">
        <v>1525</v>
      </c>
      <c r="N68" s="55">
        <v>0</v>
      </c>
      <c r="O68" s="55">
        <v>2871</v>
      </c>
      <c r="P68" s="55">
        <v>2871</v>
      </c>
      <c r="Q68" s="55">
        <v>4193</v>
      </c>
      <c r="R68" s="55">
        <v>1900</v>
      </c>
      <c r="S68" s="55">
        <f>3389-1700</f>
        <v>1689</v>
      </c>
      <c r="T68" s="55">
        <v>0</v>
      </c>
      <c r="U68" s="55">
        <v>0</v>
      </c>
      <c r="V68" s="55">
        <v>0</v>
      </c>
      <c r="W68" s="55">
        <v>0</v>
      </c>
      <c r="X68" s="55">
        <v>5000</v>
      </c>
      <c r="Y68" s="55">
        <v>1700</v>
      </c>
      <c r="Z68" s="55">
        <v>1000</v>
      </c>
      <c r="AA68" s="55">
        <f>10000-1000</f>
        <v>9000</v>
      </c>
      <c r="AB68" s="55"/>
      <c r="AC68" s="55">
        <v>2600</v>
      </c>
      <c r="AD68" s="55">
        <v>1900</v>
      </c>
      <c r="AE68" s="76">
        <v>2310</v>
      </c>
      <c r="AF68" s="55">
        <v>2310</v>
      </c>
      <c r="AG68" s="55">
        <v>5000</v>
      </c>
      <c r="AH68" s="55">
        <v>2310</v>
      </c>
      <c r="AI68" s="55">
        <v>2410</v>
      </c>
      <c r="AJ68" s="55">
        <v>2310</v>
      </c>
      <c r="AK68" s="55">
        <v>2310</v>
      </c>
      <c r="AL68" s="55">
        <v>2310</v>
      </c>
      <c r="AM68" s="55">
        <v>2310</v>
      </c>
      <c r="AN68" s="55">
        <v>2310</v>
      </c>
      <c r="AO68" s="55">
        <v>2610</v>
      </c>
      <c r="AP68" s="55">
        <v>10000</v>
      </c>
      <c r="AQ68" s="55">
        <v>2610</v>
      </c>
      <c r="AR68" s="55">
        <v>2610</v>
      </c>
      <c r="AS68" s="55">
        <v>2610</v>
      </c>
      <c r="AT68" s="55">
        <v>10000</v>
      </c>
      <c r="AU68" s="55">
        <v>30000</v>
      </c>
      <c r="AV68" s="55">
        <v>2610</v>
      </c>
      <c r="AW68" s="55">
        <v>2610</v>
      </c>
      <c r="AX68" s="55">
        <v>2610</v>
      </c>
      <c r="AY68" s="55">
        <v>2610</v>
      </c>
      <c r="AZ68" s="55">
        <f>2610+1120</f>
        <v>3730</v>
      </c>
      <c r="BA68" s="55">
        <v>3170</v>
      </c>
      <c r="BB68" s="55">
        <v>3170</v>
      </c>
      <c r="BC68" s="55">
        <v>3170</v>
      </c>
      <c r="BD68" s="55">
        <v>3170</v>
      </c>
      <c r="BE68" s="55">
        <v>5000</v>
      </c>
      <c r="BF68" s="55"/>
      <c r="BG68" s="55"/>
      <c r="BH68" s="55">
        <v>7680</v>
      </c>
      <c r="BI68" s="55"/>
      <c r="BJ68" s="55">
        <v>3170</v>
      </c>
      <c r="BK68" s="55">
        <v>3170</v>
      </c>
      <c r="BL68" s="55">
        <v>3170</v>
      </c>
      <c r="BM68" s="55">
        <v>3170</v>
      </c>
      <c r="BN68" s="55">
        <v>3170</v>
      </c>
      <c r="BO68" s="55">
        <f>3170+230</f>
        <v>3400</v>
      </c>
      <c r="BP68" s="55"/>
      <c r="BQ68" s="55">
        <v>3170</v>
      </c>
      <c r="BR68" s="55">
        <f>3170+765</f>
        <v>3935</v>
      </c>
      <c r="BS68" s="55">
        <v>3170</v>
      </c>
      <c r="BT68" s="55">
        <v>3170</v>
      </c>
      <c r="BU68" s="55">
        <v>3170</v>
      </c>
      <c r="BV68" s="55">
        <v>3170</v>
      </c>
      <c r="BW68" s="55">
        <v>3170</v>
      </c>
      <c r="BX68" s="55">
        <v>7145</v>
      </c>
      <c r="BY68" s="55">
        <v>3370</v>
      </c>
      <c r="BZ68" s="55">
        <v>3370</v>
      </c>
      <c r="CA68" s="55">
        <v>3370</v>
      </c>
      <c r="CB68" s="55">
        <v>3370</v>
      </c>
      <c r="CC68" s="55">
        <v>3370</v>
      </c>
      <c r="CD68" s="55">
        <v>3370</v>
      </c>
      <c r="CE68" s="55">
        <v>3370</v>
      </c>
      <c r="CF68" s="55">
        <v>3370</v>
      </c>
      <c r="CG68" s="55">
        <v>3370</v>
      </c>
      <c r="CH68" s="55">
        <v>3370</v>
      </c>
      <c r="CI68" s="55">
        <v>3370</v>
      </c>
      <c r="CJ68" s="55">
        <v>3370</v>
      </c>
      <c r="CK68" s="55">
        <f>1140+3932</f>
        <v>5072</v>
      </c>
      <c r="CL68" s="55"/>
      <c r="CM68" s="55"/>
    </row>
    <row r="69" spans="1:91" x14ac:dyDescent="0.15">
      <c r="A69" s="35">
        <v>24</v>
      </c>
      <c r="B69" s="36" t="s">
        <v>67</v>
      </c>
      <c r="C69" s="35" t="s">
        <v>104</v>
      </c>
      <c r="D69" s="37" t="str">
        <f t="shared" ref="D69:D81" si="7">D26</f>
        <v>Abhinav Nigam</v>
      </c>
      <c r="K69" s="55">
        <v>2000</v>
      </c>
      <c r="L69" s="55">
        <v>1701</v>
      </c>
      <c r="M69" s="55">
        <v>1525</v>
      </c>
      <c r="N69" s="55">
        <v>1450</v>
      </c>
      <c r="O69" s="55">
        <v>1421</v>
      </c>
      <c r="P69" s="55">
        <v>2440</v>
      </c>
      <c r="Q69" s="55">
        <v>0</v>
      </c>
      <c r="R69" s="55">
        <f>1900</f>
        <v>1900</v>
      </c>
      <c r="S69" s="55">
        <f>2500+2000</f>
        <v>4500</v>
      </c>
      <c r="T69" s="55">
        <f>(3500-1700)</f>
        <v>1800</v>
      </c>
      <c r="U69" s="55">
        <v>2000</v>
      </c>
      <c r="V69" s="55">
        <v>2000</v>
      </c>
      <c r="W69" s="55">
        <f>2000-1000</f>
        <v>1000</v>
      </c>
      <c r="X69" s="55">
        <v>5000</v>
      </c>
      <c r="Y69" s="55">
        <v>1700</v>
      </c>
      <c r="Z69" s="55">
        <v>1000</v>
      </c>
      <c r="AA69" s="55">
        <v>2613</v>
      </c>
      <c r="AB69" s="55">
        <v>2000</v>
      </c>
      <c r="AC69" s="55">
        <v>1800</v>
      </c>
      <c r="AD69" s="55">
        <v>1900</v>
      </c>
      <c r="AE69" s="76">
        <v>2310</v>
      </c>
      <c r="AF69" s="55">
        <v>2310</v>
      </c>
      <c r="AG69" s="55">
        <f>1000+4000</f>
        <v>5000</v>
      </c>
      <c r="AH69" s="55">
        <v>2310</v>
      </c>
      <c r="AI69" s="55">
        <v>2310</v>
      </c>
      <c r="AJ69" s="55">
        <v>2310</v>
      </c>
      <c r="AK69" s="55">
        <v>2310</v>
      </c>
      <c r="AL69" s="55">
        <v>2310</v>
      </c>
      <c r="AM69" s="55">
        <v>2310</v>
      </c>
      <c r="AN69" s="55">
        <v>2310</v>
      </c>
      <c r="AO69" s="55">
        <v>2610</v>
      </c>
      <c r="AP69" s="55">
        <v>10000</v>
      </c>
      <c r="AQ69" s="55">
        <v>2610</v>
      </c>
      <c r="AR69" s="55">
        <v>2610</v>
      </c>
      <c r="AS69" s="55">
        <v>2610</v>
      </c>
      <c r="AT69" s="55">
        <f>5000+5000</f>
        <v>10000</v>
      </c>
      <c r="AU69" s="55">
        <v>8000</v>
      </c>
      <c r="AV69" s="55">
        <v>2610</v>
      </c>
      <c r="AW69" s="55">
        <v>2610</v>
      </c>
      <c r="AX69" s="55">
        <v>2610</v>
      </c>
      <c r="AY69" s="55">
        <v>3170</v>
      </c>
      <c r="AZ69" s="55">
        <v>3170</v>
      </c>
      <c r="BA69" s="55">
        <v>3350</v>
      </c>
      <c r="BB69" s="55">
        <v>3170</v>
      </c>
      <c r="BC69" s="55">
        <v>3170</v>
      </c>
      <c r="BD69" s="55">
        <v>3170</v>
      </c>
      <c r="BE69" s="55">
        <v>3170</v>
      </c>
      <c r="BF69" s="55">
        <v>3170</v>
      </c>
      <c r="BG69" s="55">
        <v>3170</v>
      </c>
      <c r="BH69" s="55">
        <v>3170</v>
      </c>
      <c r="BI69" s="55">
        <v>3170</v>
      </c>
      <c r="BJ69" s="55">
        <v>3170</v>
      </c>
      <c r="BK69" s="55">
        <v>3170</v>
      </c>
      <c r="BL69" s="55">
        <v>3170</v>
      </c>
      <c r="BM69" s="55">
        <v>3170</v>
      </c>
      <c r="BN69" s="55">
        <v>3170</v>
      </c>
      <c r="BO69" s="55">
        <v>3170</v>
      </c>
      <c r="BP69" s="55">
        <v>1200</v>
      </c>
      <c r="BQ69" s="55">
        <v>3170</v>
      </c>
      <c r="BR69" s="55">
        <v>3170</v>
      </c>
      <c r="BS69" s="55">
        <v>3170</v>
      </c>
      <c r="BT69" s="55">
        <v>3170</v>
      </c>
      <c r="BU69" s="55">
        <v>3170</v>
      </c>
      <c r="BV69" s="55">
        <v>3170</v>
      </c>
      <c r="BW69" s="55">
        <v>3370</v>
      </c>
      <c r="BX69" s="55">
        <v>8370</v>
      </c>
      <c r="BY69" s="55">
        <v>6370</v>
      </c>
      <c r="BZ69" s="55">
        <v>3370</v>
      </c>
      <c r="CA69" s="55">
        <v>3370</v>
      </c>
      <c r="CB69" s="55">
        <v>3370</v>
      </c>
      <c r="CC69" s="55">
        <v>3370</v>
      </c>
      <c r="CD69" s="55">
        <v>3370</v>
      </c>
      <c r="CE69" s="55">
        <v>3370</v>
      </c>
      <c r="CF69" s="55">
        <f>3370+4402+14000</f>
        <v>21772</v>
      </c>
      <c r="CG69" s="55">
        <f>3370-1032</f>
        <v>2338</v>
      </c>
      <c r="CH69" s="55"/>
      <c r="CI69" s="55">
        <v>3390</v>
      </c>
      <c r="CJ69" s="55">
        <v>3390</v>
      </c>
      <c r="CK69" s="55">
        <v>3390</v>
      </c>
      <c r="CL69" s="55"/>
      <c r="CM69" s="55"/>
    </row>
    <row r="70" spans="1:91" x14ac:dyDescent="0.15">
      <c r="A70" s="35">
        <v>25</v>
      </c>
      <c r="B70" s="36" t="s">
        <v>69</v>
      </c>
      <c r="C70" s="35" t="s">
        <v>104</v>
      </c>
      <c r="D70" s="37" t="str">
        <f t="shared" si="7"/>
        <v>Ramesh Gangan</v>
      </c>
      <c r="K70" s="55">
        <v>2000</v>
      </c>
      <c r="L70" s="55">
        <v>0</v>
      </c>
      <c r="M70" s="55">
        <v>2000</v>
      </c>
      <c r="N70" s="55">
        <v>2800</v>
      </c>
      <c r="O70" s="55">
        <v>1500</v>
      </c>
      <c r="P70" s="55">
        <v>0</v>
      </c>
      <c r="Q70" s="55">
        <v>2400</v>
      </c>
      <c r="R70" s="55">
        <v>0</v>
      </c>
      <c r="S70" s="55">
        <v>8000</v>
      </c>
      <c r="T70" s="55">
        <v>0</v>
      </c>
      <c r="U70" s="55">
        <v>0</v>
      </c>
      <c r="V70" s="55">
        <f>(4000-1700)</f>
        <v>2300</v>
      </c>
      <c r="W70" s="55">
        <v>0</v>
      </c>
      <c r="X70" s="55">
        <v>5000</v>
      </c>
      <c r="Y70" s="55">
        <v>1700</v>
      </c>
      <c r="Z70" s="55">
        <v>1000</v>
      </c>
      <c r="AA70" s="55">
        <f>5000-1000</f>
        <v>4000</v>
      </c>
      <c r="AB70" s="55"/>
      <c r="AC70" s="55"/>
      <c r="AD70" s="55"/>
      <c r="AE70" s="76"/>
      <c r="AF70" s="55"/>
      <c r="AG70" s="55">
        <v>5000</v>
      </c>
      <c r="AH70" s="55">
        <v>10000</v>
      </c>
      <c r="AI70" s="55"/>
      <c r="AJ70" s="55"/>
      <c r="AK70" s="55">
        <v>5000</v>
      </c>
      <c r="AL70" s="55"/>
      <c r="AM70" s="55">
        <v>5000</v>
      </c>
      <c r="AN70" s="55"/>
      <c r="AO70" s="55">
        <v>2500</v>
      </c>
      <c r="AP70" s="55">
        <v>10000</v>
      </c>
      <c r="AQ70" s="55">
        <v>3000</v>
      </c>
      <c r="AR70" s="55"/>
      <c r="AS70" s="55"/>
      <c r="AT70" s="55">
        <v>10000</v>
      </c>
      <c r="AU70" s="55"/>
      <c r="AV70" s="55"/>
      <c r="AW70" s="55"/>
      <c r="AX70" s="55">
        <v>2500</v>
      </c>
      <c r="AY70" s="55">
        <v>2500</v>
      </c>
      <c r="AZ70" s="55">
        <v>2500</v>
      </c>
      <c r="BA70" s="55">
        <v>2500</v>
      </c>
      <c r="BB70" s="55">
        <v>2500</v>
      </c>
      <c r="BC70" s="55">
        <v>2500</v>
      </c>
      <c r="BD70" s="55">
        <v>2500</v>
      </c>
      <c r="BE70" s="55">
        <v>2500</v>
      </c>
      <c r="BF70" s="55">
        <v>2500</v>
      </c>
      <c r="BG70" s="55">
        <v>2500</v>
      </c>
      <c r="BH70" s="55">
        <v>2500</v>
      </c>
      <c r="BI70" s="55">
        <v>2500</v>
      </c>
      <c r="BJ70" s="55">
        <v>2500</v>
      </c>
      <c r="BK70" s="55">
        <v>2500</v>
      </c>
      <c r="BL70" s="55">
        <v>3000</v>
      </c>
      <c r="BM70" s="55">
        <v>3000</v>
      </c>
      <c r="BN70" s="55">
        <v>3000</v>
      </c>
      <c r="BO70" s="55">
        <v>3000</v>
      </c>
      <c r="BP70" s="55"/>
      <c r="BQ70" s="55"/>
      <c r="BR70" s="55"/>
      <c r="BS70" s="55"/>
      <c r="BT70" s="55"/>
      <c r="BU70" s="55">
        <v>3000</v>
      </c>
      <c r="BV70" s="55"/>
      <c r="BW70" s="55">
        <v>3000</v>
      </c>
      <c r="BX70" s="55">
        <v>3000</v>
      </c>
      <c r="BY70" s="55">
        <v>13600</v>
      </c>
      <c r="BZ70" s="55">
        <v>3600</v>
      </c>
      <c r="CA70" s="55"/>
      <c r="CB70" s="55"/>
      <c r="CC70" s="55"/>
      <c r="CD70" s="55">
        <v>10000</v>
      </c>
      <c r="CE70" s="55">
        <v>20000</v>
      </c>
      <c r="CF70" s="55">
        <v>10800</v>
      </c>
      <c r="CG70" s="55">
        <f>3600+17000</f>
        <v>20600</v>
      </c>
      <c r="CH70" s="55">
        <v>3600</v>
      </c>
      <c r="CI70" s="55"/>
      <c r="CJ70" s="55">
        <v>3600</v>
      </c>
      <c r="CK70" s="55">
        <v>3600</v>
      </c>
      <c r="CL70" s="55"/>
      <c r="CM70" s="55"/>
    </row>
    <row r="71" spans="1:91" x14ac:dyDescent="0.15">
      <c r="A71" s="35">
        <v>26</v>
      </c>
      <c r="B71" s="36" t="s">
        <v>71</v>
      </c>
      <c r="C71" s="35" t="s">
        <v>104</v>
      </c>
      <c r="D71" s="37" t="str">
        <f t="shared" si="7"/>
        <v>A Vinod Kumar</v>
      </c>
      <c r="K71" s="55">
        <v>2000</v>
      </c>
      <c r="L71" s="55">
        <v>1757</v>
      </c>
      <c r="M71" s="55">
        <v>0</v>
      </c>
      <c r="N71" s="55">
        <v>3047</v>
      </c>
      <c r="O71" s="55">
        <v>1469</v>
      </c>
      <c r="P71" s="55">
        <v>2485</v>
      </c>
      <c r="Q71" s="55">
        <v>2537</v>
      </c>
      <c r="R71" s="55">
        <v>1950</v>
      </c>
      <c r="S71" s="55">
        <v>1950</v>
      </c>
      <c r="T71" s="55">
        <v>1950</v>
      </c>
      <c r="U71" s="55">
        <v>0</v>
      </c>
      <c r="V71" s="55">
        <v>3920</v>
      </c>
      <c r="W71" s="55">
        <v>1950</v>
      </c>
      <c r="X71" s="55">
        <v>5000</v>
      </c>
      <c r="Y71" s="55">
        <v>1700</v>
      </c>
      <c r="Z71" s="55">
        <v>1000</v>
      </c>
      <c r="AA71" s="55">
        <f>1950-1000</f>
        <v>950</v>
      </c>
      <c r="AB71" s="55">
        <v>2950</v>
      </c>
      <c r="AC71" s="55">
        <v>1950</v>
      </c>
      <c r="AD71" s="55">
        <v>1950</v>
      </c>
      <c r="AE71" s="76">
        <v>2370</v>
      </c>
      <c r="AF71" s="55">
        <v>2370</v>
      </c>
      <c r="AG71" s="55">
        <v>5000</v>
      </c>
      <c r="AH71" s="55">
        <v>2370</v>
      </c>
      <c r="AI71" s="55">
        <v>2370</v>
      </c>
      <c r="AJ71" s="55">
        <v>2370</v>
      </c>
      <c r="AK71" s="55">
        <v>2370</v>
      </c>
      <c r="AL71" s="55">
        <v>2370</v>
      </c>
      <c r="AM71" s="55">
        <v>2370</v>
      </c>
      <c r="AN71" s="55">
        <v>2370</v>
      </c>
      <c r="AO71" s="55">
        <v>2670</v>
      </c>
      <c r="AP71" s="55">
        <v>10000</v>
      </c>
      <c r="AQ71" s="55">
        <v>2670</v>
      </c>
      <c r="AR71" s="55">
        <v>2670</v>
      </c>
      <c r="AS71" s="55">
        <v>2670</v>
      </c>
      <c r="AT71" s="55">
        <v>10000</v>
      </c>
      <c r="AU71" s="55">
        <v>5000</v>
      </c>
      <c r="AV71" s="55">
        <v>2670</v>
      </c>
      <c r="AW71" s="55">
        <v>2670</v>
      </c>
      <c r="AX71" s="55">
        <v>2670</v>
      </c>
      <c r="AY71" s="55">
        <v>3240</v>
      </c>
      <c r="AZ71" s="55">
        <v>3240</v>
      </c>
      <c r="BA71" s="55">
        <v>3240</v>
      </c>
      <c r="BB71" s="55">
        <v>3240</v>
      </c>
      <c r="BC71" s="55">
        <v>3240</v>
      </c>
      <c r="BD71" s="55">
        <v>3240</v>
      </c>
      <c r="BE71" s="55">
        <v>3240</v>
      </c>
      <c r="BF71" s="55">
        <v>3240</v>
      </c>
      <c r="BG71" s="55">
        <v>3240</v>
      </c>
      <c r="BH71" s="55">
        <v>3240</v>
      </c>
      <c r="BI71" s="55">
        <v>3240</v>
      </c>
      <c r="BJ71" s="55">
        <v>3240</v>
      </c>
      <c r="BK71" s="55">
        <v>3240</v>
      </c>
      <c r="BL71" s="55">
        <v>3240</v>
      </c>
      <c r="BM71" s="55">
        <v>3240</v>
      </c>
      <c r="BN71" s="55">
        <v>3240</v>
      </c>
      <c r="BO71" s="55">
        <v>3240</v>
      </c>
      <c r="BP71" s="55">
        <v>1200</v>
      </c>
      <c r="BQ71" s="55">
        <v>3240</v>
      </c>
      <c r="BR71" s="55">
        <v>3240</v>
      </c>
      <c r="BS71" s="55">
        <v>3240</v>
      </c>
      <c r="BT71" s="55">
        <v>3240</v>
      </c>
      <c r="BU71" s="55">
        <v>3240</v>
      </c>
      <c r="BV71" s="55">
        <v>3240</v>
      </c>
      <c r="BW71" s="55">
        <v>3240</v>
      </c>
      <c r="BX71" s="55">
        <v>28840</v>
      </c>
      <c r="BY71" s="55">
        <v>3440</v>
      </c>
      <c r="BZ71" s="55">
        <v>3440</v>
      </c>
      <c r="CA71" s="55">
        <v>3440</v>
      </c>
      <c r="CB71" s="55">
        <v>3440</v>
      </c>
      <c r="CC71" s="55">
        <v>3440</v>
      </c>
      <c r="CD71" s="55">
        <v>3440</v>
      </c>
      <c r="CE71" s="55">
        <v>3440</v>
      </c>
      <c r="CF71" s="55">
        <v>3440</v>
      </c>
      <c r="CG71" s="55">
        <v>3440</v>
      </c>
      <c r="CH71" s="55">
        <v>3440</v>
      </c>
      <c r="CI71" s="55">
        <v>3440</v>
      </c>
      <c r="CJ71" s="55">
        <v>3440</v>
      </c>
      <c r="CK71" s="55">
        <v>3440</v>
      </c>
      <c r="CL71" s="55">
        <v>3440</v>
      </c>
      <c r="CM71" s="55"/>
    </row>
    <row r="72" spans="1:91" x14ac:dyDescent="0.15">
      <c r="A72" s="35">
        <v>27</v>
      </c>
      <c r="B72" s="36" t="s">
        <v>73</v>
      </c>
      <c r="C72" s="35" t="s">
        <v>104</v>
      </c>
      <c r="D72" s="37" t="str">
        <f t="shared" si="7"/>
        <v>Anshuman</v>
      </c>
      <c r="K72" s="55">
        <v>0</v>
      </c>
      <c r="L72" s="55">
        <v>0</v>
      </c>
      <c r="M72" s="55">
        <v>0</v>
      </c>
      <c r="N72" s="55">
        <v>0</v>
      </c>
      <c r="O72" s="55">
        <v>0</v>
      </c>
      <c r="P72" s="55">
        <v>0</v>
      </c>
      <c r="Q72" s="55">
        <v>2000</v>
      </c>
      <c r="R72" s="55">
        <v>2000</v>
      </c>
      <c r="S72" s="55">
        <v>2000</v>
      </c>
      <c r="T72" s="55">
        <v>2000</v>
      </c>
      <c r="U72" s="55">
        <v>2000</v>
      </c>
      <c r="V72" s="55">
        <v>0</v>
      </c>
      <c r="W72" s="55">
        <v>4000</v>
      </c>
      <c r="X72" s="55">
        <v>5000</v>
      </c>
      <c r="Y72" s="55">
        <v>2000</v>
      </c>
      <c r="Z72" s="55">
        <v>1000</v>
      </c>
      <c r="AA72" s="55">
        <v>0</v>
      </c>
      <c r="AB72" s="55">
        <f>4000-1000</f>
        <v>3000</v>
      </c>
      <c r="AC72" s="55">
        <v>2000</v>
      </c>
      <c r="AD72" s="55"/>
      <c r="AE72" s="76">
        <f>2000+500</f>
        <v>2500</v>
      </c>
      <c r="AF72" s="55">
        <f>2000+2500</f>
        <v>4500</v>
      </c>
      <c r="AG72" s="55">
        <v>5000</v>
      </c>
      <c r="AH72" s="55"/>
      <c r="AI72" s="55"/>
      <c r="AJ72" s="55"/>
      <c r="AK72" s="55">
        <v>10000</v>
      </c>
      <c r="AL72" s="55">
        <v>2370</v>
      </c>
      <c r="AM72" s="55">
        <v>2570</v>
      </c>
      <c r="AN72" s="55">
        <v>2240</v>
      </c>
      <c r="AO72" s="55">
        <v>2680</v>
      </c>
      <c r="AP72" s="55"/>
      <c r="AQ72" s="55"/>
      <c r="AR72" s="55"/>
      <c r="AS72" s="55"/>
      <c r="AT72" s="55">
        <v>10000</v>
      </c>
      <c r="AU72" s="55"/>
      <c r="AV72" s="55"/>
      <c r="AW72" s="55">
        <v>400</v>
      </c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>
        <v>50000</v>
      </c>
      <c r="CA72" s="55">
        <v>3465</v>
      </c>
      <c r="CB72" s="55"/>
      <c r="CC72" s="55"/>
      <c r="CD72" s="55">
        <v>5000</v>
      </c>
      <c r="CE72" s="55">
        <v>5000</v>
      </c>
      <c r="CF72" s="55">
        <v>5000</v>
      </c>
      <c r="CG72" s="55"/>
      <c r="CH72" s="55"/>
      <c r="CI72" s="55"/>
      <c r="CJ72" s="55">
        <v>15000</v>
      </c>
      <c r="CK72" s="55"/>
      <c r="CL72" s="55"/>
      <c r="CM72" s="55"/>
    </row>
    <row r="73" spans="1:91" x14ac:dyDescent="0.15">
      <c r="A73" s="35">
        <v>28</v>
      </c>
      <c r="B73" s="36" t="s">
        <v>74</v>
      </c>
      <c r="C73" s="35" t="s">
        <v>104</v>
      </c>
      <c r="D73" s="37" t="str">
        <f t="shared" si="7"/>
        <v>Amarjeet Kumar</v>
      </c>
      <c r="K73" s="55">
        <v>2000</v>
      </c>
      <c r="L73" s="55">
        <v>2000</v>
      </c>
      <c r="M73" s="55">
        <v>1318</v>
      </c>
      <c r="N73" s="55">
        <v>1486</v>
      </c>
      <c r="O73" s="55">
        <v>1358</v>
      </c>
      <c r="P73" s="55">
        <v>2485</v>
      </c>
      <c r="Q73" s="55">
        <v>2648</v>
      </c>
      <c r="R73" s="55">
        <v>1970</v>
      </c>
      <c r="S73" s="55">
        <v>1950</v>
      </c>
      <c r="T73" s="55">
        <v>1950</v>
      </c>
      <c r="U73" s="55">
        <f>(1950-750)</f>
        <v>1200</v>
      </c>
      <c r="V73" s="55">
        <f>(1200+2000)</f>
        <v>3200</v>
      </c>
      <c r="W73" s="55">
        <f>2000-1000</f>
        <v>1000</v>
      </c>
      <c r="X73" s="55">
        <v>5000</v>
      </c>
      <c r="Y73" s="55">
        <v>1700</v>
      </c>
      <c r="Z73" s="55">
        <v>1000</v>
      </c>
      <c r="AA73" s="55">
        <v>2400</v>
      </c>
      <c r="AB73" s="55">
        <v>2000</v>
      </c>
      <c r="AC73" s="55">
        <v>2000</v>
      </c>
      <c r="AD73" s="55">
        <v>2000</v>
      </c>
      <c r="AE73" s="76">
        <v>2000</v>
      </c>
      <c r="AF73" s="55">
        <f>2500+2500</f>
        <v>5000</v>
      </c>
      <c r="AG73" s="55">
        <v>5000</v>
      </c>
      <c r="AH73" s="55"/>
      <c r="AI73" s="55">
        <v>2500</v>
      </c>
      <c r="AJ73" s="55">
        <v>2500</v>
      </c>
      <c r="AK73" s="55">
        <v>2500</v>
      </c>
      <c r="AL73" s="55">
        <v>2500</v>
      </c>
      <c r="AM73" s="55">
        <v>2500</v>
      </c>
      <c r="AN73" s="55">
        <v>2500</v>
      </c>
      <c r="AO73" s="55">
        <v>2500</v>
      </c>
      <c r="AP73" s="55">
        <v>10000</v>
      </c>
      <c r="AQ73" s="55">
        <v>2500</v>
      </c>
      <c r="AR73" s="55">
        <v>2500</v>
      </c>
      <c r="AS73" s="55">
        <v>2670</v>
      </c>
      <c r="AT73" s="55">
        <v>10000</v>
      </c>
      <c r="AU73" s="55">
        <f>5000+25000</f>
        <v>30000</v>
      </c>
      <c r="AV73" s="55">
        <v>2670</v>
      </c>
      <c r="AW73" s="55">
        <v>2670</v>
      </c>
      <c r="AX73" s="55">
        <v>2670</v>
      </c>
      <c r="AY73" s="55">
        <v>2670</v>
      </c>
      <c r="AZ73" s="55">
        <v>2670</v>
      </c>
      <c r="BA73" s="55">
        <v>2670</v>
      </c>
      <c r="BB73" s="55">
        <v>2670</v>
      </c>
      <c r="BC73" s="55">
        <v>2670</v>
      </c>
      <c r="BD73" s="55">
        <v>2670</v>
      </c>
      <c r="BE73" s="55">
        <f>600+2670</f>
        <v>3270</v>
      </c>
      <c r="BF73" s="55">
        <v>2670</v>
      </c>
      <c r="BG73" s="55">
        <v>2670</v>
      </c>
      <c r="BH73" s="55">
        <v>2670</v>
      </c>
      <c r="BI73" s="55">
        <v>3500</v>
      </c>
      <c r="BJ73" s="55">
        <v>3500</v>
      </c>
      <c r="BK73" s="55">
        <v>3500</v>
      </c>
      <c r="BL73" s="55">
        <v>3500</v>
      </c>
      <c r="BM73" s="55">
        <f>3500+1830</f>
        <v>5330</v>
      </c>
      <c r="BN73" s="55">
        <v>3500</v>
      </c>
      <c r="BO73" s="55">
        <v>3500</v>
      </c>
      <c r="BP73" s="55"/>
      <c r="BQ73" s="55">
        <v>3500</v>
      </c>
      <c r="BR73" s="55">
        <v>3500</v>
      </c>
      <c r="BS73" s="55">
        <v>3500</v>
      </c>
      <c r="BT73" s="55">
        <v>3500</v>
      </c>
      <c r="BU73" s="55">
        <v>3500</v>
      </c>
      <c r="BV73" s="55">
        <v>3500</v>
      </c>
      <c r="BW73" s="55">
        <v>3500</v>
      </c>
      <c r="BX73" s="55">
        <v>3500</v>
      </c>
      <c r="BY73" s="55">
        <v>3500</v>
      </c>
      <c r="BZ73" s="55">
        <v>3500</v>
      </c>
      <c r="CA73" s="55">
        <v>3500</v>
      </c>
      <c r="CB73" s="55">
        <v>3500</v>
      </c>
      <c r="CC73" s="55">
        <v>3500</v>
      </c>
      <c r="CD73" s="55">
        <v>3500</v>
      </c>
      <c r="CE73" s="55">
        <v>3500</v>
      </c>
      <c r="CF73" s="55">
        <v>3500</v>
      </c>
      <c r="CG73" s="55">
        <v>3500</v>
      </c>
      <c r="CH73" s="55">
        <v>3500</v>
      </c>
      <c r="CI73" s="55">
        <v>3500</v>
      </c>
      <c r="CJ73" s="55">
        <v>3500</v>
      </c>
      <c r="CK73" s="55">
        <v>3500</v>
      </c>
      <c r="CL73" s="55">
        <v>3500</v>
      </c>
      <c r="CM73" s="55"/>
    </row>
    <row r="74" spans="1:91" x14ac:dyDescent="0.15">
      <c r="A74" s="35">
        <v>29</v>
      </c>
      <c r="B74" s="36" t="s">
        <v>76</v>
      </c>
      <c r="C74" s="35" t="s">
        <v>104</v>
      </c>
      <c r="D74" s="37" t="str">
        <f t="shared" si="7"/>
        <v>Praveen Pattanshetti</v>
      </c>
      <c r="K74" s="55">
        <v>2000</v>
      </c>
      <c r="L74" s="55">
        <v>1550</v>
      </c>
      <c r="M74" s="55">
        <v>1000</v>
      </c>
      <c r="N74" s="55">
        <v>0</v>
      </c>
      <c r="O74" s="55">
        <v>2650</v>
      </c>
      <c r="P74" s="55">
        <v>2000</v>
      </c>
      <c r="Q74" s="55">
        <v>2000</v>
      </c>
      <c r="R74" s="55">
        <v>2000</v>
      </c>
      <c r="S74" s="55">
        <v>1800</v>
      </c>
      <c r="T74" s="55">
        <v>2000</v>
      </c>
      <c r="U74" s="55">
        <v>2000</v>
      </c>
      <c r="V74" s="55">
        <v>2000</v>
      </c>
      <c r="W74" s="55">
        <f>3000-1000</f>
        <v>2000</v>
      </c>
      <c r="X74" s="55">
        <v>5000</v>
      </c>
      <c r="Y74" s="55">
        <v>1700</v>
      </c>
      <c r="Z74" s="55">
        <v>1000</v>
      </c>
      <c r="AA74" s="55">
        <v>2000</v>
      </c>
      <c r="AB74" s="55"/>
      <c r="AC74" s="55"/>
      <c r="AD74" s="55">
        <f>3600+2000</f>
        <v>5600</v>
      </c>
      <c r="AE74" s="76">
        <v>2000</v>
      </c>
      <c r="AF74" s="55"/>
      <c r="AG74" s="55">
        <v>5000</v>
      </c>
      <c r="AH74" s="55">
        <f>2500+2000</f>
        <v>4500</v>
      </c>
      <c r="AI74" s="55">
        <v>2000</v>
      </c>
      <c r="AJ74" s="55">
        <v>2000</v>
      </c>
      <c r="AK74" s="55">
        <v>2000</v>
      </c>
      <c r="AL74" s="55">
        <v>2000</v>
      </c>
      <c r="AM74" s="55">
        <v>2000</v>
      </c>
      <c r="AN74" s="55">
        <v>2000</v>
      </c>
      <c r="AO74" s="55">
        <v>2000</v>
      </c>
      <c r="AP74" s="55">
        <v>10000</v>
      </c>
      <c r="AQ74" s="55">
        <v>2000</v>
      </c>
      <c r="AR74" s="55">
        <v>2000</v>
      </c>
      <c r="AS74" s="55">
        <v>2300</v>
      </c>
      <c r="AT74" s="55">
        <v>10000</v>
      </c>
      <c r="AU74" s="55">
        <f>16404-1404+15000</f>
        <v>30000</v>
      </c>
      <c r="AV74" s="55">
        <v>3200</v>
      </c>
      <c r="AW74" s="55">
        <v>2500</v>
      </c>
      <c r="AX74" s="55">
        <v>2100</v>
      </c>
      <c r="AY74" s="55">
        <v>2300</v>
      </c>
      <c r="AZ74" s="55">
        <v>2300</v>
      </c>
      <c r="BA74" s="55">
        <f>2300+3000</f>
        <v>5300</v>
      </c>
      <c r="BB74" s="55">
        <v>3000</v>
      </c>
      <c r="BC74" s="55">
        <v>2800</v>
      </c>
      <c r="BD74" s="55">
        <v>3000</v>
      </c>
      <c r="BE74" s="55">
        <v>3000</v>
      </c>
      <c r="BF74" s="55">
        <f>15000-15000+1404</f>
        <v>1404</v>
      </c>
      <c r="BG74" s="55">
        <v>3000</v>
      </c>
      <c r="BH74" s="55">
        <v>3000</v>
      </c>
      <c r="BI74" s="55">
        <v>3000</v>
      </c>
      <c r="BJ74" s="55">
        <v>3000</v>
      </c>
      <c r="BK74" s="55">
        <v>3000</v>
      </c>
      <c r="BL74" s="55">
        <v>3000</v>
      </c>
      <c r="BM74" s="55">
        <v>3000</v>
      </c>
      <c r="BN74" s="55">
        <v>3000</v>
      </c>
      <c r="BO74" s="55">
        <v>3000</v>
      </c>
      <c r="BP74" s="55"/>
      <c r="BQ74" s="55">
        <v>3000</v>
      </c>
      <c r="BR74" s="55">
        <v>3000</v>
      </c>
      <c r="BS74" s="55">
        <v>3000</v>
      </c>
      <c r="BT74" s="55">
        <v>3000</v>
      </c>
      <c r="BU74" s="55">
        <v>3000</v>
      </c>
      <c r="BV74" s="55">
        <v>3000</v>
      </c>
      <c r="BW74" s="55">
        <v>3000</v>
      </c>
      <c r="BX74" s="55">
        <v>3000</v>
      </c>
      <c r="BY74" s="55">
        <v>3000</v>
      </c>
      <c r="BZ74" s="55">
        <v>3000</v>
      </c>
      <c r="CA74" s="55">
        <v>3000</v>
      </c>
      <c r="CB74" s="55">
        <v>3000</v>
      </c>
      <c r="CC74" s="55">
        <v>3000</v>
      </c>
      <c r="CD74" s="55">
        <v>3000</v>
      </c>
      <c r="CE74" s="55">
        <v>3000</v>
      </c>
      <c r="CF74" s="55">
        <v>3000</v>
      </c>
      <c r="CG74" s="55"/>
      <c r="CH74" s="55">
        <v>3000</v>
      </c>
      <c r="CI74" s="55">
        <v>3000</v>
      </c>
      <c r="CJ74" s="55">
        <v>3000</v>
      </c>
      <c r="CK74" s="55">
        <v>3000</v>
      </c>
      <c r="CL74" s="55">
        <v>3000</v>
      </c>
      <c r="CM74" s="55"/>
    </row>
    <row r="75" spans="1:91" x14ac:dyDescent="0.15">
      <c r="A75" s="35">
        <v>30</v>
      </c>
      <c r="B75" s="36" t="s">
        <v>78</v>
      </c>
      <c r="C75" s="35" t="s">
        <v>104</v>
      </c>
      <c r="D75" s="37" t="str">
        <f t="shared" si="7"/>
        <v>Raj kumar Mandal</v>
      </c>
      <c r="K75" s="55">
        <v>2000</v>
      </c>
      <c r="L75" s="55">
        <v>1551</v>
      </c>
      <c r="M75" s="55">
        <v>1429</v>
      </c>
      <c r="N75" s="55">
        <v>1357</v>
      </c>
      <c r="O75" s="55">
        <v>1298</v>
      </c>
      <c r="P75" s="55">
        <v>2316</v>
      </c>
      <c r="Q75" s="55">
        <v>2367</v>
      </c>
      <c r="R75" s="55">
        <v>2000</v>
      </c>
      <c r="S75" s="55">
        <v>2000</v>
      </c>
      <c r="T75" s="55">
        <v>1500</v>
      </c>
      <c r="U75" s="55">
        <v>1500</v>
      </c>
      <c r="V75" s="55">
        <v>1750</v>
      </c>
      <c r="W75" s="55">
        <v>1750</v>
      </c>
      <c r="X75" s="55">
        <v>5000</v>
      </c>
      <c r="Y75" s="55">
        <v>1700</v>
      </c>
      <c r="Z75" s="55">
        <v>1000</v>
      </c>
      <c r="AA75" s="55">
        <f>1750</f>
        <v>1750</v>
      </c>
      <c r="AB75" s="55">
        <v>1850</v>
      </c>
      <c r="AC75" s="55">
        <v>2000</v>
      </c>
      <c r="AD75" s="55">
        <v>1500</v>
      </c>
      <c r="AE75" s="76">
        <v>3000</v>
      </c>
      <c r="AF75" s="55">
        <v>1100</v>
      </c>
      <c r="AG75" s="55">
        <v>5000</v>
      </c>
      <c r="AH75" s="55">
        <v>2000</v>
      </c>
      <c r="AI75" s="55">
        <v>2000</v>
      </c>
      <c r="AJ75" s="55">
        <v>2010</v>
      </c>
      <c r="AK75" s="55">
        <v>2000</v>
      </c>
      <c r="AL75" s="55">
        <v>2380</v>
      </c>
      <c r="AM75" s="55">
        <v>2100</v>
      </c>
      <c r="AN75" s="55">
        <v>2100</v>
      </c>
      <c r="AO75" s="55">
        <v>2000</v>
      </c>
      <c r="AP75" s="55">
        <f>8000+2000</f>
        <v>10000</v>
      </c>
      <c r="AQ75" s="55">
        <v>2000</v>
      </c>
      <c r="AR75" s="55">
        <v>3000</v>
      </c>
      <c r="AS75" s="55">
        <v>2000</v>
      </c>
      <c r="AT75" s="55">
        <v>10000</v>
      </c>
      <c r="AU75" s="55">
        <v>10000</v>
      </c>
      <c r="AV75" s="55">
        <f>2000+900</f>
        <v>2900</v>
      </c>
      <c r="AW75" s="55">
        <v>2000</v>
      </c>
      <c r="AX75" s="55">
        <v>2500</v>
      </c>
      <c r="AY75" s="55">
        <v>2500</v>
      </c>
      <c r="AZ75" s="55">
        <v>3000</v>
      </c>
      <c r="BA75" s="55">
        <v>3000</v>
      </c>
      <c r="BB75" s="55">
        <v>3000</v>
      </c>
      <c r="BC75" s="55">
        <v>3000</v>
      </c>
      <c r="BD75" s="55">
        <v>3000</v>
      </c>
      <c r="BE75" s="55">
        <v>3000</v>
      </c>
      <c r="BF75" s="55">
        <v>3000</v>
      </c>
      <c r="BG75" s="55">
        <v>3000</v>
      </c>
      <c r="BH75" s="55">
        <v>3321</v>
      </c>
      <c r="BI75" s="55">
        <v>1800</v>
      </c>
      <c r="BJ75" s="55"/>
      <c r="BK75" s="55">
        <v>4000</v>
      </c>
      <c r="BL75" s="55">
        <v>2970</v>
      </c>
      <c r="BM75" s="55">
        <v>2970</v>
      </c>
      <c r="BN75" s="55">
        <v>2970</v>
      </c>
      <c r="BO75" s="55">
        <v>3000</v>
      </c>
      <c r="BP75" s="55"/>
      <c r="BQ75" s="55">
        <v>2970</v>
      </c>
      <c r="BR75" s="55">
        <v>2970</v>
      </c>
      <c r="BS75" s="55">
        <v>2970</v>
      </c>
      <c r="BT75" s="55">
        <v>2970</v>
      </c>
      <c r="BU75" s="55">
        <v>2970</v>
      </c>
      <c r="BV75" s="55">
        <v>2970</v>
      </c>
      <c r="BW75" s="55">
        <v>3170</v>
      </c>
      <c r="BX75" s="55">
        <v>24370</v>
      </c>
      <c r="BY75" s="55">
        <v>3170</v>
      </c>
      <c r="BZ75" s="55">
        <v>3170</v>
      </c>
      <c r="CA75" s="55">
        <v>3170</v>
      </c>
      <c r="CB75" s="55">
        <v>3170</v>
      </c>
      <c r="CC75" s="55">
        <v>3370</v>
      </c>
      <c r="CD75" s="55">
        <v>2970</v>
      </c>
      <c r="CE75" s="55">
        <v>3170</v>
      </c>
      <c r="CF75" s="55">
        <v>3170</v>
      </c>
      <c r="CG75" s="55">
        <v>3170</v>
      </c>
      <c r="CH75" s="55">
        <f>6540+1032</f>
        <v>7572</v>
      </c>
      <c r="CI75" s="55">
        <v>3170</v>
      </c>
      <c r="CJ75" s="55">
        <v>3170</v>
      </c>
      <c r="CK75" s="55">
        <v>3170</v>
      </c>
      <c r="CL75" s="55"/>
      <c r="CM75" s="55"/>
    </row>
    <row r="76" spans="1:91" x14ac:dyDescent="0.15">
      <c r="A76" s="35">
        <v>31</v>
      </c>
      <c r="B76" s="36" t="s">
        <v>80</v>
      </c>
      <c r="C76" s="35" t="s">
        <v>104</v>
      </c>
      <c r="D76" s="37" t="str">
        <f t="shared" si="7"/>
        <v>Vishesh Nigam</v>
      </c>
      <c r="K76" s="55">
        <v>2000</v>
      </c>
      <c r="L76" s="55">
        <v>1550</v>
      </c>
      <c r="M76" s="55">
        <v>1430</v>
      </c>
      <c r="N76" s="55">
        <v>1359</v>
      </c>
      <c r="O76" s="55">
        <v>1296</v>
      </c>
      <c r="P76" s="55">
        <v>2316</v>
      </c>
      <c r="Q76" s="55">
        <v>2367</v>
      </c>
      <c r="R76" s="55">
        <v>1760</v>
      </c>
      <c r="S76" s="55">
        <v>2000</v>
      </c>
      <c r="T76" s="55">
        <v>1500</v>
      </c>
      <c r="U76" s="55">
        <v>1773</v>
      </c>
      <c r="V76" s="55">
        <v>1760</v>
      </c>
      <c r="W76" s="55">
        <f>2760-1000</f>
        <v>1760</v>
      </c>
      <c r="X76" s="55">
        <v>5000</v>
      </c>
      <c r="Y76" s="55">
        <v>1700</v>
      </c>
      <c r="Z76" s="55">
        <v>1000</v>
      </c>
      <c r="AA76" s="55">
        <v>1760</v>
      </c>
      <c r="AB76" s="55">
        <f>795+1760</f>
        <v>2555</v>
      </c>
      <c r="AC76" s="55">
        <v>965</v>
      </c>
      <c r="AD76" s="55">
        <v>1760</v>
      </c>
      <c r="AE76" s="76">
        <v>2140</v>
      </c>
      <c r="AF76" s="55">
        <v>2140</v>
      </c>
      <c r="AG76" s="55">
        <f>1000+1000+1000+2000</f>
        <v>5000</v>
      </c>
      <c r="AH76" s="55">
        <v>2140</v>
      </c>
      <c r="AI76" s="55">
        <v>2140</v>
      </c>
      <c r="AJ76" s="55">
        <v>2140</v>
      </c>
      <c r="AK76" s="55">
        <v>2140</v>
      </c>
      <c r="AL76" s="55">
        <v>2140</v>
      </c>
      <c r="AM76" s="55">
        <v>2140</v>
      </c>
      <c r="AN76" s="55">
        <v>2140</v>
      </c>
      <c r="AO76" s="55">
        <v>2440</v>
      </c>
      <c r="AP76" s="55">
        <f>5000+5000</f>
        <v>10000</v>
      </c>
      <c r="AQ76" s="55">
        <v>2440</v>
      </c>
      <c r="AR76" s="55">
        <v>2440</v>
      </c>
      <c r="AS76" s="55">
        <v>2440</v>
      </c>
      <c r="AT76" s="55">
        <f>5000+5000</f>
        <v>10000</v>
      </c>
      <c r="AU76" s="55">
        <v>5000</v>
      </c>
      <c r="AV76" s="55">
        <v>2440</v>
      </c>
      <c r="AW76" s="55">
        <v>2440</v>
      </c>
      <c r="AX76" s="55">
        <v>2440</v>
      </c>
      <c r="AY76" s="55">
        <v>2970</v>
      </c>
      <c r="AZ76" s="55">
        <v>2970</v>
      </c>
      <c r="BA76" s="55"/>
      <c r="BB76" s="55">
        <v>6000</v>
      </c>
      <c r="BC76" s="55">
        <v>3000</v>
      </c>
      <c r="BD76" s="55">
        <v>3000</v>
      </c>
      <c r="BE76" s="55">
        <v>3000</v>
      </c>
      <c r="BF76" s="55">
        <v>3000</v>
      </c>
      <c r="BG76" s="55">
        <v>3000</v>
      </c>
      <c r="BH76" s="55">
        <v>3000</v>
      </c>
      <c r="BI76" s="55">
        <v>3000</v>
      </c>
      <c r="BJ76" s="55">
        <v>3000</v>
      </c>
      <c r="BK76" s="55">
        <v>3000</v>
      </c>
      <c r="BL76" s="55">
        <v>3000</v>
      </c>
      <c r="BM76" s="55">
        <v>3000</v>
      </c>
      <c r="BN76" s="55">
        <v>3000</v>
      </c>
      <c r="BO76" s="55">
        <v>3000</v>
      </c>
      <c r="BP76" s="55">
        <v>1200</v>
      </c>
      <c r="BQ76" s="55">
        <v>3000</v>
      </c>
      <c r="BR76" s="55">
        <v>3000</v>
      </c>
      <c r="BS76" s="55">
        <v>3809</v>
      </c>
      <c r="BT76" s="55">
        <v>3000</v>
      </c>
      <c r="BU76" s="55">
        <v>3000</v>
      </c>
      <c r="BV76" s="55">
        <v>3000</v>
      </c>
      <c r="BW76" s="55">
        <v>3000</v>
      </c>
      <c r="BX76" s="55">
        <v>13650</v>
      </c>
      <c r="BY76" s="55">
        <v>5348.5</v>
      </c>
      <c r="BZ76" s="55">
        <v>3000</v>
      </c>
      <c r="CA76" s="55">
        <v>3000</v>
      </c>
      <c r="CB76" s="55">
        <v>3000</v>
      </c>
      <c r="CC76" s="55">
        <v>6000</v>
      </c>
      <c r="CD76" s="55">
        <f>500</f>
        <v>500</v>
      </c>
      <c r="CE76" s="55">
        <v>15000</v>
      </c>
      <c r="CF76" s="55"/>
      <c r="CG76" s="55">
        <v>7000</v>
      </c>
      <c r="CH76" s="55"/>
      <c r="CI76" s="55"/>
      <c r="CJ76" s="55">
        <f>3200+3200</f>
        <v>6400</v>
      </c>
      <c r="CK76" s="55"/>
      <c r="CL76" s="55">
        <v>3200</v>
      </c>
      <c r="CM76" s="55"/>
    </row>
    <row r="77" spans="1:91" x14ac:dyDescent="0.15">
      <c r="A77" s="35">
        <v>30</v>
      </c>
      <c r="B77" s="36" t="s">
        <v>82</v>
      </c>
      <c r="C77" s="35" t="s">
        <v>104</v>
      </c>
      <c r="D77" s="37" t="str">
        <f t="shared" si="7"/>
        <v>Ashutosh</v>
      </c>
      <c r="K77" s="55">
        <v>2000</v>
      </c>
      <c r="L77" s="55">
        <v>1550</v>
      </c>
      <c r="M77" s="55">
        <v>1430</v>
      </c>
      <c r="N77" s="55">
        <v>1350</v>
      </c>
      <c r="O77" s="55">
        <v>1305</v>
      </c>
      <c r="P77" s="55">
        <v>2316</v>
      </c>
      <c r="Q77" s="55">
        <v>2367</v>
      </c>
      <c r="R77" s="55">
        <v>1760</v>
      </c>
      <c r="S77" s="55">
        <v>0</v>
      </c>
      <c r="T77" s="55">
        <v>1600</v>
      </c>
      <c r="U77" s="55">
        <v>0</v>
      </c>
      <c r="V77" s="55">
        <v>5433</v>
      </c>
      <c r="W77" s="55">
        <f>(2760-1000)</f>
        <v>1760</v>
      </c>
      <c r="X77" s="55">
        <v>5000</v>
      </c>
      <c r="Y77" s="55">
        <v>1700</v>
      </c>
      <c r="Z77" s="55">
        <v>1000</v>
      </c>
      <c r="AA77" s="55">
        <v>1750</v>
      </c>
      <c r="AB77" s="55">
        <v>1760</v>
      </c>
      <c r="AC77" s="55">
        <v>1770</v>
      </c>
      <c r="AD77" s="55">
        <v>1760</v>
      </c>
      <c r="AE77" s="76">
        <v>2140</v>
      </c>
      <c r="AF77" s="55">
        <v>2140</v>
      </c>
      <c r="AG77" s="55">
        <v>5000</v>
      </c>
      <c r="AH77" s="55">
        <v>2140</v>
      </c>
      <c r="AI77" s="55">
        <v>2140</v>
      </c>
      <c r="AJ77" s="55">
        <v>2140</v>
      </c>
      <c r="AK77" s="55">
        <v>2140</v>
      </c>
      <c r="AL77" s="55">
        <v>2140</v>
      </c>
      <c r="AM77" s="55">
        <v>2140</v>
      </c>
      <c r="AN77" s="55">
        <v>2140</v>
      </c>
      <c r="AO77" s="55">
        <v>2140</v>
      </c>
      <c r="AP77" s="55">
        <v>10000</v>
      </c>
      <c r="AQ77" s="55">
        <v>2000</v>
      </c>
      <c r="AR77" s="55"/>
      <c r="AS77" s="55">
        <v>4420</v>
      </c>
      <c r="AT77" s="55">
        <v>10000</v>
      </c>
      <c r="AU77" s="55">
        <v>30000</v>
      </c>
      <c r="AV77" s="55"/>
      <c r="AW77" s="55"/>
      <c r="AX77" s="55"/>
      <c r="AY77" s="55"/>
      <c r="AZ77" s="55">
        <v>12000</v>
      </c>
      <c r="BA77" s="55"/>
      <c r="BB77" s="55">
        <v>1500</v>
      </c>
      <c r="BC77" s="55">
        <v>10000</v>
      </c>
      <c r="BD77" s="55"/>
      <c r="BE77" s="55">
        <v>9000</v>
      </c>
      <c r="BF77" s="55"/>
      <c r="BG77" s="55"/>
      <c r="BH77" s="55"/>
      <c r="BI77" s="55">
        <v>12000</v>
      </c>
      <c r="BJ77" s="55"/>
      <c r="BK77" s="55"/>
      <c r="BL77" s="55"/>
      <c r="BM77" s="55"/>
      <c r="BN77" s="55">
        <v>14900</v>
      </c>
      <c r="BO77" s="55"/>
      <c r="BP77" s="55"/>
      <c r="BQ77" s="55"/>
      <c r="BR77" s="55"/>
      <c r="BS77" s="55"/>
      <c r="BT77" s="55"/>
      <c r="BU77" s="55">
        <v>15000</v>
      </c>
      <c r="BV77" s="55"/>
      <c r="BW77" s="55"/>
      <c r="BX77" s="55">
        <v>9750</v>
      </c>
      <c r="BY77" s="55">
        <v>3000</v>
      </c>
      <c r="BZ77" s="55">
        <v>3000</v>
      </c>
      <c r="CA77" s="55">
        <v>3000</v>
      </c>
      <c r="CB77" s="55">
        <v>3000</v>
      </c>
      <c r="CC77" s="55">
        <v>3000</v>
      </c>
      <c r="CD77" s="55">
        <v>3000</v>
      </c>
      <c r="CE77" s="55"/>
      <c r="CF77" s="55">
        <v>3100</v>
      </c>
      <c r="CG77" s="55">
        <v>3100</v>
      </c>
      <c r="CH77" s="55">
        <v>3100</v>
      </c>
      <c r="CI77" s="55">
        <v>3100</v>
      </c>
      <c r="CJ77" s="55">
        <v>3100</v>
      </c>
      <c r="CK77" s="55">
        <v>3100</v>
      </c>
      <c r="CL77" s="55">
        <v>3100</v>
      </c>
      <c r="CM77" s="55"/>
    </row>
    <row r="78" spans="1:91" x14ac:dyDescent="0.15">
      <c r="A78" s="35">
        <v>33</v>
      </c>
      <c r="B78" s="36" t="s">
        <v>84</v>
      </c>
      <c r="C78" s="35" t="s">
        <v>104</v>
      </c>
      <c r="D78" s="37" t="str">
        <f t="shared" si="7"/>
        <v>Raghunandan</v>
      </c>
      <c r="K78" s="55">
        <v>2000</v>
      </c>
      <c r="L78" s="55">
        <v>2000</v>
      </c>
      <c r="M78" s="55">
        <v>2000</v>
      </c>
      <c r="N78" s="55">
        <v>1500</v>
      </c>
      <c r="O78" s="55">
        <v>1350</v>
      </c>
      <c r="P78" s="55">
        <v>2000</v>
      </c>
      <c r="Q78" s="55">
        <v>2000</v>
      </c>
      <c r="R78" s="55">
        <v>3364</v>
      </c>
      <c r="S78" s="55">
        <v>2100</v>
      </c>
      <c r="T78" s="55">
        <v>2100</v>
      </c>
      <c r="U78" s="55">
        <v>2100</v>
      </c>
      <c r="V78" s="55">
        <v>2100</v>
      </c>
      <c r="W78" s="55">
        <f>3300-1000</f>
        <v>2300</v>
      </c>
      <c r="X78" s="55">
        <v>5000</v>
      </c>
      <c r="Y78" s="55">
        <v>1700</v>
      </c>
      <c r="Z78" s="55">
        <v>1000</v>
      </c>
      <c r="AA78" s="55">
        <v>0</v>
      </c>
      <c r="AB78" s="55">
        <f>0-100</f>
        <v>-100</v>
      </c>
      <c r="AC78" s="55">
        <f>4233+2100</f>
        <v>6333</v>
      </c>
      <c r="AD78" s="55">
        <v>2100</v>
      </c>
      <c r="AE78" s="76">
        <v>2560</v>
      </c>
      <c r="AF78" s="55">
        <v>2560</v>
      </c>
      <c r="AG78" s="55">
        <v>5000</v>
      </c>
      <c r="AH78" s="55">
        <v>2850</v>
      </c>
      <c r="AI78" s="55">
        <v>2560</v>
      </c>
      <c r="AJ78" s="55">
        <v>2560</v>
      </c>
      <c r="AK78" s="55"/>
      <c r="AL78" s="55">
        <v>5120</v>
      </c>
      <c r="AM78" s="55">
        <v>2560</v>
      </c>
      <c r="AN78" s="55">
        <v>2560</v>
      </c>
      <c r="AO78" s="55">
        <v>2860</v>
      </c>
      <c r="AP78" s="55">
        <v>10000</v>
      </c>
      <c r="AQ78" s="55">
        <v>2860</v>
      </c>
      <c r="AR78" s="55">
        <v>2850</v>
      </c>
      <c r="AS78" s="55">
        <v>2850</v>
      </c>
      <c r="AT78" s="55">
        <v>10000</v>
      </c>
      <c r="AU78" s="55">
        <v>20000</v>
      </c>
      <c r="AV78" s="55">
        <v>2880</v>
      </c>
      <c r="AW78" s="55">
        <v>2860</v>
      </c>
      <c r="AX78" s="55">
        <v>2860</v>
      </c>
      <c r="AY78" s="55">
        <v>3470</v>
      </c>
      <c r="AZ78" s="55">
        <v>3470</v>
      </c>
      <c r="BA78" s="55">
        <v>3470</v>
      </c>
      <c r="BB78" s="55">
        <v>3470</v>
      </c>
      <c r="BC78" s="55">
        <v>3470</v>
      </c>
      <c r="BD78" s="55">
        <v>3470</v>
      </c>
      <c r="BE78" s="55">
        <v>3470</v>
      </c>
      <c r="BF78" s="55"/>
      <c r="BG78" s="55">
        <v>6940</v>
      </c>
      <c r="BH78" s="55"/>
      <c r="BI78" s="55">
        <v>6940</v>
      </c>
      <c r="BJ78" s="55"/>
      <c r="BK78" s="55">
        <v>6940</v>
      </c>
      <c r="BL78" s="55"/>
      <c r="BM78" s="55">
        <v>6940</v>
      </c>
      <c r="BN78" s="55"/>
      <c r="BO78" s="55">
        <v>6940</v>
      </c>
      <c r="BP78" s="55">
        <v>1200</v>
      </c>
      <c r="BQ78" s="55">
        <v>500</v>
      </c>
      <c r="BR78" s="55">
        <v>6440</v>
      </c>
      <c r="BS78" s="55">
        <v>3470</v>
      </c>
      <c r="BT78" s="55">
        <v>3470</v>
      </c>
      <c r="BU78" s="55">
        <v>3470</v>
      </c>
      <c r="BV78" s="55">
        <v>3020</v>
      </c>
      <c r="BW78" s="55">
        <v>3870</v>
      </c>
      <c r="BX78" s="55">
        <v>11800</v>
      </c>
      <c r="BY78" s="55">
        <v>3670</v>
      </c>
      <c r="BZ78" s="55">
        <v>3670</v>
      </c>
      <c r="CA78" s="55">
        <v>3670</v>
      </c>
      <c r="CB78" s="55">
        <f>2301+1169</f>
        <v>3470</v>
      </c>
      <c r="CC78" s="55">
        <f>3470+200</f>
        <v>3670</v>
      </c>
      <c r="CD78" s="55">
        <v>3670</v>
      </c>
      <c r="CE78" s="55">
        <v>3670</v>
      </c>
      <c r="CF78" s="55">
        <v>3670</v>
      </c>
      <c r="CG78" s="55">
        <f>6690+3470</f>
        <v>10160</v>
      </c>
      <c r="CH78" s="55">
        <v>3470</v>
      </c>
      <c r="CI78" s="55"/>
      <c r="CJ78" s="55">
        <f>3470+3470</f>
        <v>6940</v>
      </c>
      <c r="CK78" s="55">
        <v>3470</v>
      </c>
      <c r="CL78" s="55"/>
      <c r="CM78" s="55"/>
    </row>
    <row r="79" spans="1:91" x14ac:dyDescent="0.15">
      <c r="A79" s="35">
        <v>34</v>
      </c>
      <c r="B79" s="36" t="s">
        <v>86</v>
      </c>
      <c r="C79" s="35" t="s">
        <v>104</v>
      </c>
      <c r="D79" s="37" t="str">
        <f t="shared" si="7"/>
        <v>Jaya Prakash</v>
      </c>
      <c r="K79" s="55">
        <v>2000</v>
      </c>
      <c r="L79" s="55">
        <v>2000</v>
      </c>
      <c r="M79" s="55">
        <v>1699</v>
      </c>
      <c r="N79" s="55">
        <v>1640</v>
      </c>
      <c r="O79" s="55">
        <v>1860</v>
      </c>
      <c r="P79" s="55">
        <v>2500</v>
      </c>
      <c r="Q79" s="55">
        <v>2500</v>
      </c>
      <c r="R79" s="55">
        <f>300+2100</f>
        <v>2400</v>
      </c>
      <c r="S79" s="55">
        <v>2150</v>
      </c>
      <c r="T79" s="55">
        <v>2200</v>
      </c>
      <c r="U79" s="55">
        <v>2150</v>
      </c>
      <c r="V79" s="55">
        <v>2100</v>
      </c>
      <c r="W79" s="55">
        <v>2150</v>
      </c>
      <c r="X79" s="55">
        <v>5000</v>
      </c>
      <c r="Y79" s="55">
        <v>1700</v>
      </c>
      <c r="Z79" s="55">
        <v>1000</v>
      </c>
      <c r="AA79" s="55">
        <f>2150-1000</f>
        <v>1150</v>
      </c>
      <c r="AB79" s="55">
        <v>2150</v>
      </c>
      <c r="AC79" s="55">
        <v>2150</v>
      </c>
      <c r="AD79" s="55">
        <v>2150</v>
      </c>
      <c r="AE79" s="76">
        <v>3500</v>
      </c>
      <c r="AF79" s="55">
        <v>2650</v>
      </c>
      <c r="AG79" s="55">
        <v>5000</v>
      </c>
      <c r="AH79" s="55">
        <v>2650</v>
      </c>
      <c r="AI79" s="55">
        <v>2650</v>
      </c>
      <c r="AJ79" s="55">
        <v>2650</v>
      </c>
      <c r="AK79" s="55">
        <v>2606</v>
      </c>
      <c r="AL79" s="55">
        <v>3000</v>
      </c>
      <c r="AM79" s="55">
        <v>3000</v>
      </c>
      <c r="AN79" s="55">
        <v>2500</v>
      </c>
      <c r="AO79" s="55">
        <v>3000</v>
      </c>
      <c r="AP79" s="55">
        <v>10000</v>
      </c>
      <c r="AQ79" s="55">
        <v>3000</v>
      </c>
      <c r="AR79" s="55">
        <v>3000</v>
      </c>
      <c r="AS79" s="55">
        <v>2100</v>
      </c>
      <c r="AT79" s="55">
        <v>10000</v>
      </c>
      <c r="AU79" s="55"/>
      <c r="AV79" s="55">
        <v>3000</v>
      </c>
      <c r="AW79" s="55">
        <v>3000</v>
      </c>
      <c r="AX79" s="55"/>
      <c r="AY79" s="55">
        <v>6500</v>
      </c>
      <c r="AZ79" s="55">
        <v>3200</v>
      </c>
      <c r="BA79" s="55"/>
      <c r="BB79" s="55">
        <v>7000</v>
      </c>
      <c r="BC79" s="55">
        <v>3500</v>
      </c>
      <c r="BD79" s="55">
        <v>3500</v>
      </c>
      <c r="BE79" s="55">
        <v>3700</v>
      </c>
      <c r="BF79" s="55"/>
      <c r="BG79" s="55">
        <v>7000</v>
      </c>
      <c r="BH79" s="55"/>
      <c r="BI79" s="55">
        <v>7000</v>
      </c>
      <c r="BJ79" s="55"/>
      <c r="BK79" s="55">
        <v>7000</v>
      </c>
      <c r="BL79" s="55"/>
      <c r="BM79" s="55">
        <v>8000</v>
      </c>
      <c r="BN79" s="55">
        <v>3500</v>
      </c>
      <c r="BO79" s="55">
        <v>3500</v>
      </c>
      <c r="BP79" s="55">
        <v>1200</v>
      </c>
      <c r="BQ79" s="55">
        <v>3800</v>
      </c>
      <c r="BR79" s="55"/>
      <c r="BS79" s="55">
        <v>7000</v>
      </c>
      <c r="BT79" s="55"/>
      <c r="BU79" s="55"/>
      <c r="BV79" s="55">
        <v>11000</v>
      </c>
      <c r="BW79" s="55"/>
      <c r="BX79" s="55">
        <v>13500</v>
      </c>
      <c r="BY79" s="55"/>
      <c r="BZ79" s="55">
        <v>10000</v>
      </c>
      <c r="CA79" s="55">
        <v>10000</v>
      </c>
      <c r="CB79" s="55">
        <v>5000</v>
      </c>
      <c r="CC79" s="55">
        <v>5000</v>
      </c>
      <c r="CD79" s="55">
        <v>4000</v>
      </c>
      <c r="CE79" s="55">
        <v>10000</v>
      </c>
      <c r="CF79" s="55">
        <v>4000</v>
      </c>
      <c r="CG79" s="55"/>
      <c r="CH79" s="55">
        <v>8000</v>
      </c>
      <c r="CI79" s="55">
        <v>7000</v>
      </c>
      <c r="CJ79" s="55">
        <v>5000</v>
      </c>
      <c r="CK79" s="55">
        <v>4000</v>
      </c>
      <c r="CL79" s="55"/>
      <c r="CM79" s="55"/>
    </row>
    <row r="80" spans="1:91" x14ac:dyDescent="0.15">
      <c r="A80" s="35">
        <v>35</v>
      </c>
      <c r="B80" s="36" t="s">
        <v>88</v>
      </c>
      <c r="C80" s="35" t="s">
        <v>104</v>
      </c>
      <c r="D80" s="37" t="str">
        <f t="shared" si="7"/>
        <v>Mahesh Suragimath</v>
      </c>
      <c r="K80" s="55">
        <v>2000</v>
      </c>
      <c r="L80" s="55">
        <v>2000</v>
      </c>
      <c r="M80" s="55">
        <v>2000</v>
      </c>
      <c r="N80" s="55">
        <v>2000</v>
      </c>
      <c r="O80" s="55">
        <v>2000</v>
      </c>
      <c r="P80" s="55">
        <v>2000</v>
      </c>
      <c r="Q80" s="55">
        <v>2411</v>
      </c>
      <c r="R80" s="55">
        <v>2150</v>
      </c>
      <c r="S80" s="55">
        <v>2150</v>
      </c>
      <c r="T80" s="55">
        <v>0</v>
      </c>
      <c r="U80" s="55">
        <v>2200</v>
      </c>
      <c r="V80" s="55">
        <v>4500</v>
      </c>
      <c r="W80" s="55">
        <v>0</v>
      </c>
      <c r="X80" s="55">
        <v>5000</v>
      </c>
      <c r="Y80" s="55">
        <v>1700</v>
      </c>
      <c r="Z80" s="55">
        <v>1000</v>
      </c>
      <c r="AA80" s="55">
        <f>5000-1000</f>
        <v>4000</v>
      </c>
      <c r="AB80" s="55"/>
      <c r="AC80" s="55"/>
      <c r="AD80" s="55">
        <v>4000</v>
      </c>
      <c r="AE80" s="76"/>
      <c r="AF80" s="55">
        <v>7000</v>
      </c>
      <c r="AG80" s="55">
        <v>5000</v>
      </c>
      <c r="AH80" s="55">
        <v>3000</v>
      </c>
      <c r="AI80" s="55"/>
      <c r="AJ80" s="55">
        <v>5340</v>
      </c>
      <c r="AK80" s="55">
        <v>2000</v>
      </c>
      <c r="AL80" s="55">
        <v>2620</v>
      </c>
      <c r="AM80" s="55">
        <v>2620</v>
      </c>
      <c r="AN80" s="55">
        <v>2620</v>
      </c>
      <c r="AO80" s="55">
        <v>2000</v>
      </c>
      <c r="AP80" s="55">
        <v>10000</v>
      </c>
      <c r="AQ80" s="55">
        <v>5240</v>
      </c>
      <c r="AR80" s="55">
        <v>3000</v>
      </c>
      <c r="AS80" s="55">
        <v>2900</v>
      </c>
      <c r="AT80" s="55">
        <v>10000</v>
      </c>
      <c r="AU80" s="55">
        <v>30000</v>
      </c>
      <c r="AV80" s="55">
        <v>2900</v>
      </c>
      <c r="AW80" s="55">
        <v>2900</v>
      </c>
      <c r="AX80" s="55"/>
      <c r="AY80" s="55">
        <v>5800</v>
      </c>
      <c r="AZ80" s="55"/>
      <c r="BA80" s="55"/>
      <c r="BB80" s="55">
        <v>5000</v>
      </c>
      <c r="BC80" s="55"/>
      <c r="BD80" s="55">
        <v>5000</v>
      </c>
      <c r="BE80" s="55"/>
      <c r="BF80" s="55"/>
      <c r="BG80" s="55">
        <v>10000</v>
      </c>
      <c r="BH80" s="55"/>
      <c r="BI80" s="55">
        <v>3765</v>
      </c>
      <c r="BJ80" s="55"/>
      <c r="BK80" s="55"/>
      <c r="BL80" s="55"/>
      <c r="BM80" s="55"/>
      <c r="BN80" s="55">
        <v>10000</v>
      </c>
      <c r="BO80" s="55"/>
      <c r="BP80" s="55"/>
      <c r="BQ80" s="55">
        <v>5000</v>
      </c>
      <c r="BR80" s="55"/>
      <c r="BS80" s="55">
        <v>10000</v>
      </c>
      <c r="BT80" s="55"/>
      <c r="BU80" s="55"/>
      <c r="BV80" s="55"/>
      <c r="BW80" s="55"/>
      <c r="BX80" s="55">
        <v>20000</v>
      </c>
      <c r="BY80" s="55">
        <v>5000</v>
      </c>
      <c r="BZ80" s="55"/>
      <c r="CA80" s="55">
        <v>19985</v>
      </c>
      <c r="CB80" s="55"/>
      <c r="CC80" s="55"/>
      <c r="CD80" s="55"/>
      <c r="CE80" s="55">
        <v>17000</v>
      </c>
      <c r="CF80" s="55"/>
      <c r="CG80" s="55"/>
      <c r="CH80" s="55"/>
      <c r="CI80" s="55"/>
      <c r="CJ80" s="55"/>
      <c r="CK80" s="55"/>
      <c r="CL80" s="55">
        <v>25954</v>
      </c>
      <c r="CM80" s="55"/>
    </row>
    <row r="81" spans="1:91" x14ac:dyDescent="0.15">
      <c r="A81" s="35">
        <v>36</v>
      </c>
      <c r="B81" s="36" t="s">
        <v>90</v>
      </c>
      <c r="C81" s="35" t="s">
        <v>104</v>
      </c>
      <c r="D81" s="37" t="str">
        <f t="shared" si="7"/>
        <v>Divang Sharma</v>
      </c>
      <c r="K81" s="55">
        <v>2000</v>
      </c>
      <c r="L81" s="55">
        <v>2000</v>
      </c>
      <c r="M81" s="55">
        <v>2000</v>
      </c>
      <c r="N81" s="55">
        <v>2000</v>
      </c>
      <c r="O81" s="55">
        <v>1000</v>
      </c>
      <c r="P81" s="55">
        <v>0</v>
      </c>
      <c r="Q81" s="55">
        <v>0</v>
      </c>
      <c r="R81" s="55">
        <f>1550</f>
        <v>1550</v>
      </c>
      <c r="S81" s="55">
        <v>4500</v>
      </c>
      <c r="T81" s="55">
        <f>(2680+1000+2100)</f>
        <v>5780</v>
      </c>
      <c r="U81" s="55">
        <v>795</v>
      </c>
      <c r="V81" s="55">
        <v>3500</v>
      </c>
      <c r="W81" s="55">
        <v>2200</v>
      </c>
      <c r="X81" s="55">
        <v>5000</v>
      </c>
      <c r="Y81" s="55">
        <v>1200</v>
      </c>
      <c r="Z81" s="55">
        <v>1000</v>
      </c>
      <c r="AA81" s="55">
        <v>0</v>
      </c>
      <c r="AB81" s="55">
        <f>4000-1000</f>
        <v>3000</v>
      </c>
      <c r="AC81" s="55"/>
      <c r="AD81" s="55">
        <v>3000</v>
      </c>
      <c r="AE81" s="76">
        <v>2500</v>
      </c>
      <c r="AF81" s="55">
        <v>5500</v>
      </c>
      <c r="AG81" s="55">
        <v>5000</v>
      </c>
      <c r="AH81" s="55">
        <v>2650</v>
      </c>
      <c r="AI81" s="55">
        <v>2650</v>
      </c>
      <c r="AJ81" s="55">
        <v>2000</v>
      </c>
      <c r="AK81" s="55">
        <v>3500</v>
      </c>
      <c r="AL81" s="55">
        <v>2700</v>
      </c>
      <c r="AM81" s="55">
        <v>2500</v>
      </c>
      <c r="AN81" s="55">
        <v>2600</v>
      </c>
      <c r="AO81" s="55">
        <v>3000</v>
      </c>
      <c r="AP81" s="55"/>
      <c r="AQ81" s="55">
        <v>3000</v>
      </c>
      <c r="AR81" s="55"/>
      <c r="AS81" s="55">
        <v>5000</v>
      </c>
      <c r="AT81" s="55"/>
      <c r="AU81" s="55"/>
      <c r="AV81" s="55">
        <v>3500</v>
      </c>
      <c r="AW81" s="55">
        <v>5000</v>
      </c>
      <c r="AX81" s="55">
        <v>5000</v>
      </c>
      <c r="AY81" s="55"/>
      <c r="AZ81" s="55"/>
      <c r="BA81" s="55"/>
      <c r="BB81" s="55"/>
      <c r="BC81" s="55"/>
      <c r="BD81" s="55"/>
      <c r="BE81" s="55"/>
      <c r="BF81" s="55"/>
      <c r="BG81" s="55">
        <v>5000</v>
      </c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>
        <v>7300</v>
      </c>
      <c r="BW81" s="55">
        <v>3750</v>
      </c>
      <c r="BX81" s="55">
        <v>3750</v>
      </c>
      <c r="BY81" s="55">
        <v>7500</v>
      </c>
      <c r="BZ81" s="55">
        <v>3750</v>
      </c>
      <c r="CA81" s="55"/>
      <c r="CB81" s="55">
        <v>3750</v>
      </c>
      <c r="CC81" s="55">
        <v>3750</v>
      </c>
      <c r="CD81" s="55">
        <f>3750+11678</f>
        <v>15428</v>
      </c>
      <c r="CE81" s="55">
        <f>3750+11678</f>
        <v>15428</v>
      </c>
      <c r="CF81" s="55">
        <f>3750+11678+3750+11678</f>
        <v>30856</v>
      </c>
      <c r="CG81" s="55">
        <v>6500</v>
      </c>
      <c r="CH81" s="55">
        <v>3750</v>
      </c>
      <c r="CI81" s="55">
        <f>3750+11678</f>
        <v>15428</v>
      </c>
      <c r="CJ81" s="55">
        <f>3750+11678</f>
        <v>15428</v>
      </c>
      <c r="CK81" s="55">
        <f>3750+11678</f>
        <v>15428</v>
      </c>
      <c r="CL81" s="55">
        <f>3750</f>
        <v>3750</v>
      </c>
      <c r="CM81" s="55"/>
    </row>
    <row r="82" spans="1:91" x14ac:dyDescent="0.15">
      <c r="A82" s="35"/>
      <c r="B82" s="36"/>
      <c r="C82" s="35"/>
      <c r="D82" s="37" t="s">
        <v>120</v>
      </c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76"/>
      <c r="AF82" s="55"/>
      <c r="AG82" s="55"/>
      <c r="AH82" s="55"/>
      <c r="AI82" s="55"/>
      <c r="AJ82" s="55"/>
      <c r="AK82" s="55">
        <v>2000</v>
      </c>
      <c r="AL82" s="55">
        <v>1950</v>
      </c>
      <c r="AM82" s="55">
        <f>1700+300</f>
        <v>2000</v>
      </c>
      <c r="AN82" s="55">
        <f>400+200</f>
        <v>600</v>
      </c>
      <c r="AO82" s="55"/>
      <c r="AP82" s="55"/>
      <c r="AQ82" s="55"/>
      <c r="AR82" s="55">
        <f>500+500</f>
        <v>1000</v>
      </c>
      <c r="AS82" s="55">
        <v>500</v>
      </c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>
        <v>500</v>
      </c>
      <c r="BE82" s="55"/>
      <c r="BF82" s="55">
        <f>250+500+250</f>
        <v>1000</v>
      </c>
      <c r="BG82" s="55"/>
      <c r="BH82" s="55"/>
      <c r="BI82" s="55"/>
      <c r="BJ82" s="55"/>
      <c r="BK82" s="55"/>
      <c r="BL82" s="55"/>
      <c r="BM82" s="55"/>
      <c r="BN82" s="55">
        <v>15000</v>
      </c>
      <c r="BO82" s="55"/>
      <c r="BP82" s="55"/>
      <c r="BQ82" s="55">
        <v>300</v>
      </c>
      <c r="BR82" s="55"/>
      <c r="BS82" s="55"/>
      <c r="BT82" s="55">
        <v>1250</v>
      </c>
      <c r="BU82" s="55">
        <v>250</v>
      </c>
      <c r="BV82" s="55">
        <v>250</v>
      </c>
      <c r="BW82" s="55"/>
      <c r="BX82" s="55">
        <v>500</v>
      </c>
      <c r="BY82" s="55"/>
      <c r="BZ82" s="55">
        <v>250</v>
      </c>
      <c r="CA82" s="55"/>
      <c r="CB82" s="55">
        <v>250</v>
      </c>
      <c r="CC82" s="55">
        <v>8240</v>
      </c>
      <c r="CD82" s="55">
        <v>500</v>
      </c>
      <c r="CE82" s="55"/>
      <c r="CF82" s="55"/>
      <c r="CG82" s="55">
        <v>3250</v>
      </c>
      <c r="CH82" s="55">
        <v>3250</v>
      </c>
      <c r="CI82" s="55"/>
      <c r="CJ82" s="55"/>
      <c r="CK82" s="55">
        <v>21000</v>
      </c>
      <c r="CL82" s="55"/>
      <c r="CM82" s="55"/>
    </row>
    <row r="83" spans="1:91" x14ac:dyDescent="0.15">
      <c r="K83" s="58">
        <f t="shared" ref="K83:BS83" si="8">SUM(K46:K81)</f>
        <v>62000</v>
      </c>
      <c r="L83" s="58">
        <f t="shared" si="8"/>
        <v>58383</v>
      </c>
      <c r="M83" s="58">
        <f t="shared" si="8"/>
        <v>52774</v>
      </c>
      <c r="N83" s="58">
        <f t="shared" si="8"/>
        <v>46105</v>
      </c>
      <c r="O83" s="58">
        <f t="shared" si="8"/>
        <v>53790</v>
      </c>
      <c r="P83" s="58">
        <f t="shared" si="8"/>
        <v>67889</v>
      </c>
      <c r="Q83" s="58">
        <f t="shared" si="8"/>
        <v>76478</v>
      </c>
      <c r="R83" s="58">
        <f t="shared" si="8"/>
        <v>62926</v>
      </c>
      <c r="S83" s="58">
        <f t="shared" si="8"/>
        <v>72165</v>
      </c>
      <c r="T83" s="58">
        <f t="shared" si="8"/>
        <v>58334</v>
      </c>
      <c r="U83" s="58">
        <f t="shared" si="8"/>
        <v>48420</v>
      </c>
      <c r="V83" s="58">
        <f t="shared" si="8"/>
        <v>73390</v>
      </c>
      <c r="W83" s="58">
        <f t="shared" si="8"/>
        <v>63119</v>
      </c>
      <c r="X83" s="58">
        <f t="shared" si="8"/>
        <v>165000</v>
      </c>
      <c r="Y83" s="58">
        <f t="shared" si="8"/>
        <v>56200</v>
      </c>
      <c r="Z83" s="58">
        <f t="shared" si="8"/>
        <v>32000</v>
      </c>
      <c r="AA83" s="58">
        <f t="shared" si="8"/>
        <v>70093</v>
      </c>
      <c r="AB83" s="58">
        <f t="shared" si="8"/>
        <v>65185</v>
      </c>
      <c r="AC83" s="58">
        <f t="shared" si="8"/>
        <v>59321</v>
      </c>
      <c r="AD83" s="58">
        <f t="shared" si="8"/>
        <v>68765</v>
      </c>
      <c r="AE83" s="58">
        <f t="shared" si="8"/>
        <v>68980</v>
      </c>
      <c r="AF83" s="58">
        <f t="shared" si="8"/>
        <v>121665</v>
      </c>
      <c r="AG83" s="58">
        <f t="shared" si="8"/>
        <v>158000</v>
      </c>
      <c r="AH83" s="58">
        <f t="shared" si="8"/>
        <v>83210</v>
      </c>
      <c r="AI83" s="58">
        <f t="shared" si="8"/>
        <v>76702</v>
      </c>
      <c r="AJ83" s="58">
        <f t="shared" si="8"/>
        <v>77820</v>
      </c>
      <c r="AK83" s="58">
        <f t="shared" si="8"/>
        <v>87136</v>
      </c>
      <c r="AL83" s="58">
        <f t="shared" si="8"/>
        <v>80830</v>
      </c>
      <c r="AM83" s="58">
        <f t="shared" si="8"/>
        <v>80590</v>
      </c>
      <c r="AN83" s="58">
        <f t="shared" si="8"/>
        <v>72790</v>
      </c>
      <c r="AO83" s="58">
        <f t="shared" si="8"/>
        <v>84295</v>
      </c>
      <c r="AP83" s="58">
        <f t="shared" si="8"/>
        <v>310000</v>
      </c>
      <c r="AQ83" s="58">
        <f t="shared" si="8"/>
        <v>83360</v>
      </c>
      <c r="AR83" s="58">
        <f t="shared" si="8"/>
        <v>75620</v>
      </c>
      <c r="AS83" s="58">
        <f t="shared" si="8"/>
        <v>81880</v>
      </c>
      <c r="AT83" s="58">
        <f t="shared" si="8"/>
        <v>320000</v>
      </c>
      <c r="AU83" s="58">
        <f t="shared" si="8"/>
        <v>568620</v>
      </c>
      <c r="AV83" s="58">
        <f t="shared" si="8"/>
        <v>80630</v>
      </c>
      <c r="AW83" s="58">
        <f t="shared" si="8"/>
        <v>81380</v>
      </c>
      <c r="AX83" s="58">
        <f t="shared" si="8"/>
        <v>91290</v>
      </c>
      <c r="AY83" s="58">
        <f t="shared" si="8"/>
        <v>83680</v>
      </c>
      <c r="AZ83" s="58">
        <f t="shared" si="8"/>
        <v>99200</v>
      </c>
      <c r="BA83" s="58">
        <f t="shared" si="8"/>
        <v>83290</v>
      </c>
      <c r="BB83" s="58">
        <f t="shared" si="8"/>
        <v>89420</v>
      </c>
      <c r="BC83" s="58">
        <f t="shared" si="8"/>
        <v>81970</v>
      </c>
      <c r="BD83" s="58">
        <f t="shared" si="8"/>
        <v>101130</v>
      </c>
      <c r="BE83" s="58">
        <f t="shared" si="8"/>
        <v>111320</v>
      </c>
      <c r="BF83" s="58">
        <f t="shared" si="8"/>
        <v>89934</v>
      </c>
      <c r="BG83" s="58">
        <f t="shared" si="8"/>
        <v>134320</v>
      </c>
      <c r="BH83" s="58">
        <f t="shared" si="8"/>
        <v>70861</v>
      </c>
      <c r="BI83" s="58">
        <f t="shared" si="8"/>
        <v>116663</v>
      </c>
      <c r="BJ83" s="58">
        <f t="shared" si="8"/>
        <v>81368</v>
      </c>
      <c r="BK83" s="58">
        <f t="shared" si="8"/>
        <v>111118</v>
      </c>
      <c r="BL83" s="58">
        <f t="shared" si="8"/>
        <v>63350</v>
      </c>
      <c r="BM83" s="58">
        <f t="shared" si="8"/>
        <v>139819</v>
      </c>
      <c r="BN83" s="58">
        <f t="shared" si="8"/>
        <v>105940</v>
      </c>
      <c r="BO83" s="58">
        <f t="shared" si="8"/>
        <v>128434</v>
      </c>
      <c r="BP83" s="58">
        <f t="shared" si="8"/>
        <v>18600</v>
      </c>
      <c r="BQ83" s="58">
        <f t="shared" si="8"/>
        <v>118556</v>
      </c>
      <c r="BR83" s="58">
        <f t="shared" si="8"/>
        <v>83875</v>
      </c>
      <c r="BS83" s="58">
        <f t="shared" si="8"/>
        <v>91669</v>
      </c>
      <c r="BT83" s="58">
        <f>SUM(BT46:BT82)</f>
        <v>84130</v>
      </c>
      <c r="BU83" s="58">
        <f>SUM(BU46:BU82)</f>
        <v>120070</v>
      </c>
      <c r="BV83" s="58">
        <f t="shared" ref="BV83:CJ83" si="9">SUM(BV46:BV82)</f>
        <v>114255</v>
      </c>
      <c r="BW83" s="58">
        <f t="shared" si="9"/>
        <v>104500</v>
      </c>
      <c r="BX83" s="58">
        <f t="shared" si="9"/>
        <v>281301</v>
      </c>
      <c r="BY83" s="58">
        <f t="shared" si="9"/>
        <v>143468.5</v>
      </c>
      <c r="BZ83" s="58">
        <f t="shared" si="9"/>
        <v>170550</v>
      </c>
      <c r="CA83" s="58">
        <f t="shared" si="9"/>
        <v>132451</v>
      </c>
      <c r="CB83" s="58">
        <f t="shared" si="9"/>
        <v>90830</v>
      </c>
      <c r="CC83" s="58">
        <f t="shared" si="9"/>
        <v>124640</v>
      </c>
      <c r="CD83" s="58">
        <f t="shared" si="9"/>
        <v>148418</v>
      </c>
      <c r="CE83" s="58">
        <f t="shared" si="9"/>
        <v>198588</v>
      </c>
      <c r="CF83" s="58">
        <f t="shared" si="9"/>
        <v>207688</v>
      </c>
      <c r="CG83" s="58">
        <f t="shared" si="9"/>
        <v>135799</v>
      </c>
      <c r="CH83" s="58">
        <f t="shared" si="9"/>
        <v>132382</v>
      </c>
      <c r="CI83" s="58">
        <f t="shared" si="9"/>
        <v>126593</v>
      </c>
      <c r="CJ83" s="58">
        <f t="shared" si="9"/>
        <v>134358</v>
      </c>
      <c r="CK83" s="58">
        <f>SUM(CK46:CK82)</f>
        <v>168790</v>
      </c>
      <c r="CL83" s="58">
        <f>SUM(CL46:CL82)</f>
        <v>72854</v>
      </c>
      <c r="CM83" s="55"/>
    </row>
    <row r="87" spans="1:91" x14ac:dyDescent="0.15">
      <c r="K87" s="59" t="s">
        <v>112</v>
      </c>
      <c r="L87" s="51"/>
    </row>
    <row r="88" spans="1:91" x14ac:dyDescent="0.15">
      <c r="A88" s="28" t="s">
        <v>114</v>
      </c>
      <c r="K88" s="61">
        <v>40483</v>
      </c>
      <c r="L88" s="61">
        <v>40513</v>
      </c>
      <c r="M88" s="61">
        <v>40544</v>
      </c>
      <c r="N88" s="61">
        <v>40575</v>
      </c>
      <c r="O88" s="61">
        <v>40603</v>
      </c>
      <c r="P88" s="61">
        <v>40634</v>
      </c>
      <c r="Q88" s="61">
        <v>40664</v>
      </c>
      <c r="R88" s="61">
        <v>40695</v>
      </c>
      <c r="S88" s="61">
        <v>40725</v>
      </c>
      <c r="T88" s="61">
        <v>40756</v>
      </c>
      <c r="U88" s="61">
        <v>40787</v>
      </c>
      <c r="V88" s="61">
        <v>40817</v>
      </c>
      <c r="W88" s="61">
        <v>40848</v>
      </c>
      <c r="X88" s="62" t="s">
        <v>101</v>
      </c>
      <c r="Y88" s="62" t="s">
        <v>102</v>
      </c>
      <c r="Z88" s="62" t="s">
        <v>113</v>
      </c>
      <c r="AA88" s="61">
        <v>40878</v>
      </c>
      <c r="AB88" s="61">
        <v>40909</v>
      </c>
      <c r="AC88" s="61">
        <v>40940</v>
      </c>
      <c r="AD88" s="61">
        <v>40969</v>
      </c>
      <c r="AE88" s="61">
        <v>41000</v>
      </c>
      <c r="AF88" s="61">
        <v>41030</v>
      </c>
      <c r="AG88" s="61">
        <v>41061</v>
      </c>
      <c r="AH88" s="61">
        <v>41091</v>
      </c>
      <c r="AI88" s="61">
        <v>41122</v>
      </c>
      <c r="AJ88" s="61">
        <v>41153</v>
      </c>
      <c r="AK88" s="61">
        <v>41183</v>
      </c>
      <c r="AL88" s="61">
        <v>41214</v>
      </c>
      <c r="AM88" s="61">
        <v>41244</v>
      </c>
      <c r="AN88" s="61">
        <v>41275</v>
      </c>
      <c r="AO88" s="61">
        <v>41306</v>
      </c>
      <c r="AP88" s="61" t="s">
        <v>121</v>
      </c>
      <c r="AQ88" s="61">
        <v>41334</v>
      </c>
      <c r="AR88" s="61">
        <v>41365</v>
      </c>
      <c r="AS88" s="61">
        <v>41395</v>
      </c>
      <c r="AT88" s="88" t="s">
        <v>123</v>
      </c>
      <c r="AU88" s="61" t="s">
        <v>122</v>
      </c>
      <c r="AV88" s="61">
        <v>41395</v>
      </c>
      <c r="AW88" s="61">
        <v>41426</v>
      </c>
      <c r="AX88" s="61">
        <v>41456</v>
      </c>
      <c r="AY88" s="61">
        <v>41487</v>
      </c>
      <c r="AZ88" s="61">
        <v>41518</v>
      </c>
      <c r="BA88" s="61">
        <v>41548</v>
      </c>
      <c r="BB88" s="61">
        <v>41579</v>
      </c>
      <c r="BC88" s="61">
        <v>41609</v>
      </c>
      <c r="BD88" s="61">
        <v>41640</v>
      </c>
      <c r="BE88" s="61">
        <v>41671</v>
      </c>
      <c r="BF88" s="61">
        <v>41699</v>
      </c>
      <c r="BG88" s="61">
        <v>41730</v>
      </c>
      <c r="BH88" s="61">
        <v>41760</v>
      </c>
      <c r="BI88" s="61">
        <v>41791</v>
      </c>
      <c r="BJ88" s="61">
        <v>41821</v>
      </c>
    </row>
    <row r="89" spans="1:91" x14ac:dyDescent="0.15">
      <c r="A89" s="35">
        <v>1</v>
      </c>
      <c r="B89" s="36" t="s">
        <v>7</v>
      </c>
      <c r="C89" s="35" t="s">
        <v>103</v>
      </c>
      <c r="D89" s="37" t="str">
        <f>D3</f>
        <v>Manas Dash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0"/>
      <c r="AB89" s="60"/>
      <c r="AC89" s="63"/>
      <c r="AD89" s="63"/>
      <c r="AE89" s="74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</row>
    <row r="90" spans="1:91" x14ac:dyDescent="0.15">
      <c r="A90" s="35">
        <v>2</v>
      </c>
      <c r="B90" s="36" t="s">
        <v>10</v>
      </c>
      <c r="C90" s="35" t="s">
        <v>103</v>
      </c>
      <c r="D90" s="37" t="str">
        <f t="shared" ref="D90:D124" si="10">D4</f>
        <v>Manoj Nair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0"/>
      <c r="AB90" s="60"/>
      <c r="AC90" s="63"/>
      <c r="AD90" s="63"/>
      <c r="AE90" s="74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</row>
    <row r="91" spans="1:91" x14ac:dyDescent="0.15">
      <c r="A91" s="35">
        <v>3</v>
      </c>
      <c r="B91" s="36">
        <v>201</v>
      </c>
      <c r="C91" s="35" t="s">
        <v>103</v>
      </c>
      <c r="D91" s="37" t="str">
        <f t="shared" si="10"/>
        <v>Jay Krishan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0"/>
      <c r="AB91" s="60"/>
      <c r="AC91" s="63">
        <v>100</v>
      </c>
      <c r="AD91" s="63"/>
      <c r="AE91" s="74"/>
      <c r="AF91" s="63"/>
      <c r="AG91" s="63">
        <v>500</v>
      </c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</row>
    <row r="92" spans="1:91" x14ac:dyDescent="0.15">
      <c r="A92" s="35">
        <v>4</v>
      </c>
      <c r="B92" s="36">
        <v>301</v>
      </c>
      <c r="C92" s="35" t="s">
        <v>103</v>
      </c>
      <c r="D92" s="37" t="str">
        <f t="shared" si="10"/>
        <v>Vinoy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0"/>
      <c r="AB92" s="60"/>
      <c r="AC92" s="63"/>
      <c r="AD92" s="63"/>
      <c r="AE92" s="74"/>
      <c r="AF92" s="63"/>
      <c r="AG92" s="63"/>
      <c r="AH92" s="63">
        <v>100</v>
      </c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</row>
    <row r="93" spans="1:91" x14ac:dyDescent="0.15">
      <c r="A93" s="35">
        <v>5</v>
      </c>
      <c r="B93" s="36" t="s">
        <v>17</v>
      </c>
      <c r="C93" s="35" t="s">
        <v>103</v>
      </c>
      <c r="D93" s="37" t="str">
        <f t="shared" si="10"/>
        <v>Karthik (Raja)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0">
        <v>100</v>
      </c>
      <c r="AB93" s="60"/>
      <c r="AC93" s="63"/>
      <c r="AD93" s="63"/>
      <c r="AE93" s="74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</row>
    <row r="94" spans="1:91" x14ac:dyDescent="0.15">
      <c r="A94" s="35">
        <v>6</v>
      </c>
      <c r="B94" s="36" t="s">
        <v>19</v>
      </c>
      <c r="C94" s="35" t="s">
        <v>103</v>
      </c>
      <c r="D94" s="37" t="str">
        <f t="shared" si="10"/>
        <v>Phani Krishna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0"/>
      <c r="AB94" s="60"/>
      <c r="AC94" s="63"/>
      <c r="AD94" s="63"/>
      <c r="AE94" s="74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</row>
    <row r="95" spans="1:91" x14ac:dyDescent="0.15">
      <c r="A95" s="42">
        <v>7</v>
      </c>
      <c r="B95" s="43" t="s">
        <v>22</v>
      </c>
      <c r="C95" s="42" t="s">
        <v>103</v>
      </c>
      <c r="D95" s="37" t="str">
        <f t="shared" si="10"/>
        <v>Subhash Chandra Gupta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0">
        <v>100</v>
      </c>
      <c r="AB95" s="60"/>
      <c r="AC95" s="63">
        <v>100</v>
      </c>
      <c r="AD95" s="63">
        <v>100</v>
      </c>
      <c r="AE95" s="74">
        <v>100</v>
      </c>
      <c r="AF95" s="63">
        <v>100</v>
      </c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</row>
    <row r="96" spans="1:91" x14ac:dyDescent="0.15">
      <c r="A96" s="35">
        <v>8</v>
      </c>
      <c r="B96" s="36" t="s">
        <v>25</v>
      </c>
      <c r="C96" s="35" t="s">
        <v>103</v>
      </c>
      <c r="D96" s="37" t="str">
        <f t="shared" si="10"/>
        <v>Satheesh S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0"/>
      <c r="AB96" s="60"/>
      <c r="AC96" s="63"/>
      <c r="AD96" s="63"/>
      <c r="AE96" s="74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</row>
    <row r="97" spans="1:62" x14ac:dyDescent="0.15">
      <c r="A97" s="42">
        <v>9</v>
      </c>
      <c r="B97" s="43" t="s">
        <v>28</v>
      </c>
      <c r="C97" s="42" t="s">
        <v>103</v>
      </c>
      <c r="D97" s="40" t="str">
        <f t="shared" si="10"/>
        <v>Sidda Raju</v>
      </c>
      <c r="E97" s="57"/>
      <c r="F97" s="57"/>
      <c r="G97" s="57"/>
      <c r="H97" s="57"/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0"/>
      <c r="AB97" s="60"/>
      <c r="AC97" s="63"/>
      <c r="AD97" s="63"/>
      <c r="AE97" s="74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</row>
    <row r="98" spans="1:62" x14ac:dyDescent="0.15">
      <c r="A98" s="35">
        <v>10</v>
      </c>
      <c r="B98" s="36" t="s">
        <v>31</v>
      </c>
      <c r="C98" s="35" t="s">
        <v>103</v>
      </c>
      <c r="D98" s="37" t="str">
        <f t="shared" si="10"/>
        <v>Shashi Prakash Krishna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0"/>
      <c r="AB98" s="60"/>
      <c r="AC98" s="63"/>
      <c r="AD98" s="63"/>
      <c r="AE98" s="74"/>
      <c r="AF98" s="63"/>
      <c r="AG98" s="63"/>
      <c r="AH98" s="63">
        <v>100</v>
      </c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</row>
    <row r="99" spans="1:62" x14ac:dyDescent="0.15">
      <c r="A99" s="35">
        <v>11</v>
      </c>
      <c r="B99" s="36" t="s">
        <v>34</v>
      </c>
      <c r="C99" s="35" t="s">
        <v>103</v>
      </c>
      <c r="D99" s="37" t="str">
        <f t="shared" si="10"/>
        <v>Philip George (Rahul)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0">
        <v>100</v>
      </c>
      <c r="W99" s="60">
        <v>100</v>
      </c>
      <c r="X99" s="63">
        <v>0</v>
      </c>
      <c r="Y99" s="63">
        <v>0</v>
      </c>
      <c r="Z99" s="63">
        <v>0</v>
      </c>
      <c r="AA99" s="60">
        <v>100</v>
      </c>
      <c r="AB99" s="60">
        <v>500</v>
      </c>
      <c r="AC99" s="63">
        <v>500</v>
      </c>
      <c r="AD99" s="63">
        <v>500</v>
      </c>
      <c r="AE99" s="74">
        <v>500</v>
      </c>
      <c r="AF99" s="63"/>
      <c r="AG99" s="63"/>
      <c r="AH99" s="63"/>
      <c r="AI99" s="63"/>
      <c r="AJ99" s="63"/>
      <c r="AK99" s="63"/>
      <c r="AL99" s="63"/>
      <c r="AM99" s="63"/>
      <c r="AN99" s="63">
        <v>500</v>
      </c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</row>
    <row r="100" spans="1:62" x14ac:dyDescent="0.15">
      <c r="A100" s="35">
        <v>12</v>
      </c>
      <c r="B100" s="36" t="s">
        <v>37</v>
      </c>
      <c r="C100" s="35" t="s">
        <v>103</v>
      </c>
      <c r="D100" s="37" t="str">
        <f t="shared" si="10"/>
        <v>Sanjib Singh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0"/>
      <c r="AB100" s="60"/>
      <c r="AC100" s="63"/>
      <c r="AD100" s="63"/>
      <c r="AE100" s="74"/>
      <c r="AF100" s="63">
        <v>100</v>
      </c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</row>
    <row r="101" spans="1:62" x14ac:dyDescent="0.15">
      <c r="A101" s="35">
        <v>13</v>
      </c>
      <c r="B101" s="36" t="s">
        <v>40</v>
      </c>
      <c r="C101" s="35" t="s">
        <v>103</v>
      </c>
      <c r="D101" s="37" t="str">
        <f t="shared" si="10"/>
        <v>Krishna Murthy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0"/>
      <c r="AB101" s="60"/>
      <c r="AC101" s="63"/>
      <c r="AD101" s="63"/>
      <c r="AE101" s="74"/>
      <c r="AF101" s="63"/>
      <c r="AG101" s="63"/>
      <c r="AH101" s="63"/>
      <c r="AI101" s="63"/>
      <c r="AJ101" s="63"/>
      <c r="AK101" s="63"/>
      <c r="AL101" s="63"/>
      <c r="AM101" s="63"/>
      <c r="AN101" s="63">
        <v>500</v>
      </c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</row>
    <row r="102" spans="1:62" x14ac:dyDescent="0.15">
      <c r="A102" s="35">
        <v>14</v>
      </c>
      <c r="B102" s="36" t="s">
        <v>43</v>
      </c>
      <c r="C102" s="35" t="s">
        <v>103</v>
      </c>
      <c r="D102" s="37" t="str">
        <f t="shared" si="10"/>
        <v>Niteen Kole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0"/>
      <c r="AB102" s="60"/>
      <c r="AC102" s="63"/>
      <c r="AD102" s="63"/>
      <c r="AE102" s="74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</row>
    <row r="103" spans="1:62" x14ac:dyDescent="0.15">
      <c r="A103" s="35">
        <v>15</v>
      </c>
      <c r="B103" s="36" t="s">
        <v>46</v>
      </c>
      <c r="C103" s="35" t="s">
        <v>103</v>
      </c>
      <c r="D103" s="37" t="str">
        <f t="shared" si="10"/>
        <v>M. Sundaralingam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0"/>
      <c r="AB103" s="60"/>
      <c r="AC103" s="63"/>
      <c r="AD103" s="63"/>
      <c r="AE103" s="74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</row>
    <row r="104" spans="1:62" x14ac:dyDescent="0.15">
      <c r="A104" s="35">
        <v>16</v>
      </c>
      <c r="B104" s="36" t="s">
        <v>49</v>
      </c>
      <c r="C104" s="35" t="s">
        <v>103</v>
      </c>
      <c r="D104" s="37" t="str">
        <f t="shared" si="10"/>
        <v>Dhiman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0"/>
      <c r="AB104" s="60"/>
      <c r="AC104" s="63"/>
      <c r="AD104" s="63">
        <v>100</v>
      </c>
      <c r="AE104" s="74"/>
      <c r="AF104" s="63">
        <v>100</v>
      </c>
      <c r="AG104" s="63"/>
      <c r="AH104" s="63">
        <v>100</v>
      </c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</row>
    <row r="105" spans="1:62" x14ac:dyDescent="0.15">
      <c r="A105" s="42">
        <v>17</v>
      </c>
      <c r="B105" s="43" t="s">
        <v>51</v>
      </c>
      <c r="C105" s="42" t="s">
        <v>104</v>
      </c>
      <c r="D105" s="40" t="str">
        <f t="shared" si="10"/>
        <v>Gopa Kumar</v>
      </c>
      <c r="E105" s="57"/>
      <c r="F105" s="57"/>
      <c r="G105" s="57"/>
      <c r="H105" s="57"/>
      <c r="I105" s="56"/>
      <c r="J105" s="56"/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0"/>
      <c r="AB105" s="60"/>
      <c r="AC105" s="63"/>
      <c r="AD105" s="63"/>
      <c r="AE105" s="74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</row>
    <row r="106" spans="1:62" x14ac:dyDescent="0.15">
      <c r="A106" s="35">
        <v>18</v>
      </c>
      <c r="B106" s="36" t="s">
        <v>53</v>
      </c>
      <c r="C106" s="35" t="s">
        <v>104</v>
      </c>
      <c r="D106" s="37" t="str">
        <f t="shared" si="10"/>
        <v>Manendra Prasad  Singh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0"/>
      <c r="AB106" s="60"/>
      <c r="AC106" s="63"/>
      <c r="AD106" s="63"/>
      <c r="AE106" s="74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</row>
    <row r="107" spans="1:62" x14ac:dyDescent="0.15">
      <c r="A107" s="35">
        <v>19</v>
      </c>
      <c r="B107" s="36" t="s">
        <v>56</v>
      </c>
      <c r="C107" s="35" t="s">
        <v>104</v>
      </c>
      <c r="D107" s="37" t="str">
        <f t="shared" si="10"/>
        <v>Balaji Ganapathi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0"/>
      <c r="AB107" s="60"/>
      <c r="AC107" s="63"/>
      <c r="AD107" s="63"/>
      <c r="AE107" s="74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</row>
    <row r="108" spans="1:62" x14ac:dyDescent="0.15">
      <c r="A108" s="42">
        <v>20</v>
      </c>
      <c r="B108" s="43" t="s">
        <v>59</v>
      </c>
      <c r="C108" s="42" t="s">
        <v>104</v>
      </c>
      <c r="D108" s="37" t="str">
        <f t="shared" si="10"/>
        <v>Gautam Kumar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0"/>
      <c r="AB108" s="60"/>
      <c r="AC108" s="63"/>
      <c r="AD108" s="63"/>
      <c r="AE108" s="74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</row>
    <row r="109" spans="1:62" x14ac:dyDescent="0.15">
      <c r="A109" s="35">
        <v>21</v>
      </c>
      <c r="B109" s="36" t="s">
        <v>62</v>
      </c>
      <c r="C109" s="35" t="s">
        <v>104</v>
      </c>
      <c r="D109" s="37" t="str">
        <f t="shared" si="10"/>
        <v>Krishnan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0"/>
      <c r="AB109" s="60"/>
      <c r="AC109" s="63"/>
      <c r="AD109" s="63"/>
      <c r="AE109" s="74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</row>
    <row r="110" spans="1:62" x14ac:dyDescent="0.15">
      <c r="A110" s="35">
        <v>22</v>
      </c>
      <c r="B110" s="36" t="s">
        <v>63</v>
      </c>
      <c r="C110" s="35" t="s">
        <v>104</v>
      </c>
      <c r="D110" s="37" t="str">
        <f t="shared" si="10"/>
        <v>Ivin Sebastian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0">
        <v>0</v>
      </c>
      <c r="W110" s="63">
        <v>0</v>
      </c>
      <c r="X110" s="63">
        <v>0</v>
      </c>
      <c r="Y110" s="63">
        <v>0</v>
      </c>
      <c r="Z110" s="63">
        <v>0</v>
      </c>
      <c r="AA110" s="60"/>
      <c r="AB110" s="60"/>
      <c r="AC110" s="63"/>
      <c r="AD110" s="63"/>
      <c r="AE110" s="74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</row>
    <row r="111" spans="1:62" x14ac:dyDescent="0.15">
      <c r="A111" s="35">
        <v>23</v>
      </c>
      <c r="B111" s="36" t="s">
        <v>65</v>
      </c>
      <c r="C111" s="35" t="s">
        <v>104</v>
      </c>
      <c r="D111" s="37" t="str">
        <f t="shared" si="10"/>
        <v>Maheshwar Mohanty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0">
        <v>100</v>
      </c>
      <c r="W111" s="60">
        <v>100</v>
      </c>
      <c r="X111" s="63">
        <v>0</v>
      </c>
      <c r="Y111" s="63">
        <v>0</v>
      </c>
      <c r="Z111" s="63">
        <v>0</v>
      </c>
      <c r="AA111" s="60"/>
      <c r="AB111" s="60"/>
      <c r="AC111" s="63"/>
      <c r="AD111" s="63"/>
      <c r="AE111" s="74"/>
      <c r="AF111" s="63"/>
      <c r="AG111" s="63"/>
      <c r="AH111" s="63">
        <v>100</v>
      </c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</row>
    <row r="112" spans="1:62" x14ac:dyDescent="0.15">
      <c r="A112" s="35">
        <v>24</v>
      </c>
      <c r="B112" s="36" t="s">
        <v>67</v>
      </c>
      <c r="C112" s="35" t="s">
        <v>104</v>
      </c>
      <c r="D112" s="37" t="str">
        <f t="shared" si="10"/>
        <v>Abhinav Nigam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0"/>
      <c r="AB112" s="60"/>
      <c r="AC112" s="63"/>
      <c r="AD112" s="63"/>
      <c r="AE112" s="74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</row>
    <row r="113" spans="1:62" x14ac:dyDescent="0.15">
      <c r="A113" s="35">
        <v>25</v>
      </c>
      <c r="B113" s="36" t="s">
        <v>69</v>
      </c>
      <c r="C113" s="35" t="s">
        <v>104</v>
      </c>
      <c r="D113" s="37" t="str">
        <f t="shared" si="10"/>
        <v>Ramesh Gangan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0">
        <v>100</v>
      </c>
      <c r="X113" s="63">
        <v>0</v>
      </c>
      <c r="Y113" s="63">
        <v>0</v>
      </c>
      <c r="Z113" s="63">
        <v>0</v>
      </c>
      <c r="AA113" s="60"/>
      <c r="AB113" s="60"/>
      <c r="AC113" s="63">
        <v>100</v>
      </c>
      <c r="AD113" s="63"/>
      <c r="AE113" s="74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</row>
    <row r="114" spans="1:62" x14ac:dyDescent="0.15">
      <c r="A114" s="35">
        <v>26</v>
      </c>
      <c r="B114" s="36" t="s">
        <v>71</v>
      </c>
      <c r="C114" s="35" t="s">
        <v>104</v>
      </c>
      <c r="D114" s="37" t="str">
        <f t="shared" si="10"/>
        <v>A Vinod Kumar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0"/>
      <c r="AB114" s="60"/>
      <c r="AC114" s="63"/>
      <c r="AD114" s="63"/>
      <c r="AE114" s="74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</row>
    <row r="115" spans="1:62" x14ac:dyDescent="0.15">
      <c r="A115" s="35">
        <v>27</v>
      </c>
      <c r="B115" s="36" t="s">
        <v>73</v>
      </c>
      <c r="C115" s="35" t="s">
        <v>104</v>
      </c>
      <c r="D115" s="37" t="str">
        <f t="shared" si="10"/>
        <v>Anshuman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0">
        <v>100</v>
      </c>
      <c r="W115" s="63">
        <v>0</v>
      </c>
      <c r="X115" s="63">
        <v>0</v>
      </c>
      <c r="Y115" s="63">
        <v>0</v>
      </c>
      <c r="Z115" s="63">
        <v>0</v>
      </c>
      <c r="AA115" s="60">
        <v>100</v>
      </c>
      <c r="AB115" s="60"/>
      <c r="AC115" s="63">
        <v>100</v>
      </c>
      <c r="AD115" s="63">
        <v>100</v>
      </c>
      <c r="AE115" s="74"/>
      <c r="AF115" s="63"/>
      <c r="AG115" s="63">
        <v>500</v>
      </c>
      <c r="AH115" s="63">
        <v>500</v>
      </c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</row>
    <row r="116" spans="1:62" x14ac:dyDescent="0.15">
      <c r="A116" s="35">
        <v>28</v>
      </c>
      <c r="B116" s="36" t="s">
        <v>74</v>
      </c>
      <c r="C116" s="35" t="s">
        <v>104</v>
      </c>
      <c r="D116" s="37" t="str">
        <f t="shared" si="10"/>
        <v>Amarjeet Kumar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0"/>
      <c r="AB116" s="60"/>
      <c r="AC116" s="63"/>
      <c r="AD116" s="63"/>
      <c r="AE116" s="74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</row>
    <row r="117" spans="1:62" x14ac:dyDescent="0.15">
      <c r="A117" s="35">
        <v>29</v>
      </c>
      <c r="B117" s="36" t="s">
        <v>76</v>
      </c>
      <c r="C117" s="35" t="s">
        <v>104</v>
      </c>
      <c r="D117" s="37" t="str">
        <f t="shared" si="10"/>
        <v>Praveen Pattanshetti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0"/>
      <c r="AB117" s="60"/>
      <c r="AC117" s="63">
        <v>100</v>
      </c>
      <c r="AD117" s="63"/>
      <c r="AE117" s="74"/>
      <c r="AF117" s="63">
        <f>100+400</f>
        <v>500</v>
      </c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</row>
    <row r="118" spans="1:62" x14ac:dyDescent="0.15">
      <c r="A118" s="35">
        <v>30</v>
      </c>
      <c r="B118" s="36" t="s">
        <v>78</v>
      </c>
      <c r="C118" s="35" t="s">
        <v>104</v>
      </c>
      <c r="D118" s="37" t="str">
        <f t="shared" si="10"/>
        <v>Raj kumar Mandal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0"/>
      <c r="AB118" s="60"/>
      <c r="AC118" s="63"/>
      <c r="AD118" s="63"/>
      <c r="AE118" s="74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</row>
    <row r="119" spans="1:62" x14ac:dyDescent="0.15">
      <c r="A119" s="35">
        <v>31</v>
      </c>
      <c r="B119" s="36" t="s">
        <v>80</v>
      </c>
      <c r="C119" s="35" t="s">
        <v>104</v>
      </c>
      <c r="D119" s="37" t="str">
        <f t="shared" si="10"/>
        <v>Vishesh Nigam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0"/>
      <c r="AB119" s="60"/>
      <c r="AC119" s="63"/>
      <c r="AD119" s="63"/>
      <c r="AE119" s="74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</row>
    <row r="120" spans="1:62" x14ac:dyDescent="0.15">
      <c r="A120" s="35">
        <v>30</v>
      </c>
      <c r="B120" s="36" t="s">
        <v>82</v>
      </c>
      <c r="C120" s="35" t="s">
        <v>104</v>
      </c>
      <c r="D120" s="37" t="str">
        <f t="shared" si="10"/>
        <v>Ashutosh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0"/>
      <c r="AB120" s="60"/>
      <c r="AC120" s="63"/>
      <c r="AD120" s="63"/>
      <c r="AE120" s="74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</row>
    <row r="121" spans="1:62" x14ac:dyDescent="0.15">
      <c r="A121" s="35">
        <v>33</v>
      </c>
      <c r="B121" s="36" t="s">
        <v>84</v>
      </c>
      <c r="C121" s="35" t="s">
        <v>104</v>
      </c>
      <c r="D121" s="37" t="str">
        <f t="shared" si="10"/>
        <v>Raghunandan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0">
        <v>100</v>
      </c>
      <c r="AB121" s="60"/>
      <c r="AC121" s="63"/>
      <c r="AD121" s="63">
        <v>100</v>
      </c>
      <c r="AE121" s="74">
        <v>100</v>
      </c>
      <c r="AF121" s="63">
        <v>100</v>
      </c>
      <c r="AG121" s="63"/>
      <c r="AH121" s="63">
        <v>500</v>
      </c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</row>
    <row r="122" spans="1:62" x14ac:dyDescent="0.15">
      <c r="A122" s="35">
        <v>34</v>
      </c>
      <c r="B122" s="36" t="s">
        <v>86</v>
      </c>
      <c r="C122" s="35" t="s">
        <v>104</v>
      </c>
      <c r="D122" s="37" t="str">
        <f t="shared" si="10"/>
        <v>Jaya Prakash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0"/>
      <c r="AB122" s="60"/>
      <c r="AC122" s="63"/>
      <c r="AD122" s="63"/>
      <c r="AE122" s="74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</row>
    <row r="123" spans="1:62" x14ac:dyDescent="0.15">
      <c r="A123" s="35">
        <v>35</v>
      </c>
      <c r="B123" s="36" t="s">
        <v>88</v>
      </c>
      <c r="C123" s="35" t="s">
        <v>104</v>
      </c>
      <c r="D123" s="37" t="str">
        <f t="shared" si="10"/>
        <v>Mahesh Suragimath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0">
        <v>100</v>
      </c>
      <c r="X123" s="63">
        <v>0</v>
      </c>
      <c r="Y123" s="63">
        <v>0</v>
      </c>
      <c r="Z123" s="63">
        <v>0</v>
      </c>
      <c r="AA123" s="60"/>
      <c r="AB123" s="60"/>
      <c r="AC123" s="63">
        <v>100</v>
      </c>
      <c r="AD123" s="63"/>
      <c r="AE123" s="74">
        <v>100</v>
      </c>
      <c r="AF123" s="63"/>
      <c r="AG123" s="63"/>
      <c r="AH123" s="63">
        <v>500</v>
      </c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</row>
    <row r="124" spans="1:62" x14ac:dyDescent="0.15">
      <c r="A124" s="35">
        <v>36</v>
      </c>
      <c r="B124" s="36" t="s">
        <v>90</v>
      </c>
      <c r="C124" s="35" t="s">
        <v>104</v>
      </c>
      <c r="D124" s="37" t="str">
        <f t="shared" si="10"/>
        <v>Divang Sharma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0">
        <v>100</v>
      </c>
      <c r="AB124" s="60"/>
      <c r="AC124" s="63"/>
      <c r="AD124" s="63"/>
      <c r="AE124" s="74">
        <v>500</v>
      </c>
      <c r="AF124" s="63">
        <v>100</v>
      </c>
      <c r="AG124" s="63"/>
      <c r="AH124" s="63">
        <v>100</v>
      </c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</row>
    <row r="125" spans="1:62" x14ac:dyDescent="0.15">
      <c r="K125" s="58">
        <f t="shared" ref="K125:BJ125" si="11">SUM(K89:K124)</f>
        <v>0</v>
      </c>
      <c r="L125" s="58">
        <f t="shared" si="11"/>
        <v>0</v>
      </c>
      <c r="M125" s="58">
        <f t="shared" si="11"/>
        <v>0</v>
      </c>
      <c r="N125" s="58">
        <f t="shared" si="11"/>
        <v>0</v>
      </c>
      <c r="O125" s="58">
        <f t="shared" si="11"/>
        <v>0</v>
      </c>
      <c r="P125" s="58">
        <f t="shared" si="11"/>
        <v>0</v>
      </c>
      <c r="Q125" s="58">
        <f t="shared" si="11"/>
        <v>0</v>
      </c>
      <c r="R125" s="58">
        <f t="shared" si="11"/>
        <v>0</v>
      </c>
      <c r="S125" s="58">
        <f t="shared" si="11"/>
        <v>0</v>
      </c>
      <c r="T125" s="58">
        <f t="shared" si="11"/>
        <v>0</v>
      </c>
      <c r="U125" s="58">
        <f t="shared" si="11"/>
        <v>0</v>
      </c>
      <c r="V125" s="58">
        <f t="shared" si="11"/>
        <v>300</v>
      </c>
      <c r="W125" s="58">
        <f t="shared" si="11"/>
        <v>400</v>
      </c>
      <c r="X125" s="58">
        <f t="shared" si="11"/>
        <v>0</v>
      </c>
      <c r="Y125" s="58">
        <f t="shared" si="11"/>
        <v>0</v>
      </c>
      <c r="Z125" s="58">
        <f t="shared" si="11"/>
        <v>0</v>
      </c>
      <c r="AA125" s="58">
        <f t="shared" si="11"/>
        <v>600</v>
      </c>
      <c r="AB125" s="58">
        <f t="shared" si="11"/>
        <v>500</v>
      </c>
      <c r="AC125" s="58">
        <f t="shared" si="11"/>
        <v>1100</v>
      </c>
      <c r="AD125" s="58">
        <f t="shared" si="11"/>
        <v>900</v>
      </c>
      <c r="AE125" s="58">
        <f t="shared" si="11"/>
        <v>1300</v>
      </c>
      <c r="AF125" s="58">
        <f t="shared" si="11"/>
        <v>1000</v>
      </c>
      <c r="AG125" s="58">
        <f t="shared" si="11"/>
        <v>1000</v>
      </c>
      <c r="AH125" s="58">
        <f t="shared" si="11"/>
        <v>2000</v>
      </c>
      <c r="AI125" s="58">
        <f t="shared" si="11"/>
        <v>0</v>
      </c>
      <c r="AJ125" s="58">
        <f t="shared" si="11"/>
        <v>0</v>
      </c>
      <c r="AK125" s="58">
        <f t="shared" si="11"/>
        <v>0</v>
      </c>
      <c r="AL125" s="58">
        <f t="shared" si="11"/>
        <v>0</v>
      </c>
      <c r="AM125" s="58">
        <f t="shared" si="11"/>
        <v>0</v>
      </c>
      <c r="AN125" s="58">
        <f t="shared" si="11"/>
        <v>1000</v>
      </c>
      <c r="AO125" s="58">
        <f t="shared" si="11"/>
        <v>0</v>
      </c>
      <c r="AP125" s="58">
        <f t="shared" si="11"/>
        <v>0</v>
      </c>
      <c r="AQ125" s="58">
        <f t="shared" si="11"/>
        <v>0</v>
      </c>
      <c r="AR125" s="58">
        <f t="shared" si="11"/>
        <v>0</v>
      </c>
      <c r="AS125" s="58">
        <f t="shared" si="11"/>
        <v>0</v>
      </c>
      <c r="AT125" s="58">
        <f t="shared" si="11"/>
        <v>0</v>
      </c>
      <c r="AU125" s="58">
        <f t="shared" si="11"/>
        <v>0</v>
      </c>
      <c r="AV125" s="58">
        <f t="shared" si="11"/>
        <v>0</v>
      </c>
      <c r="AW125" s="58">
        <f t="shared" si="11"/>
        <v>0</v>
      </c>
      <c r="AX125" s="58">
        <f t="shared" si="11"/>
        <v>0</v>
      </c>
      <c r="AY125" s="58">
        <f t="shared" si="11"/>
        <v>0</v>
      </c>
      <c r="AZ125" s="58">
        <f t="shared" si="11"/>
        <v>0</v>
      </c>
      <c r="BA125" s="58">
        <f t="shared" si="11"/>
        <v>0</v>
      </c>
      <c r="BB125" s="58">
        <f t="shared" si="11"/>
        <v>0</v>
      </c>
      <c r="BC125" s="58">
        <f t="shared" si="11"/>
        <v>0</v>
      </c>
      <c r="BD125" s="58">
        <f t="shared" si="11"/>
        <v>0</v>
      </c>
      <c r="BE125" s="58">
        <f t="shared" si="11"/>
        <v>0</v>
      </c>
      <c r="BF125" s="58">
        <f t="shared" si="11"/>
        <v>0</v>
      </c>
      <c r="BG125" s="58">
        <f t="shared" si="11"/>
        <v>0</v>
      </c>
      <c r="BH125" s="58">
        <f t="shared" si="11"/>
        <v>0</v>
      </c>
      <c r="BI125" s="58">
        <f t="shared" si="11"/>
        <v>0</v>
      </c>
      <c r="BJ125" s="58">
        <f t="shared" si="11"/>
        <v>0</v>
      </c>
    </row>
    <row r="129" spans="2:5" ht="15" x14ac:dyDescent="0.2">
      <c r="B129" s="166" t="s">
        <v>62</v>
      </c>
      <c r="C129" s="167"/>
      <c r="D129" s="167" t="s">
        <v>191</v>
      </c>
      <c r="E129" s="167"/>
    </row>
    <row r="130" spans="2:5" ht="15" x14ac:dyDescent="0.2">
      <c r="B130" s="166" t="s">
        <v>34</v>
      </c>
      <c r="C130" s="167"/>
      <c r="D130" s="167" t="s">
        <v>192</v>
      </c>
      <c r="E130" s="167"/>
    </row>
    <row r="131" spans="2:5" x14ac:dyDescent="0.15">
      <c r="B131" s="38">
        <v>3</v>
      </c>
      <c r="D131" s="50" t="s">
        <v>206</v>
      </c>
    </row>
    <row r="132" spans="2:5" x14ac:dyDescent="0.15">
      <c r="B132" s="38">
        <v>7</v>
      </c>
      <c r="D132" s="50" t="s">
        <v>210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25" right="0.25" top="0.75" bottom="0.75" header="0.3" footer="0.3"/>
  <pageSetup scale="33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A48" workbookViewId="0">
      <selection activeCell="H39" sqref="H39"/>
    </sheetView>
  </sheetViews>
  <sheetFormatPr baseColWidth="10" defaultColWidth="8.83203125" defaultRowHeight="15" x14ac:dyDescent="0.2"/>
  <cols>
    <col min="4" max="4" width="21.5" bestFit="1" customWidth="1"/>
    <col min="5" max="5" width="16.1640625" bestFit="1" customWidth="1"/>
    <col min="11" max="11" width="14.83203125" bestFit="1" customWidth="1"/>
  </cols>
  <sheetData>
    <row r="1" spans="1:34" x14ac:dyDescent="0.2">
      <c r="A1" s="196" t="s">
        <v>94</v>
      </c>
      <c r="B1" s="198" t="s">
        <v>4</v>
      </c>
      <c r="C1" s="196" t="s">
        <v>95</v>
      </c>
      <c r="D1" s="200" t="s">
        <v>96</v>
      </c>
      <c r="E1" s="200" t="s">
        <v>131</v>
      </c>
      <c r="F1" s="193" t="s">
        <v>127</v>
      </c>
      <c r="G1" s="194"/>
      <c r="H1" s="195"/>
      <c r="K1" s="29" t="s">
        <v>93</v>
      </c>
      <c r="L1" s="29"/>
    </row>
    <row r="2" spans="1:34" x14ac:dyDescent="0.2">
      <c r="A2" s="197"/>
      <c r="B2" s="199"/>
      <c r="C2" s="197"/>
      <c r="D2" s="201"/>
      <c r="E2" s="201"/>
      <c r="F2" s="31" t="s">
        <v>98</v>
      </c>
      <c r="G2" s="31" t="s">
        <v>99</v>
      </c>
      <c r="H2" s="32" t="s">
        <v>100</v>
      </c>
      <c r="K2" s="100" t="s">
        <v>135</v>
      </c>
      <c r="L2" s="139">
        <v>42005</v>
      </c>
      <c r="M2" s="139">
        <v>42036</v>
      </c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x14ac:dyDescent="0.2">
      <c r="A3" s="35">
        <v>1</v>
      </c>
      <c r="B3" s="93" t="s">
        <v>7</v>
      </c>
      <c r="C3" s="35" t="s">
        <v>103</v>
      </c>
      <c r="D3" s="37" t="s">
        <v>8</v>
      </c>
      <c r="E3" s="98" t="s">
        <v>132</v>
      </c>
      <c r="F3" s="107">
        <f>SUM(K3:AH3)</f>
        <v>5400</v>
      </c>
      <c r="G3" s="107">
        <f>SUM(K45:AH45)</f>
        <v>5000</v>
      </c>
      <c r="H3" s="107">
        <f>(F3-G3)</f>
        <v>400</v>
      </c>
      <c r="K3" s="103">
        <v>5000</v>
      </c>
      <c r="L3" s="102">
        <v>200</v>
      </c>
      <c r="M3" s="102">
        <v>200</v>
      </c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 spans="1:34" x14ac:dyDescent="0.2">
      <c r="A4" s="35">
        <v>2</v>
      </c>
      <c r="B4" s="93" t="s">
        <v>10</v>
      </c>
      <c r="C4" s="35" t="s">
        <v>103</v>
      </c>
      <c r="D4" s="37" t="s">
        <v>11</v>
      </c>
      <c r="E4" s="98" t="s">
        <v>132</v>
      </c>
      <c r="F4" s="107">
        <f>SUM(K4:AH4)</f>
        <v>5400</v>
      </c>
      <c r="G4" s="107">
        <f>SUM(K46:AH46)</f>
        <v>5000</v>
      </c>
      <c r="H4" s="107">
        <f>(F4-G4)</f>
        <v>400</v>
      </c>
      <c r="K4" s="103">
        <v>5000</v>
      </c>
      <c r="L4" s="102">
        <v>200</v>
      </c>
      <c r="M4" s="102">
        <v>200</v>
      </c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</row>
    <row r="5" spans="1:34" x14ac:dyDescent="0.2">
      <c r="A5" s="35">
        <v>3</v>
      </c>
      <c r="B5" s="94">
        <v>201</v>
      </c>
      <c r="C5" s="35" t="s">
        <v>103</v>
      </c>
      <c r="D5" s="37" t="s">
        <v>13</v>
      </c>
      <c r="E5" s="98" t="s">
        <v>132</v>
      </c>
      <c r="F5" s="107">
        <f t="shared" ref="F5:F38" si="0">SUM(K5:AH5)</f>
        <v>5000</v>
      </c>
      <c r="G5" s="107">
        <f t="shared" ref="G5:G38" si="1">SUM(K47:AH47)</f>
        <v>5000</v>
      </c>
      <c r="H5" s="107">
        <f t="shared" ref="H5:H38" si="2">(F5-G5)</f>
        <v>0</v>
      </c>
      <c r="K5" s="103">
        <v>5000</v>
      </c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x14ac:dyDescent="0.2">
      <c r="A6" s="35">
        <v>4</v>
      </c>
      <c r="B6" s="94">
        <v>301</v>
      </c>
      <c r="C6" s="35" t="s">
        <v>103</v>
      </c>
      <c r="D6" s="37" t="s">
        <v>15</v>
      </c>
      <c r="E6" s="99" t="s">
        <v>133</v>
      </c>
      <c r="F6" s="107">
        <f t="shared" si="0"/>
        <v>0</v>
      </c>
      <c r="G6" s="107">
        <f t="shared" si="1"/>
        <v>0</v>
      </c>
      <c r="H6" s="107">
        <f t="shared" si="2"/>
        <v>0</v>
      </c>
      <c r="K6" s="104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</row>
    <row r="7" spans="1:34" x14ac:dyDescent="0.2">
      <c r="A7" s="35">
        <v>5</v>
      </c>
      <c r="B7" s="93" t="s">
        <v>17</v>
      </c>
      <c r="C7" s="35" t="s">
        <v>103</v>
      </c>
      <c r="D7" s="37" t="s">
        <v>108</v>
      </c>
      <c r="E7" s="99" t="s">
        <v>133</v>
      </c>
      <c r="F7" s="107">
        <f t="shared" si="0"/>
        <v>0</v>
      </c>
      <c r="G7" s="107">
        <f t="shared" si="1"/>
        <v>0</v>
      </c>
      <c r="H7" s="107">
        <f t="shared" si="2"/>
        <v>0</v>
      </c>
      <c r="K7" s="104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</row>
    <row r="8" spans="1:34" x14ac:dyDescent="0.2">
      <c r="A8" s="35">
        <v>6</v>
      </c>
      <c r="B8" s="94" t="s">
        <v>19</v>
      </c>
      <c r="C8" s="35" t="s">
        <v>103</v>
      </c>
      <c r="D8" s="37" t="s">
        <v>20</v>
      </c>
      <c r="E8" s="98" t="s">
        <v>132</v>
      </c>
      <c r="F8" s="107">
        <f t="shared" si="0"/>
        <v>5000</v>
      </c>
      <c r="G8" s="107">
        <f t="shared" si="1"/>
        <v>5000</v>
      </c>
      <c r="H8" s="107">
        <f t="shared" si="2"/>
        <v>0</v>
      </c>
      <c r="K8" s="103">
        <v>5000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">
      <c r="A9" s="95">
        <v>7</v>
      </c>
      <c r="B9" s="96" t="s">
        <v>22</v>
      </c>
      <c r="C9" s="95" t="s">
        <v>103</v>
      </c>
      <c r="D9" s="97" t="s">
        <v>23</v>
      </c>
      <c r="E9" s="96"/>
      <c r="F9" s="107">
        <f t="shared" si="0"/>
        <v>0</v>
      </c>
      <c r="G9" s="107">
        <f t="shared" si="1"/>
        <v>0</v>
      </c>
      <c r="H9" s="107">
        <f t="shared" si="2"/>
        <v>0</v>
      </c>
      <c r="K9" s="105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">
      <c r="A10" s="35">
        <v>8</v>
      </c>
      <c r="B10" s="93" t="s">
        <v>25</v>
      </c>
      <c r="C10" s="35" t="s">
        <v>103</v>
      </c>
      <c r="D10" s="37" t="s">
        <v>26</v>
      </c>
      <c r="E10" s="98" t="s">
        <v>132</v>
      </c>
      <c r="F10" s="107">
        <f t="shared" si="0"/>
        <v>5000</v>
      </c>
      <c r="G10" s="107"/>
      <c r="H10" s="107">
        <f t="shared" si="2"/>
        <v>5000</v>
      </c>
      <c r="K10" s="103">
        <v>5000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</row>
    <row r="11" spans="1:34" x14ac:dyDescent="0.2">
      <c r="A11" s="35">
        <v>9</v>
      </c>
      <c r="B11" s="94" t="s">
        <v>28</v>
      </c>
      <c r="C11" s="35" t="s">
        <v>103</v>
      </c>
      <c r="D11" s="37" t="s">
        <v>130</v>
      </c>
      <c r="E11" s="99" t="s">
        <v>133</v>
      </c>
      <c r="F11" s="107">
        <f t="shared" si="0"/>
        <v>0</v>
      </c>
      <c r="G11" s="107">
        <f t="shared" si="1"/>
        <v>0</v>
      </c>
      <c r="H11" s="107">
        <f t="shared" si="2"/>
        <v>0</v>
      </c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</row>
    <row r="12" spans="1:34" x14ac:dyDescent="0.2">
      <c r="A12" s="35">
        <v>10</v>
      </c>
      <c r="B12" s="93" t="s">
        <v>31</v>
      </c>
      <c r="C12" s="35" t="s">
        <v>103</v>
      </c>
      <c r="D12" s="37" t="s">
        <v>32</v>
      </c>
      <c r="E12" s="98" t="s">
        <v>132</v>
      </c>
      <c r="F12" s="107">
        <f t="shared" si="0"/>
        <v>5400</v>
      </c>
      <c r="G12" s="107">
        <f t="shared" si="1"/>
        <v>5000</v>
      </c>
      <c r="H12" s="107">
        <f t="shared" si="2"/>
        <v>400</v>
      </c>
      <c r="K12" s="103">
        <v>5000</v>
      </c>
      <c r="L12" s="102">
        <v>200</v>
      </c>
      <c r="M12" s="102">
        <v>200</v>
      </c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</row>
    <row r="13" spans="1:34" x14ac:dyDescent="0.2">
      <c r="A13" s="35">
        <v>11</v>
      </c>
      <c r="B13" s="93" t="s">
        <v>34</v>
      </c>
      <c r="C13" s="35" t="s">
        <v>103</v>
      </c>
      <c r="D13" s="37" t="s">
        <v>35</v>
      </c>
      <c r="E13" s="99" t="s">
        <v>133</v>
      </c>
      <c r="F13" s="107">
        <f t="shared" si="0"/>
        <v>0</v>
      </c>
      <c r="G13" s="107">
        <f t="shared" si="1"/>
        <v>0</v>
      </c>
      <c r="H13" s="107">
        <f t="shared" si="2"/>
        <v>0</v>
      </c>
      <c r="K13" s="104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</row>
    <row r="14" spans="1:34" x14ac:dyDescent="0.2">
      <c r="A14" s="95">
        <v>12</v>
      </c>
      <c r="B14" s="96" t="s">
        <v>37</v>
      </c>
      <c r="C14" s="95" t="s">
        <v>103</v>
      </c>
      <c r="D14" s="97" t="s">
        <v>38</v>
      </c>
      <c r="E14" s="96"/>
      <c r="F14" s="107">
        <f t="shared" si="0"/>
        <v>0</v>
      </c>
      <c r="G14" s="107">
        <f t="shared" si="1"/>
        <v>0</v>
      </c>
      <c r="H14" s="107">
        <f t="shared" si="2"/>
        <v>0</v>
      </c>
      <c r="K14" s="105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</row>
    <row r="15" spans="1:34" x14ac:dyDescent="0.2">
      <c r="A15" s="35">
        <v>13</v>
      </c>
      <c r="B15" s="93" t="s">
        <v>40</v>
      </c>
      <c r="C15" s="35" t="s">
        <v>103</v>
      </c>
      <c r="D15" s="37" t="s">
        <v>41</v>
      </c>
      <c r="E15" s="98" t="s">
        <v>132</v>
      </c>
      <c r="F15" s="107">
        <f t="shared" si="0"/>
        <v>5000</v>
      </c>
      <c r="G15" s="107">
        <f t="shared" si="1"/>
        <v>2500</v>
      </c>
      <c r="H15" s="107">
        <f t="shared" si="2"/>
        <v>2500</v>
      </c>
      <c r="K15" s="103">
        <v>5000</v>
      </c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">
      <c r="A16" s="35">
        <v>14</v>
      </c>
      <c r="B16" s="93" t="s">
        <v>43</v>
      </c>
      <c r="C16" s="35" t="s">
        <v>103</v>
      </c>
      <c r="D16" s="37" t="s">
        <v>44</v>
      </c>
      <c r="E16" s="101" t="s">
        <v>134</v>
      </c>
      <c r="F16" s="107">
        <v>0</v>
      </c>
      <c r="G16" s="107">
        <f t="shared" si="1"/>
        <v>0</v>
      </c>
      <c r="H16" s="107">
        <f t="shared" si="2"/>
        <v>0</v>
      </c>
      <c r="K16" s="103">
        <v>0</v>
      </c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</row>
    <row r="17" spans="1:34" x14ac:dyDescent="0.2">
      <c r="A17" s="35">
        <v>15</v>
      </c>
      <c r="B17" s="94" t="s">
        <v>46</v>
      </c>
      <c r="C17" s="35" t="s">
        <v>103</v>
      </c>
      <c r="D17" s="37" t="s">
        <v>47</v>
      </c>
      <c r="E17" s="98" t="s">
        <v>132</v>
      </c>
      <c r="F17" s="107">
        <f t="shared" si="0"/>
        <v>5000</v>
      </c>
      <c r="G17" s="107">
        <f t="shared" si="1"/>
        <v>5000</v>
      </c>
      <c r="H17" s="107">
        <f t="shared" si="2"/>
        <v>0</v>
      </c>
      <c r="K17" s="103">
        <v>5000</v>
      </c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</row>
    <row r="18" spans="1:34" x14ac:dyDescent="0.2">
      <c r="A18" s="35">
        <v>16</v>
      </c>
      <c r="B18" s="94" t="s">
        <v>49</v>
      </c>
      <c r="C18" s="35" t="s">
        <v>103</v>
      </c>
      <c r="D18" s="37" t="s">
        <v>50</v>
      </c>
      <c r="E18" s="98" t="s">
        <v>132</v>
      </c>
      <c r="F18" s="107">
        <f t="shared" si="0"/>
        <v>5000</v>
      </c>
      <c r="G18" s="107">
        <f t="shared" si="1"/>
        <v>5000</v>
      </c>
      <c r="H18" s="107">
        <f t="shared" si="2"/>
        <v>0</v>
      </c>
      <c r="K18" s="103">
        <v>5000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</row>
    <row r="19" spans="1:34" x14ac:dyDescent="0.2">
      <c r="A19" s="35">
        <v>17</v>
      </c>
      <c r="B19" s="93" t="s">
        <v>51</v>
      </c>
      <c r="C19" s="35" t="s">
        <v>104</v>
      </c>
      <c r="D19" s="37" t="s">
        <v>115</v>
      </c>
      <c r="E19" s="101" t="s">
        <v>134</v>
      </c>
      <c r="F19" s="107">
        <f t="shared" si="0"/>
        <v>0</v>
      </c>
      <c r="G19" s="107">
        <f t="shared" si="1"/>
        <v>0</v>
      </c>
      <c r="H19" s="107">
        <f t="shared" si="2"/>
        <v>0</v>
      </c>
      <c r="K19" s="106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</row>
    <row r="20" spans="1:34" x14ac:dyDescent="0.2">
      <c r="A20" s="35">
        <v>18</v>
      </c>
      <c r="B20" s="93" t="s">
        <v>53</v>
      </c>
      <c r="C20" s="35" t="s">
        <v>104</v>
      </c>
      <c r="D20" s="37" t="s">
        <v>54</v>
      </c>
      <c r="E20" s="98" t="s">
        <v>132</v>
      </c>
      <c r="F20" s="107">
        <f t="shared" si="0"/>
        <v>5400</v>
      </c>
      <c r="G20" s="107">
        <f t="shared" si="1"/>
        <v>5000</v>
      </c>
      <c r="H20" s="107">
        <f t="shared" si="2"/>
        <v>400</v>
      </c>
      <c r="K20" s="103">
        <v>5000</v>
      </c>
      <c r="L20" s="102">
        <v>200</v>
      </c>
      <c r="M20" s="102">
        <v>200</v>
      </c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</row>
    <row r="21" spans="1:34" x14ac:dyDescent="0.2">
      <c r="A21" s="35">
        <v>19</v>
      </c>
      <c r="B21" s="94" t="s">
        <v>56</v>
      </c>
      <c r="C21" s="35" t="s">
        <v>104</v>
      </c>
      <c r="D21" s="37" t="s">
        <v>57</v>
      </c>
      <c r="E21" s="98" t="s">
        <v>132</v>
      </c>
      <c r="F21" s="107">
        <f t="shared" si="0"/>
        <v>5000</v>
      </c>
      <c r="G21" s="107">
        <f t="shared" si="1"/>
        <v>5000</v>
      </c>
      <c r="H21" s="107">
        <f t="shared" si="2"/>
        <v>0</v>
      </c>
      <c r="K21" s="103">
        <v>5000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</row>
    <row r="22" spans="1:34" x14ac:dyDescent="0.2">
      <c r="A22" s="42">
        <v>20</v>
      </c>
      <c r="B22" s="94" t="s">
        <v>59</v>
      </c>
      <c r="C22" s="42" t="s">
        <v>104</v>
      </c>
      <c r="D22" s="37" t="s">
        <v>60</v>
      </c>
      <c r="E22" s="98" t="s">
        <v>132</v>
      </c>
      <c r="F22" s="107">
        <f t="shared" si="0"/>
        <v>5400</v>
      </c>
      <c r="G22" s="107">
        <f t="shared" si="1"/>
        <v>5000</v>
      </c>
      <c r="H22" s="107">
        <f t="shared" si="2"/>
        <v>400</v>
      </c>
      <c r="K22" s="103">
        <v>5000</v>
      </c>
      <c r="L22" s="102">
        <v>200</v>
      </c>
      <c r="M22" s="102">
        <v>200</v>
      </c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">
      <c r="A23" s="35">
        <v>21</v>
      </c>
      <c r="B23" s="93" t="s">
        <v>62</v>
      </c>
      <c r="C23" s="35" t="s">
        <v>104</v>
      </c>
      <c r="D23" s="37" t="s">
        <v>116</v>
      </c>
      <c r="E23" s="99" t="s">
        <v>133</v>
      </c>
      <c r="F23" s="107">
        <f t="shared" si="0"/>
        <v>0</v>
      </c>
      <c r="G23" s="107">
        <f t="shared" si="1"/>
        <v>0</v>
      </c>
      <c r="H23" s="107">
        <f t="shared" si="2"/>
        <v>0</v>
      </c>
      <c r="K23" s="104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</row>
    <row r="24" spans="1:34" x14ac:dyDescent="0.2">
      <c r="A24" s="35">
        <v>22</v>
      </c>
      <c r="B24" s="93" t="s">
        <v>63</v>
      </c>
      <c r="C24" s="35" t="s">
        <v>104</v>
      </c>
      <c r="D24" s="37" t="s">
        <v>64</v>
      </c>
      <c r="E24" s="98" t="s">
        <v>132</v>
      </c>
      <c r="F24" s="107">
        <f t="shared" si="0"/>
        <v>5000</v>
      </c>
      <c r="G24" s="107">
        <f t="shared" si="1"/>
        <v>0</v>
      </c>
      <c r="H24" s="107">
        <f t="shared" si="2"/>
        <v>5000</v>
      </c>
      <c r="K24" s="103">
        <v>5000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</row>
    <row r="25" spans="1:34" x14ac:dyDescent="0.2">
      <c r="A25" s="35">
        <v>23</v>
      </c>
      <c r="B25" s="94" t="s">
        <v>65</v>
      </c>
      <c r="C25" s="35" t="s">
        <v>104</v>
      </c>
      <c r="D25" s="37" t="s">
        <v>66</v>
      </c>
      <c r="E25" s="98" t="s">
        <v>132</v>
      </c>
      <c r="F25" s="107">
        <f t="shared" si="0"/>
        <v>5000</v>
      </c>
      <c r="G25" s="107">
        <f t="shared" si="1"/>
        <v>5000</v>
      </c>
      <c r="H25" s="107">
        <f t="shared" si="2"/>
        <v>0</v>
      </c>
      <c r="K25" s="103">
        <v>5000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</row>
    <row r="26" spans="1:34" x14ac:dyDescent="0.2">
      <c r="A26" s="35">
        <v>24</v>
      </c>
      <c r="B26" s="94" t="s">
        <v>67</v>
      </c>
      <c r="C26" s="35" t="s">
        <v>104</v>
      </c>
      <c r="D26" s="37" t="s">
        <v>68</v>
      </c>
      <c r="E26" s="101" t="s">
        <v>134</v>
      </c>
      <c r="F26" s="107">
        <f t="shared" si="0"/>
        <v>0</v>
      </c>
      <c r="G26" s="107">
        <f t="shared" si="1"/>
        <v>0</v>
      </c>
      <c r="H26" s="107">
        <f t="shared" si="2"/>
        <v>0</v>
      </c>
      <c r="K26" s="106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</row>
    <row r="27" spans="1:34" x14ac:dyDescent="0.2">
      <c r="A27" s="35">
        <v>25</v>
      </c>
      <c r="B27" s="93" t="s">
        <v>69</v>
      </c>
      <c r="C27" s="35" t="s">
        <v>104</v>
      </c>
      <c r="D27" s="37" t="s">
        <v>70</v>
      </c>
      <c r="E27" s="101" t="s">
        <v>134</v>
      </c>
      <c r="F27" s="107">
        <f t="shared" si="0"/>
        <v>0</v>
      </c>
      <c r="G27" s="107">
        <f t="shared" si="1"/>
        <v>0</v>
      </c>
      <c r="H27" s="107">
        <f t="shared" si="2"/>
        <v>0</v>
      </c>
      <c r="K27" s="106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</row>
    <row r="28" spans="1:34" x14ac:dyDescent="0.2">
      <c r="A28" s="35">
        <v>26</v>
      </c>
      <c r="B28" s="93" t="s">
        <v>71</v>
      </c>
      <c r="C28" s="35" t="s">
        <v>104</v>
      </c>
      <c r="D28" s="37" t="s">
        <v>72</v>
      </c>
      <c r="E28" s="99" t="s">
        <v>133</v>
      </c>
      <c r="F28" s="107">
        <f t="shared" si="0"/>
        <v>0</v>
      </c>
      <c r="G28" s="107">
        <f t="shared" si="1"/>
        <v>0</v>
      </c>
      <c r="H28" s="107">
        <f t="shared" si="2"/>
        <v>0</v>
      </c>
      <c r="K28" s="104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</row>
    <row r="29" spans="1:34" x14ac:dyDescent="0.2">
      <c r="A29" s="95">
        <v>27</v>
      </c>
      <c r="B29" s="96" t="s">
        <v>73</v>
      </c>
      <c r="C29" s="95" t="s">
        <v>104</v>
      </c>
      <c r="D29" s="97" t="s">
        <v>128</v>
      </c>
      <c r="E29" s="96"/>
      <c r="F29" s="107">
        <f t="shared" si="0"/>
        <v>0</v>
      </c>
      <c r="G29" s="107">
        <f t="shared" si="1"/>
        <v>0</v>
      </c>
      <c r="H29" s="107">
        <f t="shared" si="2"/>
        <v>0</v>
      </c>
      <c r="K29" s="105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</row>
    <row r="30" spans="1:34" x14ac:dyDescent="0.2">
      <c r="A30" s="35">
        <v>28</v>
      </c>
      <c r="B30" s="94" t="s">
        <v>74</v>
      </c>
      <c r="C30" s="35" t="s">
        <v>104</v>
      </c>
      <c r="D30" s="37" t="s">
        <v>75</v>
      </c>
      <c r="E30" s="98" t="s">
        <v>132</v>
      </c>
      <c r="F30" s="107">
        <f t="shared" si="0"/>
        <v>5400</v>
      </c>
      <c r="G30" s="107">
        <f t="shared" si="1"/>
        <v>5000</v>
      </c>
      <c r="H30" s="107">
        <f t="shared" si="2"/>
        <v>400</v>
      </c>
      <c r="K30" s="103">
        <v>5000</v>
      </c>
      <c r="L30" s="102">
        <v>200</v>
      </c>
      <c r="M30" s="102">
        <v>200</v>
      </c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</row>
    <row r="31" spans="1:34" x14ac:dyDescent="0.2">
      <c r="A31" s="35">
        <v>29</v>
      </c>
      <c r="B31" s="93" t="s">
        <v>76</v>
      </c>
      <c r="C31" s="35" t="s">
        <v>104</v>
      </c>
      <c r="D31" s="37" t="s">
        <v>77</v>
      </c>
      <c r="E31" s="98" t="s">
        <v>132</v>
      </c>
      <c r="F31" s="107">
        <f t="shared" si="0"/>
        <v>5000</v>
      </c>
      <c r="G31" s="107">
        <f t="shared" si="1"/>
        <v>0</v>
      </c>
      <c r="H31" s="107">
        <f t="shared" si="2"/>
        <v>5000</v>
      </c>
      <c r="K31" s="103">
        <v>5000</v>
      </c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</row>
    <row r="32" spans="1:34" x14ac:dyDescent="0.2">
      <c r="A32" s="35">
        <v>30</v>
      </c>
      <c r="B32" s="93" t="s">
        <v>78</v>
      </c>
      <c r="C32" s="35" t="s">
        <v>104</v>
      </c>
      <c r="D32" s="37" t="s">
        <v>79</v>
      </c>
      <c r="E32" s="98" t="s">
        <v>132</v>
      </c>
      <c r="F32" s="107">
        <f t="shared" si="0"/>
        <v>5000</v>
      </c>
      <c r="G32" s="107">
        <f t="shared" si="1"/>
        <v>5000</v>
      </c>
      <c r="H32" s="107">
        <f t="shared" si="2"/>
        <v>0</v>
      </c>
      <c r="K32" s="103">
        <v>5000</v>
      </c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</row>
    <row r="33" spans="1:34" x14ac:dyDescent="0.2">
      <c r="A33" s="35">
        <v>31</v>
      </c>
      <c r="B33" s="94" t="s">
        <v>80</v>
      </c>
      <c r="C33" s="35" t="s">
        <v>104</v>
      </c>
      <c r="D33" s="37" t="s">
        <v>81</v>
      </c>
      <c r="E33" s="98" t="s">
        <v>132</v>
      </c>
      <c r="F33" s="107">
        <f t="shared" si="0"/>
        <v>5400</v>
      </c>
      <c r="G33" s="107">
        <v>5000</v>
      </c>
      <c r="H33" s="107">
        <f t="shared" si="2"/>
        <v>400</v>
      </c>
      <c r="K33" s="103">
        <v>5000</v>
      </c>
      <c r="L33" s="102">
        <v>200</v>
      </c>
      <c r="M33" s="102">
        <v>200</v>
      </c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</row>
    <row r="34" spans="1:34" x14ac:dyDescent="0.2">
      <c r="A34" s="35">
        <v>30</v>
      </c>
      <c r="B34" s="94" t="s">
        <v>82</v>
      </c>
      <c r="C34" s="35" t="s">
        <v>104</v>
      </c>
      <c r="D34" s="37" t="s">
        <v>83</v>
      </c>
      <c r="E34" s="98" t="s">
        <v>132</v>
      </c>
      <c r="F34" s="107">
        <f t="shared" si="0"/>
        <v>5400</v>
      </c>
      <c r="G34" s="107">
        <f t="shared" si="1"/>
        <v>5000</v>
      </c>
      <c r="H34" s="107">
        <f t="shared" si="2"/>
        <v>400</v>
      </c>
      <c r="K34" s="103">
        <v>5000</v>
      </c>
      <c r="L34" s="102">
        <v>200</v>
      </c>
      <c r="M34" s="102">
        <v>200</v>
      </c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</row>
    <row r="35" spans="1:34" x14ac:dyDescent="0.2">
      <c r="A35" s="35">
        <v>33</v>
      </c>
      <c r="B35" s="93" t="s">
        <v>84</v>
      </c>
      <c r="C35" s="35" t="s">
        <v>104</v>
      </c>
      <c r="D35" s="37" t="s">
        <v>85</v>
      </c>
      <c r="E35" s="101" t="s">
        <v>134</v>
      </c>
      <c r="F35" s="107">
        <f t="shared" si="0"/>
        <v>0</v>
      </c>
      <c r="G35" s="107">
        <f t="shared" si="1"/>
        <v>0</v>
      </c>
      <c r="H35" s="107">
        <f t="shared" si="2"/>
        <v>0</v>
      </c>
      <c r="K35" s="106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</row>
    <row r="36" spans="1:34" x14ac:dyDescent="0.2">
      <c r="A36" s="35">
        <v>34</v>
      </c>
      <c r="B36" s="93" t="s">
        <v>86</v>
      </c>
      <c r="C36" s="35" t="s">
        <v>104</v>
      </c>
      <c r="D36" s="37" t="s">
        <v>87</v>
      </c>
      <c r="E36" s="98" t="s">
        <v>132</v>
      </c>
      <c r="F36" s="107">
        <f t="shared" si="0"/>
        <v>5000</v>
      </c>
      <c r="G36" s="107">
        <f t="shared" si="1"/>
        <v>5000</v>
      </c>
      <c r="H36" s="107">
        <f t="shared" si="2"/>
        <v>0</v>
      </c>
      <c r="K36" s="103">
        <v>5000</v>
      </c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</row>
    <row r="37" spans="1:34" x14ac:dyDescent="0.2">
      <c r="A37" s="35">
        <v>35</v>
      </c>
      <c r="B37" s="94" t="s">
        <v>88</v>
      </c>
      <c r="C37" s="35" t="s">
        <v>104</v>
      </c>
      <c r="D37" s="37" t="s">
        <v>89</v>
      </c>
      <c r="E37" s="98" t="s">
        <v>132</v>
      </c>
      <c r="F37" s="107">
        <f t="shared" si="0"/>
        <v>5000</v>
      </c>
      <c r="G37" s="107">
        <f t="shared" si="1"/>
        <v>5000</v>
      </c>
      <c r="H37" s="107">
        <f t="shared" si="2"/>
        <v>0</v>
      </c>
      <c r="K37" s="103">
        <v>5000</v>
      </c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</row>
    <row r="38" spans="1:34" x14ac:dyDescent="0.2">
      <c r="A38" s="95">
        <v>36</v>
      </c>
      <c r="B38" s="96" t="s">
        <v>90</v>
      </c>
      <c r="C38" s="95" t="s">
        <v>104</v>
      </c>
      <c r="D38" s="97" t="s">
        <v>91</v>
      </c>
      <c r="E38" s="96"/>
      <c r="F38" s="107">
        <f t="shared" si="0"/>
        <v>0</v>
      </c>
      <c r="G38" s="107">
        <f t="shared" si="1"/>
        <v>0</v>
      </c>
      <c r="H38" s="107">
        <f t="shared" si="2"/>
        <v>0</v>
      </c>
      <c r="K38" s="117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 x14ac:dyDescent="0.2">
      <c r="A39" s="109"/>
      <c r="B39" s="109"/>
      <c r="C39" s="109"/>
      <c r="D39" s="109"/>
      <c r="E39" s="110" t="s">
        <v>105</v>
      </c>
      <c r="F39" s="111">
        <f>SUM(F3:F38)</f>
        <v>108200</v>
      </c>
      <c r="G39" s="119">
        <f>SUM(G3:G38)</f>
        <v>87500</v>
      </c>
      <c r="H39" s="107">
        <f>SUM(H3:H38)</f>
        <v>20700</v>
      </c>
      <c r="I39" s="109"/>
      <c r="J39" s="110" t="s">
        <v>105</v>
      </c>
      <c r="K39" s="111">
        <f>SUM(K3:K38)</f>
        <v>105000</v>
      </c>
      <c r="L39" s="111">
        <f t="shared" ref="L39:M39" si="3">SUM(L3:L38)</f>
        <v>1600</v>
      </c>
      <c r="M39" s="111">
        <f t="shared" si="3"/>
        <v>1600</v>
      </c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</row>
    <row r="43" spans="1:34" x14ac:dyDescent="0.2">
      <c r="K43" s="29" t="s">
        <v>106</v>
      </c>
      <c r="L43" s="51"/>
    </row>
    <row r="44" spans="1:34" x14ac:dyDescent="0.2">
      <c r="A44" s="28" t="s">
        <v>106</v>
      </c>
      <c r="B44" s="38"/>
      <c r="C44" s="38"/>
      <c r="K44" s="100" t="s">
        <v>135</v>
      </c>
    </row>
    <row r="45" spans="1:34" x14ac:dyDescent="0.2">
      <c r="A45" s="35">
        <v>1</v>
      </c>
      <c r="B45" s="93" t="s">
        <v>7</v>
      </c>
      <c r="C45" s="35" t="s">
        <v>103</v>
      </c>
      <c r="D45" s="37" t="s">
        <v>8</v>
      </c>
      <c r="E45" s="98" t="s">
        <v>132</v>
      </c>
      <c r="K45" s="113">
        <f>2500+2500</f>
        <v>5000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</row>
    <row r="46" spans="1:34" x14ac:dyDescent="0.2">
      <c r="A46" s="35">
        <v>2</v>
      </c>
      <c r="B46" s="93" t="s">
        <v>10</v>
      </c>
      <c r="C46" s="35" t="s">
        <v>103</v>
      </c>
      <c r="D46" s="37" t="s">
        <v>11</v>
      </c>
      <c r="E46" s="98" t="s">
        <v>132</v>
      </c>
      <c r="K46" s="113">
        <f>2500+2500</f>
        <v>5000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</row>
    <row r="47" spans="1:34" x14ac:dyDescent="0.2">
      <c r="A47" s="35">
        <v>3</v>
      </c>
      <c r="B47" s="94">
        <v>201</v>
      </c>
      <c r="C47" s="35" t="s">
        <v>103</v>
      </c>
      <c r="D47" s="37" t="s">
        <v>13</v>
      </c>
      <c r="E47" s="98" t="s">
        <v>132</v>
      </c>
      <c r="K47" s="113">
        <v>5000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</row>
    <row r="48" spans="1:34" x14ac:dyDescent="0.2">
      <c r="A48" s="35">
        <v>4</v>
      </c>
      <c r="B48" s="94">
        <v>301</v>
      </c>
      <c r="C48" s="35" t="s">
        <v>103</v>
      </c>
      <c r="D48" s="37" t="s">
        <v>15</v>
      </c>
      <c r="E48" s="99" t="s">
        <v>133</v>
      </c>
      <c r="K48" s="113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</row>
    <row r="49" spans="1:34" x14ac:dyDescent="0.2">
      <c r="A49" s="35">
        <v>5</v>
      </c>
      <c r="B49" s="93" t="s">
        <v>17</v>
      </c>
      <c r="C49" s="35" t="s">
        <v>103</v>
      </c>
      <c r="D49" s="37" t="s">
        <v>108</v>
      </c>
      <c r="E49" s="99" t="s">
        <v>133</v>
      </c>
      <c r="K49" s="113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</row>
    <row r="50" spans="1:34" x14ac:dyDescent="0.2">
      <c r="A50" s="35">
        <v>6</v>
      </c>
      <c r="B50" s="94" t="s">
        <v>19</v>
      </c>
      <c r="C50" s="35" t="s">
        <v>103</v>
      </c>
      <c r="D50" s="37" t="s">
        <v>20</v>
      </c>
      <c r="E50" s="98" t="s">
        <v>132</v>
      </c>
      <c r="K50" s="113">
        <f>2500+2500</f>
        <v>5000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</row>
    <row r="51" spans="1:34" x14ac:dyDescent="0.2">
      <c r="A51" s="95">
        <v>7</v>
      </c>
      <c r="B51" s="96" t="s">
        <v>22</v>
      </c>
      <c r="C51" s="95" t="s">
        <v>103</v>
      </c>
      <c r="D51" s="97" t="s">
        <v>23</v>
      </c>
      <c r="E51" s="96"/>
      <c r="K51" s="113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</row>
    <row r="52" spans="1:34" x14ac:dyDescent="0.2">
      <c r="A52" s="35">
        <v>8</v>
      </c>
      <c r="B52" s="93" t="s">
        <v>25</v>
      </c>
      <c r="C52" s="35" t="s">
        <v>103</v>
      </c>
      <c r="D52" s="37" t="s">
        <v>26</v>
      </c>
      <c r="E52" s="98" t="s">
        <v>132</v>
      </c>
      <c r="K52" s="113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</row>
    <row r="53" spans="1:34" x14ac:dyDescent="0.2">
      <c r="A53" s="35">
        <v>9</v>
      </c>
      <c r="B53" s="94" t="s">
        <v>28</v>
      </c>
      <c r="C53" s="35" t="s">
        <v>103</v>
      </c>
      <c r="D53" s="37" t="s">
        <v>130</v>
      </c>
      <c r="E53" s="99" t="s">
        <v>133</v>
      </c>
      <c r="K53" s="113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</row>
    <row r="54" spans="1:34" x14ac:dyDescent="0.2">
      <c r="A54" s="35">
        <v>10</v>
      </c>
      <c r="B54" s="93" t="s">
        <v>31</v>
      </c>
      <c r="C54" s="35" t="s">
        <v>103</v>
      </c>
      <c r="D54" s="37" t="s">
        <v>32</v>
      </c>
      <c r="E54" s="98" t="s">
        <v>132</v>
      </c>
      <c r="K54" s="113">
        <v>5000</v>
      </c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</row>
    <row r="55" spans="1:34" x14ac:dyDescent="0.2">
      <c r="A55" s="35">
        <v>11</v>
      </c>
      <c r="B55" s="93" t="s">
        <v>34</v>
      </c>
      <c r="C55" s="35" t="s">
        <v>103</v>
      </c>
      <c r="D55" s="37" t="s">
        <v>35</v>
      </c>
      <c r="E55" s="99" t="s">
        <v>133</v>
      </c>
      <c r="K55" s="113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</row>
    <row r="56" spans="1:34" x14ac:dyDescent="0.2">
      <c r="A56" s="95">
        <v>12</v>
      </c>
      <c r="B56" s="96" t="s">
        <v>37</v>
      </c>
      <c r="C56" s="95" t="s">
        <v>103</v>
      </c>
      <c r="D56" s="97" t="s">
        <v>38</v>
      </c>
      <c r="E56" s="96"/>
      <c r="K56" s="113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</row>
    <row r="57" spans="1:34" x14ac:dyDescent="0.2">
      <c r="A57" s="35">
        <v>13</v>
      </c>
      <c r="B57" s="93" t="s">
        <v>40</v>
      </c>
      <c r="C57" s="35" t="s">
        <v>103</v>
      </c>
      <c r="D57" s="37" t="s">
        <v>41</v>
      </c>
      <c r="E57" s="98" t="s">
        <v>132</v>
      </c>
      <c r="K57" s="113">
        <v>2500</v>
      </c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</row>
    <row r="58" spans="1:34" x14ac:dyDescent="0.2">
      <c r="A58" s="35">
        <v>14</v>
      </c>
      <c r="B58" s="93" t="s">
        <v>43</v>
      </c>
      <c r="C58" s="35" t="s">
        <v>103</v>
      </c>
      <c r="D58" s="37" t="s">
        <v>44</v>
      </c>
      <c r="E58" s="101" t="s">
        <v>134</v>
      </c>
      <c r="K58" s="113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</row>
    <row r="59" spans="1:34" x14ac:dyDescent="0.2">
      <c r="A59" s="35">
        <v>15</v>
      </c>
      <c r="B59" s="94" t="s">
        <v>46</v>
      </c>
      <c r="C59" s="35" t="s">
        <v>103</v>
      </c>
      <c r="D59" s="37" t="s">
        <v>47</v>
      </c>
      <c r="E59" s="98" t="s">
        <v>132</v>
      </c>
      <c r="K59" s="113">
        <v>5000</v>
      </c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</row>
    <row r="60" spans="1:34" x14ac:dyDescent="0.2">
      <c r="A60" s="35">
        <v>16</v>
      </c>
      <c r="B60" s="94" t="s">
        <v>49</v>
      </c>
      <c r="C60" s="35" t="s">
        <v>103</v>
      </c>
      <c r="D60" s="37" t="s">
        <v>50</v>
      </c>
      <c r="E60" s="98" t="s">
        <v>132</v>
      </c>
      <c r="K60" s="113">
        <f>2500+2500</f>
        <v>5000</v>
      </c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</row>
    <row r="61" spans="1:34" x14ac:dyDescent="0.2">
      <c r="A61" s="35">
        <v>17</v>
      </c>
      <c r="B61" s="93" t="s">
        <v>51</v>
      </c>
      <c r="C61" s="35" t="s">
        <v>104</v>
      </c>
      <c r="D61" s="37" t="s">
        <v>115</v>
      </c>
      <c r="E61" s="101" t="s">
        <v>134</v>
      </c>
      <c r="K61" s="113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</row>
    <row r="62" spans="1:34" x14ac:dyDescent="0.2">
      <c r="A62" s="35">
        <v>18</v>
      </c>
      <c r="B62" s="93" t="s">
        <v>53</v>
      </c>
      <c r="C62" s="35" t="s">
        <v>104</v>
      </c>
      <c r="D62" s="37" t="s">
        <v>54</v>
      </c>
      <c r="E62" s="98" t="s">
        <v>132</v>
      </c>
      <c r="K62" s="113">
        <v>5000</v>
      </c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</row>
    <row r="63" spans="1:34" x14ac:dyDescent="0.2">
      <c r="A63" s="35">
        <v>19</v>
      </c>
      <c r="B63" s="94" t="s">
        <v>56</v>
      </c>
      <c r="C63" s="35" t="s">
        <v>104</v>
      </c>
      <c r="D63" s="37" t="s">
        <v>57</v>
      </c>
      <c r="E63" s="98" t="s">
        <v>132</v>
      </c>
      <c r="K63" s="113">
        <v>5000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</row>
    <row r="64" spans="1:34" x14ac:dyDescent="0.2">
      <c r="A64" s="42">
        <v>20</v>
      </c>
      <c r="B64" s="94" t="s">
        <v>59</v>
      </c>
      <c r="C64" s="42" t="s">
        <v>104</v>
      </c>
      <c r="D64" s="37" t="s">
        <v>60</v>
      </c>
      <c r="E64" s="98" t="s">
        <v>132</v>
      </c>
      <c r="K64" s="113">
        <v>5000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</row>
    <row r="65" spans="1:34" x14ac:dyDescent="0.2">
      <c r="A65" s="35">
        <v>21</v>
      </c>
      <c r="B65" s="93" t="s">
        <v>62</v>
      </c>
      <c r="C65" s="35" t="s">
        <v>104</v>
      </c>
      <c r="D65" s="37" t="s">
        <v>116</v>
      </c>
      <c r="E65" s="99" t="s">
        <v>133</v>
      </c>
      <c r="K65" s="113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</row>
    <row r="66" spans="1:34" x14ac:dyDescent="0.2">
      <c r="A66" s="35">
        <v>22</v>
      </c>
      <c r="B66" s="93" t="s">
        <v>63</v>
      </c>
      <c r="C66" s="35" t="s">
        <v>104</v>
      </c>
      <c r="D66" s="37" t="s">
        <v>64</v>
      </c>
      <c r="E66" s="99" t="s">
        <v>133</v>
      </c>
      <c r="K66" s="113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</row>
    <row r="67" spans="1:34" x14ac:dyDescent="0.2">
      <c r="A67" s="35">
        <v>23</v>
      </c>
      <c r="B67" s="94" t="s">
        <v>65</v>
      </c>
      <c r="C67" s="35" t="s">
        <v>104</v>
      </c>
      <c r="D67" s="37" t="s">
        <v>66</v>
      </c>
      <c r="E67" s="98" t="s">
        <v>132</v>
      </c>
      <c r="K67" s="113">
        <v>5000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</row>
    <row r="68" spans="1:34" x14ac:dyDescent="0.2">
      <c r="A68" s="35">
        <v>24</v>
      </c>
      <c r="B68" s="94" t="s">
        <v>67</v>
      </c>
      <c r="C68" s="35" t="s">
        <v>104</v>
      </c>
      <c r="D68" s="37" t="s">
        <v>68</v>
      </c>
      <c r="E68" s="101" t="s">
        <v>134</v>
      </c>
      <c r="K68" s="113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</row>
    <row r="69" spans="1:34" x14ac:dyDescent="0.2">
      <c r="A69" s="35">
        <v>25</v>
      </c>
      <c r="B69" s="93" t="s">
        <v>69</v>
      </c>
      <c r="C69" s="35" t="s">
        <v>104</v>
      </c>
      <c r="D69" s="37" t="s">
        <v>70</v>
      </c>
      <c r="E69" s="101" t="s">
        <v>134</v>
      </c>
      <c r="K69" s="113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</row>
    <row r="70" spans="1:34" x14ac:dyDescent="0.2">
      <c r="A70" s="35">
        <v>26</v>
      </c>
      <c r="B70" s="93" t="s">
        <v>71</v>
      </c>
      <c r="C70" s="35" t="s">
        <v>104</v>
      </c>
      <c r="D70" s="37" t="s">
        <v>72</v>
      </c>
      <c r="E70" s="99" t="s">
        <v>133</v>
      </c>
      <c r="K70" s="113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</row>
    <row r="71" spans="1:34" x14ac:dyDescent="0.2">
      <c r="A71" s="95">
        <v>27</v>
      </c>
      <c r="B71" s="96" t="s">
        <v>73</v>
      </c>
      <c r="C71" s="95" t="s">
        <v>104</v>
      </c>
      <c r="D71" s="97" t="s">
        <v>128</v>
      </c>
      <c r="E71" s="96"/>
      <c r="K71" s="113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</row>
    <row r="72" spans="1:34" x14ac:dyDescent="0.2">
      <c r="A72" s="35">
        <v>28</v>
      </c>
      <c r="B72" s="94" t="s">
        <v>74</v>
      </c>
      <c r="C72" s="35" t="s">
        <v>104</v>
      </c>
      <c r="D72" s="37" t="s">
        <v>75</v>
      </c>
      <c r="E72" s="98" t="s">
        <v>132</v>
      </c>
      <c r="K72" s="113">
        <v>5000</v>
      </c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</row>
    <row r="73" spans="1:34" x14ac:dyDescent="0.2">
      <c r="A73" s="35">
        <v>29</v>
      </c>
      <c r="B73" s="93" t="s">
        <v>76</v>
      </c>
      <c r="C73" s="35" t="s">
        <v>104</v>
      </c>
      <c r="D73" s="37" t="s">
        <v>77</v>
      </c>
      <c r="E73" s="98" t="s">
        <v>132</v>
      </c>
      <c r="K73" s="113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</row>
    <row r="74" spans="1:34" x14ac:dyDescent="0.2">
      <c r="A74" s="35">
        <v>30</v>
      </c>
      <c r="B74" s="93" t="s">
        <v>78</v>
      </c>
      <c r="C74" s="35" t="s">
        <v>104</v>
      </c>
      <c r="D74" s="37" t="s">
        <v>79</v>
      </c>
      <c r="E74" s="98" t="s">
        <v>132</v>
      </c>
      <c r="K74" s="113">
        <v>5000</v>
      </c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</row>
    <row r="75" spans="1:34" x14ac:dyDescent="0.2">
      <c r="A75" s="35">
        <v>31</v>
      </c>
      <c r="B75" s="94" t="s">
        <v>80</v>
      </c>
      <c r="C75" s="35" t="s">
        <v>104</v>
      </c>
      <c r="D75" s="37" t="s">
        <v>81</v>
      </c>
      <c r="E75" s="98" t="s">
        <v>132</v>
      </c>
      <c r="K75" s="113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</row>
    <row r="76" spans="1:34" x14ac:dyDescent="0.2">
      <c r="A76" s="35">
        <v>30</v>
      </c>
      <c r="B76" s="94" t="s">
        <v>82</v>
      </c>
      <c r="C76" s="35" t="s">
        <v>104</v>
      </c>
      <c r="D76" s="37" t="s">
        <v>83</v>
      </c>
      <c r="E76" s="98" t="s">
        <v>132</v>
      </c>
      <c r="K76" s="113">
        <v>5000</v>
      </c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</row>
    <row r="77" spans="1:34" x14ac:dyDescent="0.2">
      <c r="A77" s="35">
        <v>33</v>
      </c>
      <c r="B77" s="93" t="s">
        <v>84</v>
      </c>
      <c r="C77" s="35" t="s">
        <v>104</v>
      </c>
      <c r="D77" s="37" t="s">
        <v>85</v>
      </c>
      <c r="E77" s="101" t="s">
        <v>134</v>
      </c>
      <c r="K77" s="113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</row>
    <row r="78" spans="1:34" x14ac:dyDescent="0.2">
      <c r="A78" s="35">
        <v>34</v>
      </c>
      <c r="B78" s="93" t="s">
        <v>86</v>
      </c>
      <c r="C78" s="35" t="s">
        <v>104</v>
      </c>
      <c r="D78" s="37" t="s">
        <v>87</v>
      </c>
      <c r="E78" s="98" t="s">
        <v>132</v>
      </c>
      <c r="K78" s="113">
        <f>2500+2500</f>
        <v>5000</v>
      </c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</row>
    <row r="79" spans="1:34" x14ac:dyDescent="0.2">
      <c r="A79" s="35">
        <v>35</v>
      </c>
      <c r="B79" s="94" t="s">
        <v>88</v>
      </c>
      <c r="C79" s="35" t="s">
        <v>104</v>
      </c>
      <c r="D79" s="37" t="s">
        <v>89</v>
      </c>
      <c r="E79" s="98" t="s">
        <v>132</v>
      </c>
      <c r="K79" s="113">
        <v>5000</v>
      </c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</row>
    <row r="80" spans="1:34" x14ac:dyDescent="0.2">
      <c r="A80" s="95">
        <v>36</v>
      </c>
      <c r="B80" s="96" t="s">
        <v>90</v>
      </c>
      <c r="C80" s="95" t="s">
        <v>104</v>
      </c>
      <c r="D80" s="97" t="s">
        <v>91</v>
      </c>
      <c r="E80" s="96"/>
      <c r="K80" s="114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</row>
    <row r="81" spans="10:34" x14ac:dyDescent="0.2">
      <c r="J81" s="116" t="s">
        <v>105</v>
      </c>
      <c r="K81" s="108">
        <f>SUM(K45:K80)</f>
        <v>82500</v>
      </c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4.5" bestFit="1" customWidth="1"/>
    <col min="2" max="2" width="63.5" bestFit="1" customWidth="1"/>
    <col min="3" max="3" width="7" bestFit="1" customWidth="1"/>
    <col min="4" max="4" width="12" bestFit="1" customWidth="1"/>
  </cols>
  <sheetData>
    <row r="1" spans="1:5" x14ac:dyDescent="0.2">
      <c r="C1" t="s">
        <v>178</v>
      </c>
      <c r="E1" t="s">
        <v>179</v>
      </c>
    </row>
    <row r="2" spans="1:5" x14ac:dyDescent="0.2">
      <c r="A2" s="130" t="s">
        <v>159</v>
      </c>
      <c r="B2" s="130" t="s">
        <v>156</v>
      </c>
      <c r="C2" s="130" t="s">
        <v>160</v>
      </c>
      <c r="D2" s="130"/>
    </row>
    <row r="3" spans="1:5" ht="30" x14ac:dyDescent="0.2">
      <c r="A3">
        <v>1</v>
      </c>
      <c r="B3" s="131" t="s">
        <v>161</v>
      </c>
      <c r="C3">
        <v>2495</v>
      </c>
    </row>
    <row r="4" spans="1:5" x14ac:dyDescent="0.2">
      <c r="A4">
        <v>2</v>
      </c>
      <c r="B4" s="132" t="s">
        <v>162</v>
      </c>
      <c r="C4" s="133">
        <v>2598</v>
      </c>
    </row>
    <row r="5" spans="1:5" x14ac:dyDescent="0.2">
      <c r="A5">
        <v>3</v>
      </c>
      <c r="B5" t="s">
        <v>163</v>
      </c>
      <c r="C5">
        <v>3779</v>
      </c>
    </row>
    <row r="6" spans="1:5" x14ac:dyDescent="0.2">
      <c r="A6">
        <v>4</v>
      </c>
      <c r="B6" s="132" t="s">
        <v>164</v>
      </c>
      <c r="C6">
        <v>845</v>
      </c>
    </row>
    <row r="7" spans="1:5" x14ac:dyDescent="0.2">
      <c r="A7">
        <v>5</v>
      </c>
      <c r="B7" s="131" t="s">
        <v>165</v>
      </c>
      <c r="C7" s="133">
        <v>13310</v>
      </c>
    </row>
    <row r="8" spans="1:5" x14ac:dyDescent="0.2">
      <c r="A8">
        <v>6</v>
      </c>
      <c r="B8" s="202" t="s">
        <v>166</v>
      </c>
      <c r="C8" s="203">
        <v>5172</v>
      </c>
    </row>
    <row r="9" spans="1:5" x14ac:dyDescent="0.2">
      <c r="A9">
        <v>7</v>
      </c>
      <c r="B9" s="202"/>
      <c r="C9" s="203"/>
    </row>
    <row r="10" spans="1:5" x14ac:dyDescent="0.2">
      <c r="A10">
        <v>8</v>
      </c>
      <c r="B10" s="202"/>
      <c r="C10" s="203"/>
    </row>
    <row r="11" spans="1:5" x14ac:dyDescent="0.2">
      <c r="A11">
        <v>9</v>
      </c>
      <c r="B11" t="s">
        <v>167</v>
      </c>
      <c r="C11">
        <v>21600</v>
      </c>
    </row>
    <row r="12" spans="1:5" x14ac:dyDescent="0.2">
      <c r="A12">
        <v>10</v>
      </c>
      <c r="B12" s="134" t="s">
        <v>168</v>
      </c>
      <c r="C12">
        <v>10818</v>
      </c>
    </row>
    <row r="13" spans="1:5" x14ac:dyDescent="0.2">
      <c r="A13">
        <v>12</v>
      </c>
      <c r="B13" s="134" t="s">
        <v>169</v>
      </c>
      <c r="C13">
        <v>2332</v>
      </c>
    </row>
    <row r="14" spans="1:5" x14ac:dyDescent="0.2">
      <c r="A14">
        <v>13</v>
      </c>
      <c r="B14" t="s">
        <v>170</v>
      </c>
      <c r="C14">
        <v>18000</v>
      </c>
    </row>
    <row r="15" spans="1:5" x14ac:dyDescent="0.2">
      <c r="A15">
        <v>14</v>
      </c>
      <c r="B15" t="s">
        <v>171</v>
      </c>
      <c r="C15">
        <v>849</v>
      </c>
    </row>
    <row r="16" spans="1:5" x14ac:dyDescent="0.2">
      <c r="A16">
        <v>15</v>
      </c>
      <c r="B16" s="134" t="s">
        <v>172</v>
      </c>
      <c r="C16" s="135">
        <v>15299</v>
      </c>
    </row>
    <row r="17" spans="1:3" x14ac:dyDescent="0.2">
      <c r="A17">
        <v>16</v>
      </c>
      <c r="B17" s="134" t="s">
        <v>173</v>
      </c>
      <c r="C17" s="135">
        <v>6745</v>
      </c>
    </row>
    <row r="18" spans="1:3" x14ac:dyDescent="0.2">
      <c r="A18">
        <v>17</v>
      </c>
      <c r="B18" s="134" t="s">
        <v>174</v>
      </c>
      <c r="C18" s="135">
        <v>2100</v>
      </c>
    </row>
    <row r="19" spans="1:3" x14ac:dyDescent="0.2">
      <c r="A19">
        <v>18</v>
      </c>
      <c r="B19" t="s">
        <v>175</v>
      </c>
      <c r="C19">
        <v>647</v>
      </c>
    </row>
    <row r="20" spans="1:3" x14ac:dyDescent="0.2">
      <c r="A20">
        <v>19</v>
      </c>
      <c r="B20" s="137" t="s">
        <v>177</v>
      </c>
      <c r="C20" s="135">
        <v>1800</v>
      </c>
    </row>
    <row r="21" spans="1:3" x14ac:dyDescent="0.2">
      <c r="A21">
        <v>20</v>
      </c>
      <c r="B21" s="134" t="s">
        <v>176</v>
      </c>
      <c r="C21">
        <v>1500</v>
      </c>
    </row>
    <row r="22" spans="1:3" x14ac:dyDescent="0.2">
      <c r="C22">
        <v>176</v>
      </c>
    </row>
    <row r="23" spans="1:3" x14ac:dyDescent="0.2">
      <c r="B23" s="138"/>
    </row>
    <row r="25" spans="1:3" x14ac:dyDescent="0.2">
      <c r="B25" s="130" t="s">
        <v>105</v>
      </c>
      <c r="C25" s="130">
        <f>SUM(C3:C23)</f>
        <v>110065</v>
      </c>
    </row>
  </sheetData>
  <mergeCells count="2">
    <mergeCell ref="B8:B10"/>
    <mergeCell ref="C8:C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opLeftCell="S17" zoomScale="150" zoomScaleNormal="150" zoomScalePageLayoutView="150" workbookViewId="0">
      <selection activeCell="Y21" sqref="Y21"/>
    </sheetView>
  </sheetViews>
  <sheetFormatPr baseColWidth="10" defaultColWidth="11.5" defaultRowHeight="15" x14ac:dyDescent="0.2"/>
  <cols>
    <col min="10" max="10" width="15" bestFit="1" customWidth="1"/>
    <col min="12" max="12" width="13.33203125" bestFit="1" customWidth="1"/>
  </cols>
  <sheetData>
    <row r="1" spans="1:27" ht="15" customHeight="1" x14ac:dyDescent="0.2">
      <c r="A1" s="202" t="s">
        <v>188</v>
      </c>
      <c r="B1" s="202"/>
      <c r="D1" s="202" t="s">
        <v>190</v>
      </c>
      <c r="E1" s="202"/>
      <c r="F1" s="202" t="s">
        <v>193</v>
      </c>
      <c r="G1" s="202"/>
      <c r="H1" s="202" t="s">
        <v>194</v>
      </c>
      <c r="I1" s="202"/>
      <c r="J1" s="202" t="s">
        <v>197</v>
      </c>
      <c r="K1" s="202"/>
      <c r="L1" s="204" t="s">
        <v>200</v>
      </c>
      <c r="M1" s="204"/>
      <c r="N1" s="202" t="s">
        <v>203</v>
      </c>
      <c r="O1" s="202"/>
      <c r="P1" s="202" t="s">
        <v>204</v>
      </c>
      <c r="Q1" s="202"/>
      <c r="R1" s="202" t="s">
        <v>205</v>
      </c>
      <c r="S1" s="202"/>
      <c r="T1" s="202" t="s">
        <v>207</v>
      </c>
      <c r="U1" s="202"/>
      <c r="V1" s="202" t="s">
        <v>208</v>
      </c>
      <c r="W1" s="202"/>
      <c r="X1" s="202" t="s">
        <v>209</v>
      </c>
      <c r="Y1" s="202"/>
    </row>
    <row r="2" spans="1:27" x14ac:dyDescent="0.2">
      <c r="A2" t="s">
        <v>186</v>
      </c>
      <c r="B2" t="s">
        <v>187</v>
      </c>
      <c r="D2" t="s">
        <v>186</v>
      </c>
      <c r="E2" t="s">
        <v>187</v>
      </c>
      <c r="F2" t="s">
        <v>186</v>
      </c>
      <c r="G2" t="s">
        <v>187</v>
      </c>
      <c r="H2" t="s">
        <v>186</v>
      </c>
      <c r="I2" t="s">
        <v>187</v>
      </c>
      <c r="J2" t="s">
        <v>186</v>
      </c>
      <c r="K2" t="s">
        <v>187</v>
      </c>
      <c r="N2" t="s">
        <v>186</v>
      </c>
      <c r="O2" t="s">
        <v>187</v>
      </c>
      <c r="P2" t="s">
        <v>186</v>
      </c>
      <c r="Q2" t="s">
        <v>187</v>
      </c>
      <c r="R2" t="s">
        <v>186</v>
      </c>
      <c r="S2" t="s">
        <v>187</v>
      </c>
      <c r="T2" t="s">
        <v>186</v>
      </c>
      <c r="U2" t="s">
        <v>187</v>
      </c>
      <c r="V2" t="s">
        <v>186</v>
      </c>
      <c r="W2" t="s">
        <v>187</v>
      </c>
      <c r="X2" t="s">
        <v>186</v>
      </c>
      <c r="Y2" t="s">
        <v>187</v>
      </c>
    </row>
    <row r="3" spans="1:27" x14ac:dyDescent="0.2">
      <c r="A3" s="165">
        <v>42152</v>
      </c>
      <c r="B3">
        <v>361</v>
      </c>
      <c r="D3" s="165">
        <v>42196</v>
      </c>
      <c r="E3">
        <v>370</v>
      </c>
      <c r="F3" s="165">
        <v>42227</v>
      </c>
      <c r="G3">
        <v>1300</v>
      </c>
      <c r="H3" s="165">
        <v>42282</v>
      </c>
      <c r="I3">
        <v>325</v>
      </c>
      <c r="J3" s="165">
        <v>42312</v>
      </c>
      <c r="K3">
        <v>662</v>
      </c>
      <c r="L3" t="s">
        <v>199</v>
      </c>
      <c r="M3" s="153">
        <v>135715</v>
      </c>
      <c r="N3" s="165">
        <v>42380</v>
      </c>
      <c r="O3">
        <v>315</v>
      </c>
      <c r="P3" s="165">
        <v>42428</v>
      </c>
      <c r="Q3">
        <v>306</v>
      </c>
      <c r="R3" s="170">
        <v>42460</v>
      </c>
      <c r="S3">
        <v>606</v>
      </c>
      <c r="T3" s="165">
        <v>42516</v>
      </c>
      <c r="U3">
        <v>1254</v>
      </c>
      <c r="V3" s="165">
        <v>42568</v>
      </c>
      <c r="W3">
        <v>330</v>
      </c>
      <c r="X3" s="165">
        <v>42618</v>
      </c>
      <c r="Y3">
        <v>861</v>
      </c>
    </row>
    <row r="4" spans="1:27" x14ac:dyDescent="0.2">
      <c r="A4" s="165">
        <v>42153</v>
      </c>
      <c r="B4">
        <v>15</v>
      </c>
      <c r="D4" s="165">
        <v>42198</v>
      </c>
      <c r="E4">
        <v>1114</v>
      </c>
      <c r="F4" s="165">
        <v>42240</v>
      </c>
      <c r="G4">
        <v>326</v>
      </c>
      <c r="H4" s="165">
        <v>42283</v>
      </c>
      <c r="I4">
        <v>652</v>
      </c>
      <c r="J4" s="165">
        <v>42317</v>
      </c>
      <c r="K4">
        <v>0</v>
      </c>
      <c r="L4" t="s">
        <v>201</v>
      </c>
      <c r="M4" s="153">
        <v>117833</v>
      </c>
      <c r="N4" s="165">
        <v>42381</v>
      </c>
      <c r="O4">
        <v>315</v>
      </c>
      <c r="P4" s="165">
        <v>42434</v>
      </c>
      <c r="Q4">
        <v>305</v>
      </c>
      <c r="R4" s="165">
        <v>42462</v>
      </c>
      <c r="S4">
        <v>296</v>
      </c>
      <c r="T4" s="165">
        <v>42517</v>
      </c>
      <c r="U4">
        <v>314</v>
      </c>
      <c r="V4" s="165">
        <v>42570</v>
      </c>
      <c r="W4">
        <v>992</v>
      </c>
      <c r="X4" s="165">
        <v>42619</v>
      </c>
      <c r="Y4">
        <v>288</v>
      </c>
    </row>
    <row r="5" spans="1:27" x14ac:dyDescent="0.2">
      <c r="B5">
        <v>52</v>
      </c>
      <c r="D5" s="165">
        <v>42201</v>
      </c>
      <c r="E5">
        <v>373</v>
      </c>
      <c r="F5" s="165">
        <v>42229</v>
      </c>
      <c r="G5">
        <v>324</v>
      </c>
      <c r="J5" s="165">
        <v>42336</v>
      </c>
      <c r="K5">
        <v>994</v>
      </c>
      <c r="L5" t="s">
        <v>202</v>
      </c>
      <c r="M5" s="150">
        <f>M3-M4</f>
        <v>17882</v>
      </c>
      <c r="N5" s="165">
        <v>42383</v>
      </c>
      <c r="O5">
        <v>1263</v>
      </c>
      <c r="P5" s="165">
        <v>42435</v>
      </c>
      <c r="Q5">
        <v>916</v>
      </c>
      <c r="R5" s="165">
        <v>42463</v>
      </c>
      <c r="S5">
        <v>889</v>
      </c>
      <c r="T5" s="165">
        <v>42528</v>
      </c>
      <c r="U5">
        <v>13</v>
      </c>
      <c r="V5" s="165">
        <v>42571</v>
      </c>
      <c r="W5">
        <v>1324</v>
      </c>
      <c r="X5" s="165">
        <v>42620</v>
      </c>
      <c r="Y5">
        <v>574</v>
      </c>
    </row>
    <row r="6" spans="1:27" x14ac:dyDescent="0.2">
      <c r="B6">
        <v>25</v>
      </c>
      <c r="D6" s="165">
        <v>42203</v>
      </c>
      <c r="E6">
        <v>1493</v>
      </c>
      <c r="F6" s="165">
        <v>42245</v>
      </c>
      <c r="G6">
        <v>325</v>
      </c>
      <c r="J6" s="165">
        <v>42337</v>
      </c>
      <c r="K6">
        <v>1326</v>
      </c>
      <c r="N6" s="165">
        <v>42385</v>
      </c>
      <c r="O6">
        <v>315</v>
      </c>
      <c r="P6" s="165">
        <v>42436</v>
      </c>
      <c r="Q6">
        <v>306</v>
      </c>
      <c r="R6" s="165">
        <v>42465</v>
      </c>
      <c r="S6">
        <v>296</v>
      </c>
      <c r="T6" s="165">
        <v>42528</v>
      </c>
      <c r="U6">
        <v>36</v>
      </c>
      <c r="V6" s="165">
        <v>42572</v>
      </c>
      <c r="W6">
        <v>332</v>
      </c>
      <c r="X6" s="165">
        <v>42625</v>
      </c>
      <c r="Y6">
        <v>574</v>
      </c>
    </row>
    <row r="7" spans="1:27" x14ac:dyDescent="0.2">
      <c r="B7">
        <v>22</v>
      </c>
      <c r="D7" s="165">
        <v>42205</v>
      </c>
      <c r="E7">
        <v>375</v>
      </c>
      <c r="F7" s="165">
        <v>42252</v>
      </c>
      <c r="G7">
        <v>325</v>
      </c>
      <c r="J7" s="165">
        <v>42346</v>
      </c>
      <c r="K7">
        <v>325</v>
      </c>
      <c r="N7" s="165">
        <v>42387</v>
      </c>
      <c r="O7">
        <v>315</v>
      </c>
      <c r="P7" s="165">
        <v>42437</v>
      </c>
      <c r="Q7">
        <v>306</v>
      </c>
      <c r="R7" s="165">
        <v>42472</v>
      </c>
      <c r="S7">
        <v>296</v>
      </c>
      <c r="T7" s="165">
        <v>42542</v>
      </c>
      <c r="U7">
        <v>319</v>
      </c>
      <c r="V7" s="165">
        <v>42573</v>
      </c>
      <c r="W7">
        <v>332</v>
      </c>
      <c r="X7" s="165">
        <v>42626</v>
      </c>
      <c r="Y7">
        <v>288</v>
      </c>
    </row>
    <row r="8" spans="1:27" x14ac:dyDescent="0.2">
      <c r="A8" s="165">
        <v>42154</v>
      </c>
      <c r="B8">
        <v>361</v>
      </c>
      <c r="D8" s="165">
        <v>42210</v>
      </c>
      <c r="E8">
        <v>649</v>
      </c>
      <c r="F8" s="165">
        <v>42255</v>
      </c>
      <c r="G8">
        <v>326</v>
      </c>
      <c r="J8" s="165">
        <v>42347</v>
      </c>
      <c r="K8">
        <v>326</v>
      </c>
      <c r="N8" s="165">
        <v>42390</v>
      </c>
      <c r="O8">
        <v>947</v>
      </c>
      <c r="P8" s="165">
        <v>42440</v>
      </c>
      <c r="Q8">
        <v>305</v>
      </c>
      <c r="R8" s="165">
        <v>42478</v>
      </c>
      <c r="S8">
        <v>298</v>
      </c>
      <c r="T8" s="165">
        <v>42546</v>
      </c>
      <c r="U8">
        <v>321</v>
      </c>
      <c r="V8" s="171">
        <v>42579</v>
      </c>
      <c r="W8" s="172">
        <v>-1053</v>
      </c>
      <c r="X8" s="165">
        <v>42629</v>
      </c>
      <c r="Y8">
        <v>287</v>
      </c>
    </row>
    <row r="9" spans="1:27" x14ac:dyDescent="0.2">
      <c r="A9" s="165">
        <v>42157</v>
      </c>
      <c r="B9">
        <v>727</v>
      </c>
      <c r="D9" s="165">
        <v>42211</v>
      </c>
      <c r="E9">
        <v>1299</v>
      </c>
      <c r="F9" s="165">
        <v>42256</v>
      </c>
      <c r="G9">
        <v>325</v>
      </c>
      <c r="J9" s="165">
        <v>42348</v>
      </c>
      <c r="K9">
        <v>326</v>
      </c>
      <c r="N9" s="165">
        <v>42391</v>
      </c>
      <c r="O9">
        <v>1262</v>
      </c>
      <c r="P9" s="165">
        <v>42446</v>
      </c>
      <c r="Q9">
        <v>306</v>
      </c>
      <c r="R9" s="165">
        <v>42482</v>
      </c>
      <c r="S9">
        <v>8</v>
      </c>
      <c r="T9" s="165">
        <v>42547</v>
      </c>
      <c r="U9">
        <v>643</v>
      </c>
      <c r="V9" s="165">
        <v>42580</v>
      </c>
      <c r="W9">
        <v>287</v>
      </c>
      <c r="X9" s="165">
        <v>42630</v>
      </c>
      <c r="Y9">
        <v>287</v>
      </c>
    </row>
    <row r="10" spans="1:27" x14ac:dyDescent="0.2">
      <c r="A10" s="165">
        <v>42166</v>
      </c>
      <c r="B10">
        <v>357</v>
      </c>
      <c r="D10" s="165">
        <v>42212</v>
      </c>
      <c r="E10">
        <v>326</v>
      </c>
      <c r="F10" s="165">
        <v>42260</v>
      </c>
      <c r="G10">
        <v>325</v>
      </c>
      <c r="J10" s="165">
        <v>42352</v>
      </c>
      <c r="K10">
        <v>44</v>
      </c>
      <c r="N10" s="165">
        <v>42392</v>
      </c>
      <c r="O10">
        <v>315</v>
      </c>
      <c r="P10" s="165">
        <v>42449</v>
      </c>
      <c r="Q10">
        <v>305</v>
      </c>
      <c r="R10" s="165">
        <v>42483</v>
      </c>
      <c r="S10">
        <v>300</v>
      </c>
      <c r="T10" s="165">
        <v>42548</v>
      </c>
      <c r="U10">
        <v>966</v>
      </c>
      <c r="V10" s="165">
        <v>42581</v>
      </c>
      <c r="W10">
        <v>862</v>
      </c>
      <c r="X10" s="165">
        <v>42633</v>
      </c>
      <c r="Y10">
        <v>574</v>
      </c>
    </row>
    <row r="11" spans="1:27" x14ac:dyDescent="0.2">
      <c r="A11" s="165">
        <v>42167</v>
      </c>
      <c r="B11">
        <v>357</v>
      </c>
      <c r="D11" s="165">
        <v>42213</v>
      </c>
      <c r="E11">
        <v>974</v>
      </c>
      <c r="F11" s="165">
        <v>42269</v>
      </c>
      <c r="G11">
        <v>326</v>
      </c>
      <c r="J11" s="165">
        <v>42352</v>
      </c>
      <c r="K11">
        <v>11</v>
      </c>
      <c r="N11" s="165">
        <v>42393</v>
      </c>
      <c r="O11">
        <v>631</v>
      </c>
      <c r="P11" s="165">
        <v>42453</v>
      </c>
      <c r="Q11">
        <v>611</v>
      </c>
      <c r="R11" s="165">
        <v>42487</v>
      </c>
      <c r="S11">
        <v>302</v>
      </c>
      <c r="T11" s="165">
        <v>42551</v>
      </c>
      <c r="U11">
        <v>323</v>
      </c>
      <c r="V11" s="165">
        <v>42582</v>
      </c>
      <c r="W11">
        <v>862</v>
      </c>
      <c r="X11" s="165">
        <v>42636</v>
      </c>
      <c r="Y11">
        <v>574</v>
      </c>
    </row>
    <row r="12" spans="1:27" x14ac:dyDescent="0.2">
      <c r="A12" s="165">
        <v>42168</v>
      </c>
      <c r="B12">
        <v>1073</v>
      </c>
      <c r="D12" s="165">
        <v>42214</v>
      </c>
      <c r="E12">
        <v>324</v>
      </c>
      <c r="F12" s="165">
        <v>42273</v>
      </c>
      <c r="G12">
        <v>652</v>
      </c>
      <c r="J12" s="165">
        <v>42352</v>
      </c>
      <c r="K12">
        <v>10</v>
      </c>
      <c r="N12" s="165">
        <v>42397</v>
      </c>
      <c r="O12">
        <v>316</v>
      </c>
      <c r="P12" s="165">
        <v>42456</v>
      </c>
      <c r="Q12">
        <v>610</v>
      </c>
      <c r="R12" s="165">
        <v>42490</v>
      </c>
      <c r="S12">
        <v>302</v>
      </c>
      <c r="T12" s="165">
        <v>42551</v>
      </c>
      <c r="U12">
        <v>293</v>
      </c>
      <c r="V12" s="165">
        <v>42583</v>
      </c>
      <c r="W12">
        <v>1147</v>
      </c>
      <c r="X12" s="165">
        <v>42637</v>
      </c>
      <c r="Y12">
        <v>575</v>
      </c>
    </row>
    <row r="13" spans="1:27" x14ac:dyDescent="0.2">
      <c r="A13" s="165">
        <v>42170</v>
      </c>
      <c r="B13">
        <v>359</v>
      </c>
      <c r="D13" s="165">
        <v>42207</v>
      </c>
      <c r="E13">
        <v>-1647</v>
      </c>
      <c r="F13" s="165">
        <v>42276</v>
      </c>
      <c r="G13">
        <v>651</v>
      </c>
      <c r="J13" s="165">
        <v>42366</v>
      </c>
      <c r="K13">
        <v>326</v>
      </c>
      <c r="N13" s="165">
        <v>42398</v>
      </c>
      <c r="O13">
        <v>315</v>
      </c>
      <c r="P13" s="165">
        <v>42457</v>
      </c>
      <c r="Q13">
        <v>306</v>
      </c>
      <c r="R13" s="165">
        <v>42491</v>
      </c>
      <c r="S13">
        <v>304</v>
      </c>
      <c r="T13" s="165">
        <v>42552</v>
      </c>
      <c r="U13">
        <v>646</v>
      </c>
      <c r="V13" s="165">
        <v>42584</v>
      </c>
      <c r="W13">
        <v>862</v>
      </c>
      <c r="X13" s="165">
        <v>42641</v>
      </c>
      <c r="Y13">
        <v>574</v>
      </c>
    </row>
    <row r="14" spans="1:27" x14ac:dyDescent="0.2">
      <c r="A14" s="165">
        <v>42171</v>
      </c>
      <c r="B14">
        <v>359</v>
      </c>
      <c r="D14" s="165">
        <v>42217</v>
      </c>
      <c r="E14">
        <v>325</v>
      </c>
      <c r="F14" s="165">
        <v>42277</v>
      </c>
      <c r="G14">
        <v>581</v>
      </c>
      <c r="J14" s="165">
        <v>42367</v>
      </c>
      <c r="K14">
        <v>651</v>
      </c>
      <c r="N14" s="165">
        <v>42399</v>
      </c>
      <c r="O14">
        <v>1261</v>
      </c>
      <c r="P14" s="165">
        <v>42458</v>
      </c>
      <c r="Q14">
        <v>305</v>
      </c>
      <c r="R14" s="165">
        <v>42492</v>
      </c>
      <c r="S14">
        <v>303</v>
      </c>
      <c r="T14" s="165">
        <v>42554</v>
      </c>
      <c r="U14">
        <v>324</v>
      </c>
      <c r="V14" s="165">
        <v>42585</v>
      </c>
      <c r="W14">
        <v>574</v>
      </c>
      <c r="X14" s="165">
        <v>42642</v>
      </c>
      <c r="Y14">
        <v>862</v>
      </c>
    </row>
    <row r="15" spans="1:27" x14ac:dyDescent="0.2">
      <c r="A15" s="165">
        <v>42172</v>
      </c>
      <c r="B15">
        <v>359</v>
      </c>
      <c r="D15" s="165">
        <v>42218</v>
      </c>
      <c r="E15">
        <v>325</v>
      </c>
      <c r="F15" s="165">
        <v>42278</v>
      </c>
      <c r="G15">
        <v>326</v>
      </c>
      <c r="J15" s="165">
        <v>42368</v>
      </c>
      <c r="K15">
        <v>651</v>
      </c>
      <c r="N15" s="165">
        <v>42400</v>
      </c>
      <c r="O15">
        <v>316</v>
      </c>
      <c r="P15" s="165">
        <v>42459</v>
      </c>
      <c r="Q15">
        <v>306</v>
      </c>
      <c r="R15" s="165">
        <v>42496</v>
      </c>
      <c r="S15">
        <v>306</v>
      </c>
      <c r="T15" s="165">
        <v>42558</v>
      </c>
      <c r="U15">
        <v>978</v>
      </c>
      <c r="V15" s="165">
        <v>42586</v>
      </c>
      <c r="W15">
        <v>1148</v>
      </c>
      <c r="X15" s="165">
        <v>42643</v>
      </c>
      <c r="Y15">
        <v>862</v>
      </c>
    </row>
    <row r="16" spans="1:27" ht="17" x14ac:dyDescent="0.2">
      <c r="A16" s="165">
        <v>42179</v>
      </c>
      <c r="B16">
        <v>10</v>
      </c>
      <c r="D16" s="165">
        <v>42219</v>
      </c>
      <c r="E16">
        <v>325</v>
      </c>
      <c r="J16" s="165">
        <v>42372</v>
      </c>
      <c r="K16">
        <v>651</v>
      </c>
      <c r="N16" s="165">
        <v>42401</v>
      </c>
      <c r="O16">
        <v>315</v>
      </c>
      <c r="R16" s="165">
        <v>42497</v>
      </c>
      <c r="S16">
        <v>611</v>
      </c>
      <c r="T16" s="165">
        <v>42559</v>
      </c>
      <c r="U16">
        <v>326</v>
      </c>
      <c r="V16" s="165">
        <v>42587</v>
      </c>
      <c r="W16">
        <v>2011</v>
      </c>
      <c r="X16" s="165">
        <v>42643</v>
      </c>
      <c r="Y16">
        <v>313</v>
      </c>
      <c r="AA16" s="205"/>
    </row>
    <row r="17" spans="1:27" ht="17" x14ac:dyDescent="0.2">
      <c r="B17">
        <v>18</v>
      </c>
      <c r="D17" s="165">
        <v>42220</v>
      </c>
      <c r="E17">
        <v>650</v>
      </c>
      <c r="J17" s="165">
        <v>42373</v>
      </c>
      <c r="K17">
        <v>976</v>
      </c>
      <c r="N17" s="165">
        <v>42403</v>
      </c>
      <c r="O17">
        <v>1261</v>
      </c>
      <c r="R17" s="165">
        <v>42498</v>
      </c>
      <c r="S17">
        <v>306</v>
      </c>
      <c r="T17" s="165">
        <v>42560</v>
      </c>
      <c r="U17">
        <v>327</v>
      </c>
      <c r="V17" s="165">
        <v>42596</v>
      </c>
      <c r="W17">
        <v>288</v>
      </c>
      <c r="X17" s="165">
        <v>42644</v>
      </c>
      <c r="Y17">
        <v>574</v>
      </c>
      <c r="AA17" s="205"/>
    </row>
    <row r="18" spans="1:27" x14ac:dyDescent="0.2">
      <c r="B18">
        <v>24</v>
      </c>
      <c r="D18" s="165">
        <v>42221</v>
      </c>
      <c r="E18">
        <v>325</v>
      </c>
      <c r="J18" s="165">
        <v>42377</v>
      </c>
      <c r="K18">
        <v>947</v>
      </c>
      <c r="N18" s="165">
        <v>42404</v>
      </c>
      <c r="O18">
        <v>616</v>
      </c>
      <c r="R18" s="165">
        <v>42501</v>
      </c>
      <c r="S18">
        <v>308</v>
      </c>
      <c r="T18" s="165">
        <v>42561</v>
      </c>
      <c r="U18">
        <v>327</v>
      </c>
      <c r="V18" s="165">
        <v>42598</v>
      </c>
      <c r="W18">
        <v>286</v>
      </c>
      <c r="X18" s="165">
        <v>42648</v>
      </c>
      <c r="Y18">
        <v>287</v>
      </c>
    </row>
    <row r="19" spans="1:27" x14ac:dyDescent="0.2">
      <c r="B19">
        <v>8</v>
      </c>
      <c r="D19" s="165">
        <v>42224</v>
      </c>
      <c r="E19">
        <v>650</v>
      </c>
      <c r="J19" s="165">
        <v>42379</v>
      </c>
      <c r="K19">
        <v>315</v>
      </c>
      <c r="N19" s="165">
        <v>42405</v>
      </c>
      <c r="O19">
        <v>307</v>
      </c>
      <c r="R19" s="165">
        <v>42504</v>
      </c>
      <c r="S19">
        <v>308</v>
      </c>
      <c r="T19" s="165">
        <v>42563</v>
      </c>
      <c r="U19">
        <v>1311</v>
      </c>
      <c r="V19" s="165">
        <v>42600</v>
      </c>
      <c r="W19">
        <v>288</v>
      </c>
      <c r="X19" s="165">
        <v>42651</v>
      </c>
      <c r="Y19">
        <v>287</v>
      </c>
    </row>
    <row r="20" spans="1:27" x14ac:dyDescent="0.2">
      <c r="A20" s="165">
        <v>42187</v>
      </c>
      <c r="B20">
        <v>366</v>
      </c>
      <c r="D20" s="165">
        <v>42225</v>
      </c>
      <c r="E20">
        <v>324</v>
      </c>
      <c r="J20" t="s">
        <v>198</v>
      </c>
      <c r="K20">
        <v>17882</v>
      </c>
      <c r="N20" s="165">
        <v>42406</v>
      </c>
      <c r="O20">
        <v>922</v>
      </c>
      <c r="T20" s="165">
        <v>42565</v>
      </c>
      <c r="U20">
        <v>329</v>
      </c>
      <c r="V20" s="165">
        <v>42601</v>
      </c>
      <c r="W20">
        <v>1148</v>
      </c>
      <c r="X20" s="165">
        <v>42652</v>
      </c>
      <c r="Y20">
        <v>288</v>
      </c>
    </row>
    <row r="21" spans="1:27" x14ac:dyDescent="0.2">
      <c r="A21" s="165">
        <v>42188</v>
      </c>
      <c r="B21">
        <v>367</v>
      </c>
      <c r="D21" t="s">
        <v>105</v>
      </c>
      <c r="E21">
        <f>SUM(E3:E20)</f>
        <v>8574</v>
      </c>
      <c r="F21" t="s">
        <v>105</v>
      </c>
      <c r="G21">
        <f>SUM(G3:G20)</f>
        <v>6112</v>
      </c>
      <c r="I21">
        <f>SUM(I3:I20)</f>
        <v>977</v>
      </c>
      <c r="K21">
        <f>SUM(K3:K20)</f>
        <v>26423</v>
      </c>
      <c r="N21" s="165">
        <v>42407</v>
      </c>
      <c r="O21">
        <v>2153</v>
      </c>
      <c r="T21" s="165">
        <v>42567</v>
      </c>
      <c r="U21">
        <v>329</v>
      </c>
      <c r="V21" s="165">
        <v>42603</v>
      </c>
      <c r="W21">
        <v>288</v>
      </c>
      <c r="X21" s="165"/>
    </row>
    <row r="22" spans="1:27" x14ac:dyDescent="0.2">
      <c r="A22" s="165">
        <v>42189</v>
      </c>
      <c r="B22">
        <v>367</v>
      </c>
      <c r="N22" s="165">
        <v>42409</v>
      </c>
      <c r="O22">
        <v>615</v>
      </c>
      <c r="V22" s="165">
        <v>42604</v>
      </c>
      <c r="W22">
        <v>574</v>
      </c>
      <c r="X22" s="165"/>
    </row>
    <row r="23" spans="1:27" x14ac:dyDescent="0.2">
      <c r="A23" s="165">
        <v>42192</v>
      </c>
      <c r="B23">
        <v>737</v>
      </c>
      <c r="N23" s="165">
        <v>42416</v>
      </c>
      <c r="O23">
        <v>306</v>
      </c>
      <c r="V23" s="165">
        <v>42605</v>
      </c>
      <c r="W23">
        <v>287</v>
      </c>
      <c r="X23" s="165"/>
    </row>
    <row r="24" spans="1:27" x14ac:dyDescent="0.2">
      <c r="A24" s="165">
        <v>42193</v>
      </c>
      <c r="B24">
        <v>1476</v>
      </c>
      <c r="N24" s="165">
        <v>42418</v>
      </c>
      <c r="O24">
        <v>305</v>
      </c>
      <c r="V24" s="165">
        <v>42608</v>
      </c>
      <c r="W24">
        <v>575</v>
      </c>
      <c r="X24" s="165"/>
    </row>
    <row r="25" spans="1:27" x14ac:dyDescent="0.2">
      <c r="A25" s="165">
        <v>42194</v>
      </c>
      <c r="B25">
        <v>369</v>
      </c>
      <c r="N25" s="165">
        <v>42420</v>
      </c>
      <c r="O25">
        <v>306</v>
      </c>
      <c r="V25" s="165">
        <v>42609</v>
      </c>
      <c r="W25">
        <v>287</v>
      </c>
      <c r="X25" s="165"/>
    </row>
    <row r="26" spans="1:27" x14ac:dyDescent="0.2">
      <c r="A26" s="165">
        <v>42195</v>
      </c>
      <c r="B26">
        <v>370</v>
      </c>
      <c r="N26" s="165">
        <v>42421</v>
      </c>
      <c r="O26">
        <v>917</v>
      </c>
      <c r="V26" s="165">
        <v>42610</v>
      </c>
      <c r="W26">
        <v>287</v>
      </c>
      <c r="X26" s="165"/>
    </row>
    <row r="27" spans="1:27" x14ac:dyDescent="0.2">
      <c r="A27" t="s">
        <v>105</v>
      </c>
      <c r="B27">
        <f>SUM(B3:B26)</f>
        <v>8539</v>
      </c>
      <c r="N27" s="165">
        <v>42424</v>
      </c>
      <c r="O27">
        <v>611</v>
      </c>
      <c r="V27" s="165">
        <v>42615</v>
      </c>
      <c r="W27">
        <v>575</v>
      </c>
      <c r="X27" s="165"/>
    </row>
    <row r="28" spans="1:27" x14ac:dyDescent="0.2">
      <c r="N28" s="165">
        <v>42425</v>
      </c>
      <c r="O28">
        <v>306</v>
      </c>
      <c r="V28" s="165">
        <v>42616</v>
      </c>
      <c r="W28">
        <v>287</v>
      </c>
      <c r="X28" s="165"/>
    </row>
    <row r="29" spans="1:27" x14ac:dyDescent="0.2">
      <c r="N29" t="s">
        <v>105</v>
      </c>
      <c r="O29">
        <f>SUM(O3:O28)</f>
        <v>16826</v>
      </c>
      <c r="P29" t="s">
        <v>105</v>
      </c>
      <c r="Q29">
        <f>SUM(Q3:Q15)</f>
        <v>5193</v>
      </c>
      <c r="R29" t="s">
        <v>105</v>
      </c>
      <c r="S29">
        <f>SUM(S3:S28)</f>
        <v>6039</v>
      </c>
      <c r="U29">
        <f>SUM(U3:U21)</f>
        <v>9379</v>
      </c>
      <c r="V29" s="165">
        <v>42617</v>
      </c>
      <c r="W29">
        <v>287</v>
      </c>
      <c r="X29" s="165"/>
    </row>
    <row r="31" spans="1:27" x14ac:dyDescent="0.2">
      <c r="V31" t="s">
        <v>105</v>
      </c>
      <c r="W31">
        <f>SUM(W3:W29)</f>
        <v>15467</v>
      </c>
      <c r="X31" t="s">
        <v>105</v>
      </c>
      <c r="Y31">
        <f>SUM(Y3:Y29)</f>
        <v>8929</v>
      </c>
    </row>
  </sheetData>
  <mergeCells count="12">
    <mergeCell ref="X1:Y1"/>
    <mergeCell ref="V1:W1"/>
    <mergeCell ref="A1:B1"/>
    <mergeCell ref="D1:E1"/>
    <mergeCell ref="F1:G1"/>
    <mergeCell ref="H1:I1"/>
    <mergeCell ref="J1:K1"/>
    <mergeCell ref="T1:U1"/>
    <mergeCell ref="R1:S1"/>
    <mergeCell ref="P1:Q1"/>
    <mergeCell ref="N1:O1"/>
    <mergeCell ref="L1:M1"/>
  </mergeCells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Income Expense Summary</vt:lpstr>
      <vt:lpstr>Individual wise Details  </vt:lpstr>
      <vt:lpstr>Gym Members and collection</vt:lpstr>
      <vt:lpstr>Gym Spending</vt:lpstr>
      <vt:lpstr>Interest</vt:lpstr>
    </vt:vector>
  </TitlesOfParts>
  <Company>FocusMT India Pvt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</dc:creator>
  <cp:lastModifiedBy>Microsoft Office User</cp:lastModifiedBy>
  <cp:lastPrinted>2015-04-21T09:54:02Z</cp:lastPrinted>
  <dcterms:created xsi:type="dcterms:W3CDTF">2011-07-21T08:45:40Z</dcterms:created>
  <dcterms:modified xsi:type="dcterms:W3CDTF">2016-10-26T14:33:30Z</dcterms:modified>
</cp:coreProperties>
</file>